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42774C10-BBA5-494B-9E1E-CB53F7903F92}"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74" l="1"/>
  <c r="G38" i="174"/>
  <c r="K23" i="179"/>
  <c r="J23" i="179"/>
  <c r="I23" i="179"/>
  <c r="H23" i="179"/>
  <c r="G23" i="179"/>
  <c r="F23" i="179"/>
  <c r="E23" i="179"/>
  <c r="E25" i="179" s="1"/>
  <c r="K18" i="179"/>
  <c r="J18" i="179"/>
  <c r="I18" i="179"/>
  <c r="H18" i="179"/>
  <c r="G18" i="179"/>
  <c r="F18" i="179"/>
  <c r="F25" i="179" s="1"/>
  <c r="D35" i="171" s="1"/>
  <c r="E18" i="179"/>
  <c r="G25" i="179" l="1"/>
  <c r="I25" i="179"/>
  <c r="H25" i="179"/>
  <c r="J25" i="179"/>
  <c r="K25" i="179"/>
  <c r="J7" i="184" l="1"/>
  <c r="J6" i="184"/>
  <c r="M68" i="184" l="1"/>
  <c r="L68" i="184"/>
  <c r="K68" i="184"/>
  <c r="G16" i="184" s="1"/>
  <c r="J68" i="184"/>
  <c r="I68" i="184"/>
  <c r="H68" i="184"/>
  <c r="G68" i="184"/>
  <c r="L53" i="184"/>
  <c r="K19" i="184"/>
  <c r="J19" i="184"/>
  <c r="I19" i="184"/>
  <c r="L18" i="184"/>
  <c r="L19" i="184" s="1"/>
  <c r="H18" i="184"/>
  <c r="L17" i="184"/>
  <c r="G17" i="184"/>
  <c r="L16" i="184"/>
  <c r="L15" i="184"/>
  <c r="G15" i="184"/>
  <c r="L14" i="184"/>
  <c r="G14" i="184"/>
  <c r="L13" i="184"/>
  <c r="G13" i="184"/>
  <c r="L12" i="184"/>
  <c r="G12" i="184"/>
  <c r="L52" i="184"/>
  <c r="G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3" i="179" l="1"/>
  <c r="L22" i="179"/>
  <c r="L21" i="179"/>
  <c r="L20" i="179"/>
  <c r="L19" i="179"/>
  <c r="L17" i="179"/>
  <c r="L16" i="179"/>
  <c r="L15" i="179"/>
  <c r="L14" i="179"/>
  <c r="L18" i="179" l="1"/>
  <c r="L25"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4" i="36"/>
  <c r="D78" i="36"/>
  <c r="K75" i="29"/>
  <c r="C14" i="4" s="1"/>
  <c r="B2558" i="106" s="1"/>
  <c r="D2558" i="106" s="1"/>
  <c r="K130" i="29"/>
  <c r="F56" i="34" s="1"/>
  <c r="B7832" i="106" s="1"/>
  <c r="D7832"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I129" i="29" l="1"/>
  <c r="B7037" i="106" s="1"/>
  <c r="D7037" i="106" s="1"/>
  <c r="F15" i="145"/>
  <c r="F19" i="145" s="1"/>
  <c r="F15" i="184"/>
  <c r="F19" i="184" s="1"/>
  <c r="B7705" i="106"/>
  <c r="D7705" i="106" s="1"/>
  <c r="E67" i="184"/>
  <c r="N67" i="184" s="1"/>
  <c r="B7171" i="106"/>
  <c r="D7171" i="106" s="1"/>
  <c r="E62" i="184"/>
  <c r="N62" i="184" s="1"/>
  <c r="B7162" i="106"/>
  <c r="D7162" i="106" s="1"/>
  <c r="E61" i="184"/>
  <c r="N61" i="184" s="1"/>
  <c r="B7189" i="106"/>
  <c r="D7189" i="106" s="1"/>
  <c r="E64" i="184"/>
  <c r="N64" i="184" s="1"/>
  <c r="B7153" i="106"/>
  <c r="D7153" i="106" s="1"/>
  <c r="E60" i="184"/>
  <c r="N60" i="184" s="1"/>
  <c r="B7126" i="106"/>
  <c r="D7126" i="106" s="1"/>
  <c r="E57" i="184"/>
  <c r="N57" i="184" s="1"/>
  <c r="B7135" i="106"/>
  <c r="D7135" i="106" s="1"/>
  <c r="E58" i="184"/>
  <c r="B7198" i="106"/>
  <c r="D7198" i="106" s="1"/>
  <c r="E65" i="184"/>
  <c r="N65" i="184" s="1"/>
  <c r="E14" i="145"/>
  <c r="G14" i="145" s="1"/>
  <c r="E14" i="184"/>
  <c r="H14" i="184" s="1"/>
  <c r="H12" i="184"/>
  <c r="E13" i="145"/>
  <c r="G13" i="145" s="1"/>
  <c r="E13" i="184"/>
  <c r="H13" i="184" s="1"/>
  <c r="E15" i="145"/>
  <c r="G15" i="145" s="1"/>
  <c r="E15" i="184"/>
  <c r="B7696" i="106"/>
  <c r="D7696" i="106" s="1"/>
  <c r="E66" i="184"/>
  <c r="N66" i="184" s="1"/>
  <c r="G33" i="108"/>
  <c r="E17" i="184"/>
  <c r="H17" i="184" s="1"/>
  <c r="B7180" i="106"/>
  <c r="D7180" i="106" s="1"/>
  <c r="E63" i="184"/>
  <c r="N63" i="184" s="1"/>
  <c r="D31" i="108"/>
  <c r="E16" i="184"/>
  <c r="H16" i="184"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H15" i="184" l="1"/>
  <c r="H19" i="184" s="1"/>
  <c r="L20" i="184" s="1"/>
  <c r="E19" i="184"/>
  <c r="N58" i="184"/>
  <c r="N68" i="184" s="1"/>
  <c r="E68" i="184"/>
  <c r="L114" i="29"/>
  <c r="L16" i="11"/>
  <c r="B2061" i="106" s="1"/>
  <c r="D2061" i="106" s="1"/>
  <c r="F66" i="34"/>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<sst xmlns="http://schemas.openxmlformats.org/spreadsheetml/2006/main" count="5267" uniqueCount="2138">
  <si>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</si>
  <si>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</si>
  <si>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</si>
  <si>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</si>
  <si>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</si>
  <si>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</si>
  <si>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</si>
  <si>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</si>
  <si>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</si>
  <si>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</si>
  <si>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</si>
  <si>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</si>
  <si>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</si>
  <si>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</si>
  <si>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</si>
  <si>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</si>
  <si>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</si>
  <si>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</si>
  <si>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</si>
  <si>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</si>
  <si>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</si>
  <si>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</si>
  <si>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</si>
  <si>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</si>
  <si>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</si>
  <si>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</si>
  <si>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</si>
  <si>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</si>
  <si>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</si>
  <si>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</si>
  <si>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</si>
  <si>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</si>
  <si>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</si>
  <si>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</si>
  <si>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</si>
  <si>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</si>
  <si>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</si>
  <si>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</si>
  <si>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</si>
  <si>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</si>
  <si>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</si>
  <si>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</si>
  <si>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</si>
  <si>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</si>
  <si>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</si>
  <si>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</si>
  <si>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</si>
  <si>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</si>
  <si>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</si>
  <si>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</si>
  <si>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</si>
  <si>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</si>
  <si>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</si>
  <si>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</si>
  <si>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</si>
  <si>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</si>
  <si>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</si>
  <si>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</si>
  <si>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</si>
  <si>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</si>
  <si>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</si>
  <si>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</si>
  <si>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</si>
  <si>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</si>
  <si>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</si>
  <si>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</si>
  <si>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</si>
  <si>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</si>
  <si>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</si>
  <si>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</si>
  <si>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</si>
  <si>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</si>
  <si>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</si>
  <si>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</si>
  <si>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</si>
  <si>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</si>
  <si>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</si>
  <si>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</si>
  <si>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</si>
  <si>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</si>
  <si>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</si>
  <si>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</si>
  <si>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</si>
  <si>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</si>
  <si>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</si>
  <si>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</si>
  <si>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</si>
  <si>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</si>
  <si>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</si>
  <si>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</si>
  <si>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</si>
  <si>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</si>
  <si>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</si>
  <si>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</si>
  <si>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</si>
  <si>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</si>
  <si>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</si>
  <si>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</si>
  <si>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</si>
  <si>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</si>
  <si>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</si>
  <si>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</si>
  <si>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</si>
  <si>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</si>
  <si>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</si>
  <si>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</si>
  <si>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</si>
  <si>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</si>
  <si>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</si>
  <si>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</si>
  <si>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</si>
  <si>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</si>
  <si>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</si>
  <si>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</si>
  <si>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</si>
  <si>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</si>
  <si>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</si>
  <si>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</si>
  <si>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</si>
  <si>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</si>
  <si>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</si>
  <si>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</si>
  <si>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</si>
  <si>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</si>
  <si>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</si>
  <si>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</si>
  <si>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</si>
  <si>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</si>
  <si>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</si>
  <si>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</si>
  <si>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</si>
  <si>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</si>
  <si>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</si>
  <si>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</si>
  <si>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</si>
  <si>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</si>
  <si>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</si>
  <si>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</si>
  <si>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</si>
  <si>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</si>
  <si>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</si>
  <si>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</si>
  <si>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</si>
  <si>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</si>
  <si>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</si>
  <si>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</si>
  <si>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</si>
  <si>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</si>
  <si>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</si>
  <si>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</si>
  <si>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</si>
  <si>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</si>
  <si>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</si>
  <si>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</si>
  <si>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</si>
  <si>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</si>
  <si>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</si>
  <si>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</si>
  <si>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</si>
  <si>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</si>
  <si>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</si>
  <si>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</si>
  <si>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</si>
  <si>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</si>
  <si>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</si>
  <si>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</si>
  <si>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</si>
  <si>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</si>
  <si>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</si>
  <si>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</si>
  <si>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</si>
  <si>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</si>
  <si>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</si>
  <si>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</si>
  <si>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</si>
  <si>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</si>
  <si>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</si>
  <si>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</si>
  <si>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</si>
  <si>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</si>
  <si>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</si>
  <si>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</si>
  <si>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</si>
  <si>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</si>
  <si>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</si>
  <si>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</si>
  <si>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</si>
  <si>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</si>
  <si>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</si>
  <si>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</si>
  <si>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</si>
  <si>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</si>
  <si>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</si>
  <si>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</si>
  <si>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</si>
  <si>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</si>
  <si>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</si>
  <si>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</si>
  <si>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</si>
  <si>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</si>
  <si>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</si>
  <si>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</si>
  <si>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</si>
  <si>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</si>
  <si>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</si>
  <si>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</si>
  <si>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</si>
  <si>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</si>
  <si>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</si>
  <si>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</si>
  <si>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</si>
  <si>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</si>
  <si>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</si>
  <si>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</si>
  <si>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</si>
  <si>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</si>
  <si>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</si>
  <si>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</si>
  <si>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</si>
  <si>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</si>
  <si>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</si>
  <si>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</si>
  <si>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</si>
  <si>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</si>
  <si>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</si>
  <si>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</si>
  <si>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</si>
  <si>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</si>
  <si>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</si>
  <si>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</si>
  <si>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</si>
  <si>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</si>
  <si>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</si>
  <si>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</si>
  <si>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</si>
  <si>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</si>
  <si>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</si>
  <si>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</si>
  <si>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</si>
  <si>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</si>
  <si>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</si>
  <si>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</si>
  <si>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</si>
  <si>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</si>
  <si>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</si>
  <si>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</si>
  <si>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</si>
  <si>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</si>
  <si>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</si>
  <si>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</si>
  <si>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</si>
  <si>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</si>
  <si>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</si>
  <si>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</si>
  <si>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</si>
  <si>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</si>
  <si>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</si>
  <si>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</si>
  <si>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</si>
  <si>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</si>
  <si>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</si>
  <si>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</si>
  <si>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</si>
  <si>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</si>
  <si>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</si>
  <si>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</si>
  <si>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</si>
  <si>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</si>
  <si>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</si>
  <si>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</si>
  <si>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</si>
  <si>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</si>
  <si>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</si>
  <si>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</si>
  <si>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</si>
  <si>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</si>
  <si>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</si>
  <si>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</si>
  <si>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</si>
  <si>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</si>
  <si>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</si>
  <si>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</si>
  <si>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</si>
  <si>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</si>
  <si>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</si>
  <si>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</si>
  <si>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</si>
  <si>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</si>
  <si>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</si>
  <si>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</si>
  <si>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</si>
  <si>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</si>
  <si>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</si>
  <si>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</si>
  <si>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</si>
  <si>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</si>
  <si>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</si>
  <si>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</si>
  <si>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</si>
  <si>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</si>
  <si>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</si>
  <si>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</si>
  <si>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</si>
  <si>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</si>
  <si>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</si>
  <si>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</si>
  <si>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</si>
  <si>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</si>
  <si>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</si>
  <si>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</si>
  <si>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</si>
  <si>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</si>
  <si>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</si>
  <si>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</si>
  <si>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</si>
  <si>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</si>
  <si>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</si>
  <si>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</si>
  <si>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</si>
  <si>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</si>
  <si>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</si>
  <si>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</si>
  <si>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</si>
  <si>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</si>
  <si>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</si>
  <si>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</si>
  <si>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</si>
  <si>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</si>
  <si>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</si>
  <si>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</si>
  <si>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</si>
  <si>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</si>
  <si>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</si>
  <si>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</si>
  <si>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</si>
  <si>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</si>
  <si>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</si>
  <si>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</si>
  <si>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</si>
  <si>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</si>
  <si>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</si>
  <si>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</si>
  <si>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</si>
  <si>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</si>
  <si>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</si>
  <si>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</si>
  <si>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</si>
  <si>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</si>
  <si>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</si>
  <si>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</si>
  <si>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</si>
  <si>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</si>
  <si>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</si>
  <si>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</si>
  <si>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</si>
  <si>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</si>
  <si>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</si>
  <si>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</si>
  <si>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</si>
  <si>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</si>
  <si>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</si>
  <si>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</si>
  <si>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</si>
  <si>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</si>
  <si>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</si>
  <si>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</si>
  <si>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</si>
  <si>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</si>
  <si>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</si>
  <si>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</si>
  <si>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</si>
  <si>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</si>
  <si>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</si>
  <si>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</si>
  <si>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</si>
  <si>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</si>
  <si>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</si>
  <si>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</si>
  <si>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</si>
  <si>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</si>
  <si>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</si>
  <si>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</si>
  <si>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</si>
  <si>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</si>
  <si>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</si>
  <si>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</si>
  <si>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</si>
  <si>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</si>
  <si>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</si>
  <si>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</si>
  <si>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</si>
  <si>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</si>
  <si>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</si>
  <si>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</si>
  <si>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</si>
  <si>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</si>
  <si>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</si>
  <si>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</si>
  <si>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</si>
  <si>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</si>
  <si>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</si>
  <si>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</si>
  <si>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</si>
  <si>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</si>
  <si>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</si>
  <si>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</si>
  <si>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</si>
  <si>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</si>
  <si>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</si>
  <si>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</si>
  <si>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</si>
  <si>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</si>
  <si>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</si>
  <si>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</si>
  <si>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</si>
  <si>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</si>
  <si>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</si>
  <si>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</si>
  <si>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</si>
  <si>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</si>
  <si>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</si>
  <si>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</si>
  <si>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</si>
  <si>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</si>
  <si>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</si>
  <si>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</si>
  <si>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</si>
  <si>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</si>
  <si>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</si>
  <si>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</si>
  <si>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</si>
  <si>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</si>
  <si>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</si>
  <si>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</si>
  <si>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</si>
  <si>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</si>
  <si>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</si>
  <si>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</si>
  <si>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</si>
  <si>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</si>
  <si>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</si>
  <si>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</si>
  <si>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</si>
  <si>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</si>
  <si>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</si>
  <si>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</si>
  <si>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</si>
  <si>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</si>
  <si>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</si>
  <si>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</si>
  <si>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</si>
  <si>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</si>
  <si>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</si>
  <si>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</si>
  <si>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</si>
  <si>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</si>
  <si>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</si>
  <si>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</si>
  <si>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</si>
  <si>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</si>
  <si>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</si>
  <si>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</si>
  <si>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</si>
  <si>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</si>
  <si>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</si>
  <si>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</si>
  <si>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</si>
  <si>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</si>
  <si>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</si>
  <si>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</si>
  <si>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</si>
  <si>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</si>
  <si>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</si>
  <si>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</si>
  <si>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</si>
  <si>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</si>
  <si>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</si>
  <si>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</si>
  <si>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</si>
  <si>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</si>
  <si>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</si>
  <si>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</si>
  <si>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</si>
  <si>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</si>
  <si>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</si>
  <si>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</si>
  <si>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</si>
  <si>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</si>
  <si>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</si>
  <si>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</si>
  <si>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</si>
  <si>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</si>
  <si>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</si>
  <si>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</si>
  <si>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</si>
  <si>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</si>
  <si>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</si>
  <si>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</si>
  <si>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</si>
  <si>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</si>
  <si>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</si>
  <si>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</si>
  <si>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</si>
  <si>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</si>
  <si>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</si>
  <si>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</si>
  <si>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</si>
  <si>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</si>
  <si>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</si>
  <si>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</si>
  <si>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</si>
  <si>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</si>
  <si>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</si>
  <si>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</si>
  <si>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</si>
  <si>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</si>
  <si>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</si>
  <si>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</si>
  <si>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</si>
  <si>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</si>
  <si>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</si>
  <si>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</si>
  <si>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</si>
  <si>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</si>
  <si>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</si>
  <si>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</si>
  <si>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</si>
  <si>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</si>
  <si>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</si>
  <si>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</si>
  <si>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</si>
  <si>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</si>
  <si>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</si>
  <si>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</si>
  <si>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</si>
  <si>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</si>
  <si>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</si>
  <si>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</si>
  <si>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</si>
  <si>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</si>
  <si>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</si>
  <si>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</si>
  <si>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</si>
  <si>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</si>
  <si>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</si>
  <si>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</si>
  <si>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</si>
  <si>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</si>
  <si>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</si>
  <si>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</si>
  <si>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</si>
  <si>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</si>
  <si>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</si>
  <si>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</si>
  <si>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</si>
  <si>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</si>
  <si>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</si>
  <si>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</si>
  <si>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</si>
  <si>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</si>
  <si>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</si>
  <si>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</si>
  <si>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</si>
  <si>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</si>
  <si>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</si>
  <si>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</si>
  <si>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</si>
  <si>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</si>
  <si>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</si>
  <si>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</si>
  <si>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</si>
  <si>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</si>
  <si>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</si>
  <si>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</si>
  <si>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</si>
  <si>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</si>
  <si>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</si>
  <si>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</si>
  <si>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</si>
  <si>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</si>
  <si>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</si>
  <si>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</si>
  <si>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</si>
  <si>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</si>
  <si>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</si>
  <si>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</si>
  <si>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</si>
  <si>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</si>
  <si>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</si>
  <si>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</si>
  <si>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</si>
  <si>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</si>
  <si>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</si>
  <si>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</si>
  <si>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</si>
  <si>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</si>
  <si>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</si>
  <si>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</si>
  <si>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</si>
  <si>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</si>
  <si>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</si>
  <si>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</si>
  <si>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</si>
  <si>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</si>
  <si>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</si>
  <si>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</si>
  <si>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</si>
  <si>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</si>
  <si>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</si>
  <si>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</si>
  <si>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</si>
  <si>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</si>
  <si>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</si>
  <si>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</si>
  <si>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</si>
  <si>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</si>
  <si>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</si>
  <si>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</si>
  <si>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</si>
  <si>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</si>
  <si>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</si>
  <si>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</si>
  <si>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</si>
  <si>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</si>
  <si>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</si>
  <si>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</si>
  <si>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</si>
  <si>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</si>
  <si>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</si>
  <si>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</si>
  <si>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</si>
  <si>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</si>
  <si>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</si>
  <si>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</si>
  <si>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</si>
  <si>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</si>
  <si>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</si>
  <si>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</si>
  <si>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</si>
  <si>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</si>
  <si>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</si>
  <si>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</si>
  <si>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</si>
  <si>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</si>
  <si>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</si>
  <si>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</si>
  <si>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</si>
  <si>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</si>
  <si>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</si>
  <si>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</si>
  <si>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</si>
  <si>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</si>
  <si>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</si>
  <si>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</si>
  <si>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</si>
  <si>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</si>
  <si>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</si>
  <si>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</si>
  <si>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</si>
  <si>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</si>
  <si>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</si>
  <si>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</si>
  <si>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</si>
  <si>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</si>
  <si>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</si>
  <si>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</si>
  <si>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</si>
  <si>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</si>
  <si>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</si>
  <si>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</si>
  <si>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</si>
  <si>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</si>
  <si>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</si>
  <si>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</si>
  <si>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</si>
  <si>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</si>
  <si>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</si>
  <si>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</si>
  <si>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</si>
  <si>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</si>
  <si>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</si>
  <si>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</si>
  <si>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</si>
  <si>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</si>
  <si>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</si>
  <si>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</si>
  <si>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</si>
  <si>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</si>
  <si>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</si>
  <si>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</si>
  <si>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</si>
  <si>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</si>
  <si>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</si>
  <si>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</si>
  <si>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</si>
  <si>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</si>
  <si>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</si>
  <si>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</si>
  <si>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</si>
  <si>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</si>
  <si>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</si>
  <si>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</si>
  <si>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</si>
  <si>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</si>
  <si>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</si>
  <si>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</si>
  <si>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</si>
  <si>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</si>
  <si>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</si>
  <si>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</si>
  <si>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</si>
  <si>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</si>
  <si>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</si>
  <si>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</si>
  <si>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</si>
  <si>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</si>
  <si>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</si>
  <si>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</si>
  <si>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</si>
  <si>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</si>
  <si>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</si>
  <si>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</si>
  <si>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</si>
  <si>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</si>
  <si>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</si>
  <si>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</si>
  <si>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</si>
  <si>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</si>
  <si>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</si>
  <si>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</si>
  <si>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</si>
  <si>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</si>
  <si>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</si>
  <si>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</si>
  <si>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</si>
  <si>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</si>
  <si>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</si>
  <si>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</si>
  <si>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</si>
  <si>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</si>
  <si>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</si>
  <si>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</si>
  <si>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</si>
  <si>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</si>
  <si>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</si>
  <si>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</si>
  <si>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</si>
  <si>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</si>
  <si>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</si>
  <si>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</si>
  <si>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</si>
  <si>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</si>
  <si>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</si>
  <si>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</si>
  <si>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</si>
  <si>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</si>
  <si>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</si>
  <si>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</si>
  <si>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</si>
  <si>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</si>
  <si>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</si>
  <si>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</si>
  <si>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</si>
  <si>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</si>
  <si>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</si>
  <si>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</si>
  <si>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</si>
  <si>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</si>
  <si>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</si>
  <si>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</si>
  <si>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</si>
  <si>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</si>
  <si>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</si>
  <si>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</si>
  <si>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</si>
  <si>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</si>
  <si>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</si>
  <si>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</si>
  <si>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</si>
  <si>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</si>
  <si>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</si>
  <si>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</si>
  <si>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</si>
  <si>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</si>
  <si>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</si>
  <si>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</si>
  <si>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</si>
  <si>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</si>
  <si>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</si>
  <si>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</si>
  <si>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</si>
  <si>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</si>
  <si>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</si>
  <si>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</si>
  <si>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</si>
  <si>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</si>
  <si>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</si>
  <si>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</si>
  <si>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</si>
  <si>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</si>
  <si>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</si>
  <si>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</si>
  <si>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</si>
  <si>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</si>
  <si>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</si>
  <si>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</si>
  <si>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</si>
  <si>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</si>
  <si>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</si>
  <si>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</si>
  <si>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</si>
  <si>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</si>
  <si>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</si>
  <si>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</si>
  <si>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</si>
  <si>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</si>
  <si>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</si>
  <si>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</si>
  <si>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</si>
  <si>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</si>
  <si>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</si>
  <si>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</si>
  <si>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</si>
  <si>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</si>
  <si>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</si>
  <si>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</si>
  <si>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</si>
  <si>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</si>
  <si>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</si>
  <si>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</si>
  <si>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</si>
  <si>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</si>
  <si>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</si>
  <si>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</si>
  <si>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</si>
  <si>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</si>
  <si>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</si>
  <si>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</si>
  <si>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</si>
  <si>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</si>
  <si>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</si>
  <si>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</si>
  <si>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</si>
  <si>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</si>
  <si>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</si>
  <si>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</si>
  <si>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</si>
  <si>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</si>
  <si>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</si>
  <si>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</si>
  <si>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</si>
  <si>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</si>
  <si>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</si>
  <si>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</si>
  <si>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</si>
  <si>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</si>
  <si>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</si>
  <si>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</si>
  <si>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</si>
  <si>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</si>
  <si>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</si>
  <si>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</si>
  <si>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</si>
  <si>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</si>
  <si>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</si>
  <si>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</si>
  <si>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</si>
  <si>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</si>
  <si>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</si>
  <si>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</si>
  <si>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</si>
  <si>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</si>
  <si>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</si>
  <si>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</si>
  <si>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</si>
  <si>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</si>
  <si>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</si>
  <si>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</si>
  <si>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</si>
  <si>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</si>
  <si>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</si>
  <si>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</si>
  <si>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</si>
  <si>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</si>
  <si>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</si>
  <si>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</si>
  <si>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</si>
  <si>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</si>
  <si>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</si>
  <si>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</si>
  <si>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</si>
  <si>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</si>
  <si>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</si>
  <si>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</si>
  <si>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</si>
  <si>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</si>
  <si>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</si>
  <si>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</si>
  <si>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</si>
  <si>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</si>
  <si>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</si>
  <si>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</si>
  <si>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</si>
  <si>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</si>
  <si>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</si>
  <si>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</si>
  <si>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</si>
  <si>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</si>
  <si>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</si>
  <si>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</si>
  <si>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</si>
  <si>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</si>
  <si>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</si>
  <si>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</si>
  <si>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</si>
  <si>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</si>
  <si>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</si>
  <si>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</si>
  <si>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</si>
  <si>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</si>
  <si>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</si>
  <si>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</si>
  <si>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</si>
  <si>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</si>
  <si>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</si>
  <si>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</si>
  <si>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</si>
  <si>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</si>
  <si>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</si>
  <si>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</si>
  <si>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</si>
  <si>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</si>
  <si>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</si>
  <si>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</si>
  <si>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</si>
  <si>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</si>
  <si>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</si>
  <si>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</si>
  <si>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</si>
  <si>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</si>
  <si>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</si>
  <si>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</si>
  <si>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</si>
  <si>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</si>
  <si>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</si>
  <si>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</si>
  <si>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</si>
  <si>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</si>
  <si>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</si>
  <si>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</si>
  <si>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</si>
  <si>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</si>
  <si>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</si>
  <si>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</si>
  <si>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</si>
  <si>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</si>
  <si>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</si>
  <si>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</si>
  <si>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</si>
  <si>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</si>
  <si>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</si>
  <si>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</si>
  <si>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</si>
  <si>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</si>
  <si>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</si>
  <si>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</si>
  <si>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</si>
  <si>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</si>
  <si>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</si>
  <si>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</si>
  <si>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</si>
  <si>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</si>
  <si>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</si>
  <si>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</si>
  <si>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</si>
  <si>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</si>
  <si>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</si>
  <si>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</si>
  <si>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</si>
  <si>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</si>
  <si>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</si>
  <si>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</si>
  <si>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</si>
  <si>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</si>
  <si>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</si>
  <si>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</si>
  <si>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</si>
  <si>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</si>
  <si>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</si>
  <si>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</si>
  <si>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</si>
  <si>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</si>
  <si>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</si>
  <si>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</si>
  <si>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</si>
  <si>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</si>
  <si>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</si>
  <si>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</si>
  <si>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</si>
  <si>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</si>
  <si>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</si>
  <si>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</si>
  <si>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</si>
  <si>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</si>
  <si>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</si>
  <si>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</si>
  <si>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</si>
  <si>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</si>
  <si>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</si>
  <si>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</si>
  <si>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</si>
  <si>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</si>
  <si>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</si>
  <si>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</si>
  <si>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</si>
  <si>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</si>
  <si>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</si>
  <si>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</si>
  <si>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</si>
  <si>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</si>
  <si>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</si>
  <si>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</si>
  <si>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</si>
  <si>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</si>
  <si>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</si>
  <si>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</si>
  <si>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</si>
  <si>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</si>
  <si>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</si>
  <si>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</si>
  <si>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</si>
  <si>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</si>
  <si>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</si>
  <si>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</si>
  <si>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</si>
  <si>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</si>
  <si>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</si>
  <si>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</si>
  <si>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</si>
  <si>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</si>
  <si>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</si>
  <si>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</si>
  <si>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</si>
  <si>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</si>
  <si>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</si>
  <si>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</si>
  <si>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</si>
  <si>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</si>
  <si>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</si>
  <si>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</si>
  <si>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</si>
  <si>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</si>
  <si>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</si>
  <si>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</si>
  <si>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</si>
  <si>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</si>
  <si>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</si>
  <si>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</si>
  <si>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</si>
  <si>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</si>
  <si>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</si>
  <si>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</si>
  <si>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</si>
  <si>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</si>
  <si>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</si>
  <si>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</si>
  <si>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</si>
  <si>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</si>
  <si>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</si>
  <si>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</si>
  <si>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</si>
  <si>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</si>
  <si>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</si>
  <si>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</si>
  <si>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</si>
  <si>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</si>
  <si>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</si>
  <si>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</si>
  <si>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</si>
  <si>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</si>
  <si>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</si>
  <si>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</si>
  <si>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</si>
  <si>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</si>
  <si>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</si>
  <si>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</si>
  <si>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</si>
  <si>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</si>
  <si>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</si>
  <si>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</si>
  <si>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</si>
  <si>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</si>
  <si>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</si>
  <si>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</si>
  <si>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</si>
  <si>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</si>
  <si>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</si>
  <si>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</si>
  <si>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</si>
  <si>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</si>
  <si>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</si>
  <si>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</si>
  <si>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</si>
  <si>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</si>
  <si>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</si>
  <si>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</si>
  <si>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</si>
  <si>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</si>
  <si>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</si>
  <si>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</si>
  <si>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</si>
  <si>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</si>
  <si>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</si>
  <si>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</si>
  <si>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</si>
  <si>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</si>
  <si>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</si>
  <si>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</si>
  <si>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</si>
  <si>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</si>
  <si>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</si>
  <si>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</si>
  <si>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</si>
  <si>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</si>
  <si>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</si>
  <si>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</si>
  <si>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</si>
  <si>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</si>
  <si>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</si>
  <si>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</si>
  <si>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</si>
  <si>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</si>
  <si>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</si>
  <si>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</si>
  <si>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</si>
  <si>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</si>
  <si>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</si>
  <si>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</si>
  <si>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</si>
  <si>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</si>
  <si>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</si>
  <si>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</si>
  <si>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</si>
  <si>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</si>
  <si>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</si>
  <si>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</si>
  <si>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</si>
  <si>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</si>
  <si>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</si>
  <si>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</si>
  <si>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</si>
  <si>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</si>
  <si>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</si>
  <si>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</si>
  <si>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</si>
  <si>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</si>
  <si>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</si>
  <si>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</si>
  <si>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</si>
  <si>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</si>
  <si>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</si>
  <si>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</si>
  <si>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</si>
  <si>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</si>
  <si>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</si>
  <si>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</si>
  <si>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</si>
  <si>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</si>
  <si>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</si>
  <si>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</si>
  <si>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</si>
  <si>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</si>
  <si>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</si>
  <si>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</si>
  <si>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</si>
  <si>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</si>
  <si>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</si>
  <si>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</si>
  <si>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</si>
  <si>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</si>
  <si>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</si>
  <si>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</si>
  <si>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</si>
  <si>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</si>
  <si>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</si>
  <si>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</si>
  <si>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</si>
  <si>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</si>
  <si>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</si>
  <si>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</si>
  <si>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</si>
  <si>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</si>
  <si>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</si>
  <si>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</si>
  <si>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</si>
  <si>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</si>
  <si>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</si>
  <si>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</si>
  <si>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</si>
  <si>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</si>
  <si>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</si>
  <si>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</si>
  <si>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</si>
  <si>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</si>
  <si>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</si>
  <si>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</si>
  <si>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</si>
  <si>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</si>
  <si>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</si>
  <si>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</si>
  <si>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</si>
  <si>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</si>
  <si>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</si>
  <si>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</si>
  <si>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</si>
  <si>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</si>
  <si>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</si>
  <si>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</si>
  <si>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</si>
  <si>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</si>
  <si>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</si>
  <si>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</si>
  <si>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</si>
  <si>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</si>
  <si>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</si>
  <si>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</si>
  <si>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</si>
  <si>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</si>
  <si>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</si>
  <si>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</si>
  <si>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</si>
  <si>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</si>
  <si>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</si>
  <si>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</si>
  <si>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</si>
  <si>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</si>
  <si>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</si>
  <si>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</si>
  <si>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</si>
  <si>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</si>
  <si>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</si>
  <si>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</si>
  <si>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</si>
  <si>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</si>
  <si>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</si>
  <si>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</si>
  <si>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</si>
  <si>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</si>
  <si>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</si>
  <si>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</si>
  <si>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</si>
  <si>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</si>
  <si>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</si>
  <si>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</si>
  <si>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</si>
  <si>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</si>
  <si>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</si>
  <si>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</si>
  <si>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</si>
  <si>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</si>
  <si>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</si>
  <si>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</si>
  <si>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</si>
  <si>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</si>
  <si>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</si>
  <si>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</si>
  <si>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</si>
  <si>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</si>
  <si>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</si>
  <si>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</si>
  <si>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</si>
  <si>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</si>
  <si>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</si>
  <si>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</si>
  <si>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</si>
  <si>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</si>
  <si>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</si>
  <si>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</si>
  <si>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</si>
  <si>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</si>
  <si>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</si>
  <si>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</si>
  <si>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</si>
  <si>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</si>
  <si>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</si>
  <si>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</si>
  <si>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</si>
  <si>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</si>
  <si>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</si>
  <si>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</si>
  <si>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</si>
  <si>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</si>
  <si>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</si>
  <si>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</si>
  <si>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</si>
  <si>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</si>
  <si>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</si>
  <si>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</si>
  <si>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</si>
  <si>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</si>
  <si>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</si>
  <si>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</si>
  <si>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</si>
  <si>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</si>
  <si>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</si>
  <si>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</si>
  <si>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</si>
  <si>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</si>
  <si>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</si>
  <si>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</si>
  <si>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</si>
  <si>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</si>
  <si>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</si>
  <si>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</si>
  <si>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</si>
  <si>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</si>
  <si>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</si>
  <si>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</si>
  <si>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</si>
  <si>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</si>
  <si>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</si>
  <si>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</si>
  <si>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</si>
  <si>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</si>
  <si>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</si>
  <si>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</si>
  <si>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</si>
  <si>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</si>
  <si>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</si>
  <si>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</si>
  <si>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</si>
  <si>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</si>
  <si>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</si>
  <si>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</si>
  <si>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</si>
  <si>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</si>
  <si>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</si>
  <si>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</si>
  <si>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</si>
  <si>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</si>
  <si>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</si>
  <si>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</si>
  <si>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</si>
  <si>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</si>
  <si>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</si>
  <si>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</si>
  <si>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</si>
  <si>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</si>
  <si>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</si>
  <si>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</si>
  <si>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</si>
  <si>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</si>
  <si>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</si>
  <si>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</si>
  <si>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</si>
  <si>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</si>
  <si>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</si>
  <si>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</si>
  <si>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</si>
  <si>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</si>
  <si>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</si>
  <si>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</si>
  <si>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</si>
  <si>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</si>
  <si>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</si>
  <si>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</si>
  <si>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</si>
  <si>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</si>
  <si>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</si>
  <si>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</si>
  <si>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</si>
  <si>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</si>
  <si>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</si>
  <si>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</si>
  <si>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</si>
  <si>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</si>
  <si>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</si>
  <si>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</si>
  <si>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</si>
  <si>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</si>
  <si>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</si>
  <si>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</si>
  <si>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</si>
  <si>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</si>
  <si>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</si>
  <si>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</si>
  <si>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</si>
  <si>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</si>
  <si>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</si>
  <si>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</si>
  <si>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</si>
  <si>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</si>
  <si>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</si>
  <si>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</si>
  <si>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</si>
  <si>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</si>
  <si>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</si>
  <si>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</si>
  <si>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</si>
  <si>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</si>
  <si>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</si>
  <si>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</si>
  <si>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</si>
  <si>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</si>
  <si>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</si>
  <si>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</si>
  <si>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</si>
  <si>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</si>
  <si>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</si>
  <si>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</si>
  <si>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</si>
  <si>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</si>
  <si>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</si>
  <si>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</si>
  <si>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</si>
  <si>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</si>
  <si>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</si>
  <si>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</si>
  <si>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</si>
  <si>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</si>
  <si>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</si>
  <si>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</si>
  <si>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</si>
  <si>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</si>
  <si>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</si>
  <si>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</si>
  <si>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</si>
  <si>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</si>
  <si>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</si>
  <si>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</si>
  <si>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</si>
  <si>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</si>
  <si>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</si>
  <si>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</si>
  <si>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</si>
  <si>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</si>
  <si>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</si>
  <si>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</si>
  <si>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</si>
  <si>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</si>
  <si>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</si>
  <si>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</si>
  <si>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</si>
  <si>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</si>
  <si>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</si>
  <si>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</si>
  <si>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</si>
  <si>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</si>
  <si>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</si>
  <si>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</si>
  <si>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</si>
  <si>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</si>
  <si>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</si>
  <si>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</si>
  <si>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</si>
  <si>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</si>
  <si>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</si>
  <si>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</si>
  <si>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</si>
  <si>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</si>
  <si>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</si>
  <si>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</si>
  <si>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</si>
  <si>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</si>
  <si>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</si>
  <si>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</si>
  <si>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</si>
  <si>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</si>
  <si>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</si>
  <si>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</si>
  <si>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</si>
  <si>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</si>
  <si>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</si>
  <si>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</si>
  <si>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</si>
  <si>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</si>
  <si>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</si>
  <si>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</si>
  <si>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</si>
  <si>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</si>
  <si>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</si>
  <si>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</si>
  <si>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</si>
  <si>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</si>
  <si>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</si>
  <si>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</si>
  <si>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</si>
  <si>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</si>
  <si>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</si>
  <si>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</si>
  <si>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</si>
  <si>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</si>
  <si>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</si>
  <si>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</si>
  <si>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</si>
  <si>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</si>
  <si>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</si>
  <si>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</si>
  <si>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</si>
  <si>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</si>
  <si>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</si>
  <si>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</si>
  <si>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</si>
  <si>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</si>
  <si>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</si>
  <si>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</si>
  <si>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</si>
  <si>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</si>
  <si>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</si>
  <si>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</si>
  <si>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</si>
  <si>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</si>
  <si>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</si>
  <si>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</si>
  <si>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</si>
  <si>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</si>
  <si>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</si>
  <si>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</si>
  <si>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</si>
  <si>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</si>
  <si>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</si>
  <si>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</si>
  <si>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</si>
  <si>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</si>
  <si>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</si>
  <si>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</si>
  <si>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</si>
  <si>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</si>
  <si>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</si>
  <si>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</si>
  <si>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</si>
  <si>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</si>
  <si>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</si>
  <si>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</si>
  <si>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</si>
  <si>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</si>
  <si>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</si>
  <si>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</si>
  <si>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</si>
  <si>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</si>
  <si>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</si>
  <si>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</si>
  <si>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</si>
  <si>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</si>
  <si>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</si>
  <si>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</si>
  <si>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</si>
  <si>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</si>
  <si>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</si>
  <si>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</si>
  <si>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</si>
  <si>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</si>
  <si>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</si>
  <si>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</si>
  <si>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</si>
  <si>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</si>
  <si>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</si>
  <si>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</si>
  <si>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</si>
  <si>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</si>
  <si>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</si>
  <si>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</si>
  <si>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</si>
  <si>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</si>
  <si>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</si>
  <si>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</si>
  <si>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</si>
  <si>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</si>
  <si>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</si>
  <si>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</si>
  <si>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</si>
  <si>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</si>
  <si>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</si>
  <si>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</si>
  <si>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</si>
  <si>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</si>
  <si>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</si>
  <si>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</si>
  <si>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</si>
  <si>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</si>
  <si>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</si>
  <si>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</si>
  <si>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</si>
  <si>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</si>
  <si>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</si>
  <si>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</si>
  <si>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</si>
  <si>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</si>
  <si>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</si>
  <si>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</si>
  <si>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</si>
  <si>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</si>
  <si>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</si>
  <si>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</si>
  <si>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</si>
  <si>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</si>
  <si>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</si>
  <si>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</si>
  <si>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</si>
  <si>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</si>
  <si>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</si>
  <si>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</si>
  <si>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</si>
  <si>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</si>
  <si>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</si>
  <si>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</si>
  <si>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</si>
  <si>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</si>
  <si>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</si>
  <si>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</si>
  <si>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</si>
  <si>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</si>
  <si>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</si>
  <si>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</si>
  <si>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</si>
  <si>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</si>
  <si>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</si>
  <si>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</si>
  <si>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</si>
  <si>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</si>
  <si>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</si>
  <si>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</si>
  <si>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</si>
  <si>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</si>
  <si>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</si>
  <si>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</si>
  <si>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</si>
  <si>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</si>
  <si>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</si>
  <si>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</si>
  <si>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</si>
  <si>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</si>
  <si>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</si>
  <si>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</si>
  <si>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</si>
  <si>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</si>
  <si>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</si>
  <si>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</si>
  <si>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</si>
  <si>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</si>
  <si>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</si>
  <si>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</si>
  <si>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</si>
  <si>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</si>
  <si>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</si>
  <si>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</si>
  <si>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</si>
  <si>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</si>
  <si>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</si>
  <si>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</si>
  <si>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</si>
  <si>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</si>
  <si>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</si>
  <si>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</si>
  <si>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</si>
  <si>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</si>
  <si>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</si>
  <si>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</si>
  <si>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</si>
  <si>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</si>
  <si>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</si>
  <si>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</si>
  <si>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</si>
  <si>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</si>
  <si>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</si>
  <si>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</si>
  <si>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</si>
  <si>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</si>
  <si>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</si>
  <si>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</si>
  <si>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</si>
  <si>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</si>
  <si>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</si>
  <si>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</si>
  <si>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</si>
  <si>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</si>
  <si>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</si>
  <si>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</si>
  <si>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</si>
  <si>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</si>
  <si>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</si>
  <si>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</si>
  <si>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</si>
  <si>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</si>
  <si>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</si>
  <si>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</si>
  <si>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</si>
  <si>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</si>
  <si>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</si>
  <si>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</si>
  <si>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</si>
  <si>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</si>
  <si>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</si>
  <si>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</si>
  <si>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</si>
  <si>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</si>
  <si>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</si>
  <si>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</si>
  <si>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</si>
  <si>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</si>
  <si>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</si>
  <si>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</si>
  <si>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</si>
  <si>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</si>
  <si>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</si>
  <si>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</si>
  <si>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</si>
  <si>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</si>
  <si>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</si>
  <si>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</si>
  <si>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</si>
  <si>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</si>
  <si>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</si>
  <si>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</si>
  <si>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</si>
  <si>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</si>
  <si>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</si>
  <si>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</si>
  <si>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</si>
  <si>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</si>
  <si>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</si>
  <si>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</si>
  <si>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</si>
  <si>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</si>
  <si>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</si>
  <si>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</si>
  <si>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</si>
  <si>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</si>
  <si>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</si>
  <si>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</si>
  <si>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</si>
  <si>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</si>
  <si>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</si>
  <si>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</si>
  <si>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</si>
  <si>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</si>
  <si>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</si>
  <si>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</si>
  <si>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</si>
  <si>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</si>
  <si>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</si>
  <si>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</si>
  <si>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</si>
  <si>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</si>
  <si>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</si>
  <si>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</si>
  <si>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</si>
  <si>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</si>
  <si>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</si>
  <si>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</si>
  <si>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</si>
  <si>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</si>
  <si>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</si>
  <si>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</si>
  <si>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</si>
  <si>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</si>
  <si>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</si>
  <si>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</si>
  <si>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</si>
  <si>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</si>
  <si>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</si>
  <si>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</si>
  <si>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</si>
  <si>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</si>
  <si>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</si>
  <si>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</si>
  <si>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</si>
  <si>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</si>
  <si>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</si>
  <si>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</si>
  <si>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</si>
  <si>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</si>
  <si>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</si>
  <si>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</si>
  <si>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</si>
  <si>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</si>
  <si>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</si>
  <si>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</si>
  <si>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</si>
  <si>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</si>
  <si>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</si>
  <si>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</si>
  <si>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</si>
  <si>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</si>
  <si>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</si>
  <si>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</si>
  <si>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</si>
  <si>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</si>
  <si>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</si>
  <si>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</si>
  <si>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</si>
  <si>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</si>
  <si>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</si>
  <si>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</si>
  <si>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</si>
  <si>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</si>
  <si>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</si>
  <si>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</si>
  <si>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</si>
  <si>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</si>
  <si>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</si>
  <si>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</si>
  <si>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</si>
  <si>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</si>
  <si>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</si>
  <si>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</si>
  <si>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</si>
  <si>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</si>
  <si>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</si>
  <si>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</si>
  <si>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</si>
  <si>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</si>
  <si>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</si>
  <si>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</si>
  <si>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</si>
  <si>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</si>
  <si>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</si>
  <si>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</si>
  <si>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</si>
  <si>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</si>
  <si>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</si>
  <si>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</si>
  <si>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</si>
  <si>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</si>
  <si>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</si>
  <si>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</si>
  <si>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</si>
  <si>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</si>
  <si>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</si>
  <si>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</si>
  <si>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</si>
  <si>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</si>
  <si>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</si>
  <si>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</si>
  <si>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</si>
  <si>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</si>
  <si>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</si>
  <si>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</si>
  <si>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</si>
  <si>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</si>
  <si>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</si>
  <si>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</si>
  <si>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</si>
  <si>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</si>
  <si>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</si>
  <si>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</si>
  <si>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</si>
  <si>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</si>
  <si>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</si>
  <si>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</si>
  <si>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</si>
  <si>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</si>
  <si>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</si>
  <si>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</si>
  <si>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</si>
  <si>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</si>
  <si>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</si>
  <si>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</si>
  <si>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</si>
  <si>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</si>
  <si>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</si>
  <si>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</si>
  <si>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</si>
  <si>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</si>
  <si>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</si>
  <si>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</si>
  <si>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</si>
  <si>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</si>
  <si>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</si>
  <si>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</si>
  <si>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</si>
  <si>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</si>
  <si>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</si>
  <si>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</si>
  <si>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</si>
  <si>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</si>
  <si>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</si>
  <si>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</si>
  <si>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</si>
  <si>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</si>
  <si>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</si>
  <si>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</si>
  <si>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</si>
  <si>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</si>
  <si>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</si>
  <si>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</si>
  <si>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</si>
  <si>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</si>
  <si>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</si>
  <si>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</si>
  <si>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</si>
  <si>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</si>
  <si>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</si>
  <si>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</si>
  <si>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</si>
  <si>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</si>
  <si>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</si>
  <si>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</si>
  <si>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</si>
  <si>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</si>
  <si>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</si>
  <si>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</si>
  <si>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</si>
  <si>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</si>
  <si>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</si>
  <si>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</si>
  <si>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</si>
  <si>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</si>
  <si>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</si>
  <si>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</si>
  <si>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</si>
  <si>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</si>
  <si>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</si>
  <si>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</si>
  <si>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</si>
  <si>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</si>
  <si>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</si>
  <si>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</si>
  <si>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</si>
  <si>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</si>
  <si>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</si>
  <si>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</si>
  <si>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</si>
  <si>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</si>
  <si>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</si>
  <si>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</si>
  <si>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</si>
  <si>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</si>
  <si>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</si>
  <si>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</si>
  <si>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</si>
  <si>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</si>
  <si>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</si>
  <si>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</si>
  <si>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</si>
  <si>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</si>
  <si>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</si>
  <si>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</si>
  <si>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</si>
  <si>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</si>
  <si>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</si>
  <si>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</si>
  <si>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</si>
  <si>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</si>
  <si>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</si>
  <si>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</si>
  <si>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</si>
  <si>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</si>
  <si>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</si>
  <si>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</si>
  <si>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</si>
  <si>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</si>
  <si>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</si>
  <si>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</si>
  <si>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</si>
  <si>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</si>
  <si>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</si>
  <si>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</si>
  <si>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</si>
  <si>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</si>
  <si>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</si>
  <si>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</si>
  <si>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</si>
  <si>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</si>
  <si>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</si>
  <si>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</si>
  <si>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</si>
  <si>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</si>
  <si>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</si>
  <si>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</si>
  <si>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</si>
  <si>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</si>
  <si>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</si>
  <si>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</si>
  <si>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</si>
  <si>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</si>
  <si>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</si>
  <si>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</si>
  <si>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</si>
  <si>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</si>
  <si>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</si>
  <si>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</si>
  <si>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</si>
  <si>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</si>
  <si>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</si>
  <si>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</si>
  <si>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</si>
  <si>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</si>
  <si>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</si>
  <si>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</si>
  <si>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</si>
  <si>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</si>
  <si>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</si>
  <si>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</si>
  <si>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</si>
  <si>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</si>
  <si>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</si>
  <si>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</si>
  <si>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</si>
  <si>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</si>
  <si>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</si>
  <si>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</si>
  <si>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</si>
  <si>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</si>
  <si>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</si>
  <si>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</si>
  <si>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</si>
  <si>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</si>
  <si>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</si>
  <si>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</si>
  <si>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</si>
  <si>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</si>
  <si>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</si>
  <si>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</si>
  <si>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</si>
  <si>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</si>
  <si>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</si>
  <si>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</si>
  <si>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</si>
  <si>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</si>
  <si>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</si>
  <si>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</si>
  <si>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</si>
  <si>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</si>
  <si>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</si>
  <si>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</si>
  <si>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</si>
  <si>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</si>
  <si>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</si>
  <si>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</si>
  <si>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</si>
  <si>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</si>
  <si>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</si>
  <si>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</si>
  <si>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</si>
  <si>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</si>
  <si>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</si>
  <si>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</si>
  <si>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</si>
  <si>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</si>
  <si>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</si>
  <si>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</si>
  <si>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</si>
  <si>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</si>
  <si>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</si>
  <si>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</si>
  <si>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</si>
  <si>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</si>
  <si>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</si>
  <si>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</si>
  <si>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</si>
  <si>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</si>
  <si>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</si>
  <si>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</si>
  <si>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</si>
  <si>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</si>
  <si>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</si>
  <si>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</si>
  <si>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</si>
  <si>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</si>
  <si>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</si>
  <si>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</si>
  <si>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</si>
  <si>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JOHN MICHALESKO</t>
  </si>
  <si>
    <t>x</t>
  </si>
  <si>
    <t>GASSSENSMITH &amp; MICHALESKO, LTD.</t>
  </si>
  <si>
    <t>GRUNDY</t>
  </si>
  <si>
    <t>725 School Street</t>
  </si>
  <si>
    <t>Morris</t>
  </si>
  <si>
    <t>Neil Sanburg</t>
  </si>
  <si>
    <t>815-942-5780</t>
  </si>
  <si>
    <t>815-942-5782</t>
  </si>
  <si>
    <t>U.S. Department of Education Direct Programs:</t>
  </si>
  <si>
    <t xml:space="preserve"> Passed through Illinois State Board of Education:</t>
  </si>
  <si>
    <t>Special Education Cluster</t>
  </si>
  <si>
    <t>Total Special Education Cluster</t>
  </si>
  <si>
    <t>U.S. Department of Health &amp; Human Services:</t>
  </si>
  <si>
    <t xml:space="preserve">  Passed through IL Dept. of Healthcare &amp; Family Services:</t>
  </si>
  <si>
    <t xml:space="preserve">  Medical Assistance Program </t>
  </si>
  <si>
    <t xml:space="preserve">  Special Education Preschool Grants </t>
  </si>
  <si>
    <t xml:space="preserve">  Fed Spec. Ed. IDEA Flow-through  (M)</t>
  </si>
  <si>
    <t>2020-4600</t>
  </si>
  <si>
    <t>2019-4600</t>
  </si>
  <si>
    <t>2020-4620</t>
  </si>
  <si>
    <t>2019-4620</t>
  </si>
  <si>
    <t>2020-4991</t>
  </si>
  <si>
    <t>2019-4991</t>
  </si>
  <si>
    <t>N/A</t>
  </si>
  <si>
    <t>Instructed by HFS to report only Co-op portion of Medicaid on SEFA</t>
  </si>
  <si>
    <t>Braceville Elementary School</t>
  </si>
  <si>
    <t>Gardner Elementary District 72C</t>
  </si>
  <si>
    <t>Gardner South Wilmington High School</t>
  </si>
  <si>
    <t>Minooka Community District 111</t>
  </si>
  <si>
    <t>Minooka Community Consolidated School District 201</t>
  </si>
  <si>
    <t>Morris Elementary School District 54</t>
  </si>
  <si>
    <t>Morris High School District 101</t>
  </si>
  <si>
    <t>MVK District 2</t>
  </si>
  <si>
    <t>Nettle Creek Elementary District 24</t>
  </si>
  <si>
    <t>Saratoga Community Consolidated District 60C</t>
  </si>
  <si>
    <t>South Wilmington District 74</t>
  </si>
  <si>
    <t>84.027A</t>
  </si>
  <si>
    <r>
      <t xml:space="preserve">The accompanying Schedule of Expenditures of Federal Awards includes the federal grant activity of Grundy County Special Education Cooperative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</si>
  <si>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The Cooperative provided federal awards to subrecipients as follows:</t>
  </si>
  <si>
    <r>
      <t xml:space="preserve">The following amounts were expended in the form of non-cash assistance by the Cooperative and </t>
    </r>
    <r>
      <rPr>
        <b/>
        <sz val="9"/>
        <rFont val="Calibri"/>
        <family val="2"/>
        <scheme val="minor"/>
      </rPr>
      <t>should be</t>
    </r>
    <r>
      <rPr>
        <sz val="9"/>
        <rFont val="Calibri"/>
        <family val="2"/>
        <scheme val="minor"/>
      </rPr>
      <t xml:space="preserve"> included in the Schedule of Expenditures of Federal Awards:</t>
    </r>
  </si>
  <si>
    <t>unmodified</t>
  </si>
  <si>
    <t>Unmodified</t>
  </si>
  <si>
    <t>84.027 84.173</t>
  </si>
  <si>
    <t xml:space="preserve">  Fed Spec. Ed. IDEA Flow-through</t>
  </si>
  <si>
    <t xml:space="preserve">  Special Education Preschool Grants (M)</t>
  </si>
  <si>
    <t>84.173A</t>
  </si>
  <si>
    <t>Image Systems</t>
  </si>
  <si>
    <t>Ed-support-purchased services</t>
  </si>
  <si>
    <t>Group alternatives</t>
  </si>
  <si>
    <t>Timberline</t>
  </si>
  <si>
    <t xml:space="preserve">MVK2C, Nettle Creek 24, Morris Elementary 54, Saratoga 60, Gardner 72, </t>
  </si>
  <si>
    <t>Garnder South Wilmington HS 73, Braceville 75, Morris HS 101, Minooka CCSD 201, Minooka HS 111.</t>
  </si>
  <si>
    <t>The Board has the ultimate responsibility for the Cooperative’s system of internal control over financial reporting. As independent auditors, the external auditors cannot be considered a part of the Cooperative’s system of internal controls. While it is acceptable to outsource various functions, responsibility for internal control cannot be outsourced to external auditors.</t>
  </si>
  <si>
    <t xml:space="preserve">The Cooperative’s personnel do not prepare the Cooperative’s financial statements and related disclosures, or the Schedule of Expenditures of Federal Awards. The Cooperative engages the external auditors to assist in preparing these reports using the financial reports provided by the Cooperative. </t>
  </si>
  <si>
    <t>The Cooperative lacks the resources to prepare complete and accurate financial statements. During the current fiscal year, the Cooperative’s trial balances required material audit adjustments, including the following: Revenue reclassifications, Expenditure reclassifications, Transfers.</t>
  </si>
  <si>
    <t>Because the auditors, not management, have prepared the financial statements and related disclosures, material misstatements to the financial statements may not be prevented or detected by the Cooperative’s system of internal controls.</t>
  </si>
  <si>
    <t xml:space="preserve">The Cooperative’s personnel’s expertise is limited in the area of financial statement preparation in accordance with applicable government accounting standards. </t>
  </si>
  <si>
    <t>The Cooperative could consider the costs and benefits of dedicating the necessary staff resources, technical training, and oversight to ensure the Cooperative’s financial statements are accurately prepared in accordance with the modified-cash basis of accounting. However, the Cooperative may determine that the cost of implementing internal controls related to financial statement preparation in accordance with applicable standards outweighs the benefits to be gained.</t>
  </si>
  <si>
    <t>Management is aware of the condition and will begin implementing policies and procedures related to financial statement preparation.</t>
  </si>
  <si>
    <t>2019-01</t>
  </si>
  <si>
    <t>2019-02</t>
  </si>
  <si>
    <t>2019-03</t>
  </si>
  <si>
    <t>2019-04</t>
  </si>
  <si>
    <t>2019-05</t>
  </si>
  <si>
    <t>Financial Oversight</t>
  </si>
  <si>
    <t>Financial Statement Presentation</t>
  </si>
  <si>
    <t>Internal Controls over payroll processing</t>
  </si>
  <si>
    <t>Internal Controls over Subgrant distributions</t>
  </si>
  <si>
    <t>Internal Controls over Subrecipient Monitoring</t>
  </si>
  <si>
    <t>No longer a finding in current year.</t>
  </si>
  <si>
    <t>Remains a finding in current year.</t>
  </si>
  <si>
    <t>Toddler therapy</t>
  </si>
  <si>
    <t>Total U.S. Department of Health &amp; Human Service</t>
  </si>
  <si>
    <t xml:space="preserve">   Grundy County Spec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</si>
</sst>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71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4"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58" fillId="0" borderId="190"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2" xfId="20" applyFont="1" applyBorder="1" applyAlignment="1">
      <alignment horizontal="center"/>
    </xf>
    <xf numFmtId="38" fontId="58" fillId="0" borderId="193" xfId="20" applyNumberFormat="1" applyFont="1" applyBorder="1" applyAlignment="1" applyProtection="1">
      <alignment horizontal="center"/>
      <protection locked="0"/>
    </xf>
    <xf numFmtId="38" fontId="58" fillId="0" borderId="192"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185" fontId="63" fillId="0" borderId="22" xfId="1" applyNumberFormat="1" applyFont="1" applyBorder="1" applyAlignment="1" applyProtection="1">
      <alignment horizontal="center" shrinkToFit="1"/>
      <protection locked="0"/>
    </xf>
    <xf numFmtId="185" fontId="63" fillId="0" borderId="8" xfId="1" applyNumberFormat="1" applyFont="1" applyBorder="1" applyAlignment="1" applyProtection="1">
      <alignment horizontal="center" shrinkToFit="1"/>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88" xfId="20" applyFont="1" applyBorder="1"/>
    <xf numFmtId="0" fontId="58" fillId="0" borderId="189" xfId="20" applyFont="1" applyBorder="1"/>
    <xf numFmtId="0" fontId="58" fillId="0" borderId="191" xfId="20" applyFont="1" applyBorder="1"/>
    <xf numFmtId="0" fontId="58" fillId="0" borderId="192"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1A2E0AD1-A764-406A-9C9C-C0FF2AA04FE3}"/>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930852</xdr:colOff>
          <xdr:row>11</xdr:row>
          <xdr:rowOff>6927</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5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9">
        <f>+'AFR20'!E4</f>
        <v>44119</v>
      </c>
      <c r="C1" s="2109"/>
      <c r="D1" s="2110"/>
      <c r="I1" s="2188" t="s">
        <v>402</v>
      </c>
      <c r="J1" s="2189"/>
      <c r="K1" s="2189"/>
      <c r="L1" s="2189"/>
      <c r="M1" s="2189"/>
      <c r="N1" s="2189"/>
      <c r="O1" s="2189"/>
      <c r="P1" s="2189"/>
      <c r="Q1" s="2189"/>
      <c r="R1" s="2189"/>
      <c r="S1" s="2189"/>
    </row>
    <row r="2" spans="1:32" ht="12" customHeight="1" x14ac:dyDescent="0.2">
      <c r="A2" s="1889" t="str">
        <f>"Due to ISBE on "</f>
        <v xml:space="preserve">Due to ISBE on </v>
      </c>
      <c r="B2" s="2111">
        <f>+'AFR20'!F4</f>
        <v>44151</v>
      </c>
      <c r="C2" s="2111"/>
      <c r="D2" s="2112"/>
      <c r="I2" s="2190" t="s">
        <v>2003</v>
      </c>
      <c r="J2" s="2189"/>
      <c r="K2" s="2189"/>
      <c r="L2" s="2189"/>
      <c r="M2" s="2189"/>
      <c r="N2" s="2189"/>
      <c r="O2" s="2189"/>
      <c r="P2" s="2189"/>
      <c r="Q2" s="2189"/>
      <c r="R2" s="2189"/>
      <c r="S2" s="2189"/>
    </row>
    <row r="3" spans="1:32" ht="12" customHeight="1" x14ac:dyDescent="0.2">
      <c r="A3" s="1892" t="str">
        <f>"SD/JA"&amp;MID('AFR20'!E2,3,2)</f>
        <v>SD/JA20</v>
      </c>
      <c r="B3" s="151"/>
      <c r="C3" s="151"/>
      <c r="D3" s="152"/>
      <c r="I3" s="2190" t="s">
        <v>52</v>
      </c>
      <c r="J3" s="2189"/>
      <c r="K3" s="2189"/>
      <c r="L3" s="2189"/>
      <c r="M3" s="2189"/>
      <c r="N3" s="2189"/>
      <c r="O3" s="2189"/>
      <c r="P3" s="2189"/>
      <c r="Q3" s="2189"/>
      <c r="R3" s="2189"/>
      <c r="S3" s="2189"/>
    </row>
    <row r="4" spans="1:32" ht="12" customHeight="1" x14ac:dyDescent="0.2">
      <c r="A4" s="37"/>
      <c r="I4" s="2190" t="s">
        <v>521</v>
      </c>
      <c r="J4" s="2189"/>
      <c r="K4" s="2189"/>
      <c r="L4" s="2189"/>
      <c r="M4" s="2189"/>
      <c r="N4" s="2189"/>
      <c r="O4" s="2189"/>
      <c r="P4" s="2189"/>
      <c r="Q4" s="2189"/>
      <c r="R4" s="2189"/>
      <c r="S4" s="2189"/>
    </row>
    <row r="5" spans="1:32" ht="14.1" customHeight="1" x14ac:dyDescent="0.2">
      <c r="B5" s="101"/>
      <c r="C5" s="26" t="s">
        <v>904</v>
      </c>
      <c r="D5" s="81"/>
      <c r="E5" s="81"/>
      <c r="H5" s="38"/>
      <c r="I5" s="2197" t="s">
        <v>675</v>
      </c>
      <c r="J5" s="2142"/>
      <c r="K5" s="2142"/>
      <c r="L5" s="2142"/>
      <c r="M5" s="2142"/>
      <c r="N5" s="2142"/>
      <c r="O5" s="2142"/>
      <c r="P5" s="2142"/>
      <c r="Q5" s="2142"/>
      <c r="R5" s="2142"/>
      <c r="S5" s="2142"/>
      <c r="AF5" s="1885"/>
    </row>
    <row r="6" spans="1:32" ht="14.1" customHeight="1" x14ac:dyDescent="0.2">
      <c r="B6" s="101" t="s">
        <v>2062</v>
      </c>
      <c r="C6" s="26" t="s">
        <v>905</v>
      </c>
      <c r="D6" s="81"/>
      <c r="E6" s="81"/>
      <c r="I6" s="2196" t="s">
        <v>877</v>
      </c>
      <c r="J6" s="2142"/>
      <c r="K6" s="2142"/>
      <c r="L6" s="2142"/>
      <c r="M6" s="2142"/>
      <c r="N6" s="2142"/>
      <c r="O6" s="2142"/>
      <c r="P6" s="2142"/>
      <c r="Q6" s="2142"/>
      <c r="R6" s="2142"/>
      <c r="S6" s="2142"/>
    </row>
    <row r="7" spans="1:32" ht="12.2" customHeight="1" x14ac:dyDescent="0.2">
      <c r="I7" s="2191" t="str">
        <f>"June 30, "&amp;'AFR20'!E2</f>
        <v>June 30, 2020</v>
      </c>
      <c r="J7" s="2192"/>
      <c r="K7" s="2192"/>
      <c r="L7" s="2192"/>
      <c r="M7" s="2192"/>
      <c r="N7" s="2192"/>
      <c r="O7" s="2192"/>
      <c r="P7" s="2192"/>
      <c r="Q7" s="2192"/>
      <c r="R7" s="2192"/>
      <c r="S7" s="21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3" t="s">
        <v>669</v>
      </c>
      <c r="J9" s="2194"/>
      <c r="K9" s="2194"/>
      <c r="L9" s="2194"/>
      <c r="M9" s="2194"/>
      <c r="N9" s="2194"/>
      <c r="O9" s="2194"/>
      <c r="P9" s="2194"/>
      <c r="Q9" s="2194"/>
      <c r="R9" s="2194"/>
      <c r="S9" s="2195"/>
      <c r="T9" s="2138" t="s">
        <v>530</v>
      </c>
      <c r="U9" s="2139"/>
      <c r="V9" s="2139"/>
      <c r="W9" s="2139"/>
      <c r="X9" s="2139"/>
      <c r="Y9" s="2139"/>
      <c r="Z9" s="2139"/>
      <c r="AA9" s="2140"/>
    </row>
    <row r="10" spans="1:32" ht="13.5" customHeight="1" x14ac:dyDescent="0.2">
      <c r="A10" s="2147" t="s">
        <v>670</v>
      </c>
      <c r="B10" s="2148"/>
      <c r="C10" s="2148"/>
      <c r="D10" s="2148"/>
      <c r="E10" s="2148"/>
      <c r="F10" s="2148"/>
      <c r="G10" s="2148"/>
      <c r="H10" s="2149"/>
      <c r="I10" s="29"/>
      <c r="J10" s="30"/>
      <c r="K10" s="28"/>
      <c r="R10" s="30"/>
      <c r="S10" s="30"/>
      <c r="T10" s="2141"/>
      <c r="U10" s="2142"/>
      <c r="V10" s="2142"/>
      <c r="W10" s="2142"/>
      <c r="X10" s="2142"/>
      <c r="Y10" s="2142"/>
      <c r="Z10" s="2142"/>
      <c r="AA10" s="2143"/>
    </row>
    <row r="11" spans="1:32" ht="14.25" customHeight="1" x14ac:dyDescent="0.2">
      <c r="A11" s="2150" t="s">
        <v>949</v>
      </c>
      <c r="B11" s="2151"/>
      <c r="C11" s="2151"/>
      <c r="D11" s="2151"/>
      <c r="E11" s="2151"/>
      <c r="F11" s="2151"/>
      <c r="G11" s="2151"/>
      <c r="H11" s="2152"/>
      <c r="I11" s="27"/>
      <c r="J11" s="71"/>
      <c r="K11" s="27"/>
      <c r="O11" s="144" t="s">
        <v>2062</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8">
        <v>24032101061</v>
      </c>
      <c r="B13" s="2159"/>
      <c r="C13" s="2159"/>
      <c r="D13" s="2159"/>
      <c r="E13" s="2159"/>
      <c r="F13" s="2159"/>
      <c r="G13" s="2159"/>
      <c r="H13" s="2160"/>
      <c r="I13" s="31"/>
      <c r="J13" s="30"/>
      <c r="K13" s="28"/>
      <c r="L13" s="30"/>
      <c r="M13" s="30"/>
      <c r="N13" s="30"/>
      <c r="O13" s="30"/>
      <c r="P13" s="30"/>
      <c r="Q13" s="30"/>
      <c r="R13" s="30"/>
      <c r="S13" s="30"/>
      <c r="T13" s="2163" t="s">
        <v>2018</v>
      </c>
      <c r="U13" s="2164"/>
      <c r="V13" s="2164"/>
      <c r="W13" s="2164"/>
      <c r="X13" s="2164"/>
      <c r="Y13" s="2165"/>
      <c r="Z13" s="2165"/>
      <c r="AA13" s="216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6" t="s">
        <v>2066</v>
      </c>
      <c r="B15" s="2161"/>
      <c r="C15" s="2161"/>
      <c r="D15" s="2161"/>
      <c r="E15" s="2161"/>
      <c r="F15" s="2161"/>
      <c r="G15" s="2161"/>
      <c r="H15" s="2162"/>
      <c r="T15" s="2124" t="s">
        <v>2063</v>
      </c>
      <c r="U15" s="2125"/>
      <c r="V15" s="2125"/>
      <c r="W15" s="2125"/>
      <c r="X15" s="2125"/>
      <c r="Y15" s="2167"/>
      <c r="Z15" s="2167"/>
      <c r="AA15" s="216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2137</v>
      </c>
      <c r="B17" s="2186"/>
      <c r="C17" s="2186"/>
      <c r="D17" s="2186"/>
      <c r="E17" s="2186"/>
      <c r="F17" s="2186"/>
      <c r="G17" s="2186"/>
      <c r="H17" s="2187"/>
      <c r="T17" s="2173" t="s">
        <v>2019</v>
      </c>
      <c r="U17" s="2174"/>
      <c r="V17" s="2174"/>
      <c r="W17" s="2174"/>
      <c r="X17" s="2174"/>
      <c r="Y17" s="2174"/>
      <c r="Z17" s="2174"/>
      <c r="AA17" s="2175"/>
    </row>
    <row r="18" spans="1:27" ht="13.5" customHeight="1" x14ac:dyDescent="0.2">
      <c r="A18" s="82" t="s">
        <v>527</v>
      </c>
      <c r="B18" s="73"/>
      <c r="C18" s="69"/>
      <c r="D18" s="73"/>
      <c r="E18" s="73"/>
      <c r="F18" s="73"/>
      <c r="G18" s="73"/>
      <c r="H18" s="53"/>
      <c r="I18" s="2183" t="s">
        <v>671</v>
      </c>
      <c r="J18" s="2184"/>
      <c r="K18" s="2184"/>
      <c r="L18" s="2184"/>
      <c r="M18" s="2184"/>
      <c r="N18" s="2184"/>
      <c r="O18" s="2184"/>
      <c r="P18" s="2184"/>
      <c r="Q18" s="2184"/>
      <c r="R18" s="2184"/>
      <c r="S18" s="2185"/>
      <c r="T18" s="82" t="s">
        <v>706</v>
      </c>
      <c r="U18" s="48"/>
      <c r="V18" s="69"/>
      <c r="W18" s="47"/>
      <c r="X18" s="82" t="s">
        <v>264</v>
      </c>
      <c r="Y18" s="78"/>
      <c r="Z18" s="154" t="s">
        <v>672</v>
      </c>
      <c r="AA18" s="44"/>
    </row>
    <row r="19" spans="1:27" ht="13.5" customHeight="1" x14ac:dyDescent="0.2">
      <c r="A19" s="2156" t="s">
        <v>2067</v>
      </c>
      <c r="B19" s="2157"/>
      <c r="C19" s="2157"/>
      <c r="D19" s="2157"/>
      <c r="E19" s="2157"/>
      <c r="F19" s="2157"/>
      <c r="G19" s="2157"/>
      <c r="H19" s="2155"/>
      <c r="I19" s="30"/>
      <c r="J19" s="96"/>
      <c r="K19" s="40"/>
      <c r="L19" s="38"/>
      <c r="M19" s="109" t="s">
        <v>312</v>
      </c>
      <c r="P19" s="27"/>
      <c r="Q19" s="27"/>
      <c r="R19" s="27"/>
      <c r="S19" s="31"/>
      <c r="T19" s="2156" t="s">
        <v>2020</v>
      </c>
      <c r="U19" s="2154"/>
      <c r="V19" s="2154"/>
      <c r="W19" s="2155"/>
      <c r="X19" s="2171" t="s">
        <v>2021</v>
      </c>
      <c r="Y19" s="2172"/>
      <c r="Z19" s="2169">
        <v>60435</v>
      </c>
      <c r="AA19" s="217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3" t="s">
        <v>2068</v>
      </c>
      <c r="B21" s="2154"/>
      <c r="C21" s="2154"/>
      <c r="D21" s="2154"/>
      <c r="E21" s="2154"/>
      <c r="F21" s="2154"/>
      <c r="G21" s="2154"/>
      <c r="H21" s="2155"/>
      <c r="I21" s="2179" t="s">
        <v>673</v>
      </c>
      <c r="J21" s="2142"/>
      <c r="K21" s="2142"/>
      <c r="L21" s="2142"/>
      <c r="M21" s="2142"/>
      <c r="N21" s="2142"/>
      <c r="O21" s="2142"/>
      <c r="P21" s="2142"/>
      <c r="Q21" s="2142"/>
      <c r="R21" s="2142"/>
      <c r="S21" s="2143"/>
      <c r="T21" s="2121" t="s">
        <v>2022</v>
      </c>
      <c r="U21" s="2122"/>
      <c r="V21" s="2122"/>
      <c r="W21" s="2122"/>
      <c r="X21" s="2135" t="s">
        <v>2023</v>
      </c>
      <c r="Y21" s="2136"/>
      <c r="Z21" s="2136"/>
      <c r="AA21" s="2137"/>
    </row>
    <row r="22" spans="1:27" ht="13.5" customHeight="1" x14ac:dyDescent="0.2">
      <c r="A22" s="84" t="s">
        <v>528</v>
      </c>
      <c r="B22" s="56"/>
      <c r="C22" s="56"/>
      <c r="D22" s="56"/>
      <c r="E22" s="56"/>
      <c r="F22" s="56"/>
      <c r="G22" s="56"/>
      <c r="H22" s="57"/>
      <c r="I22" s="2180" t="s">
        <v>1415</v>
      </c>
      <c r="J22" s="2181"/>
      <c r="K22" s="2181"/>
      <c r="L22" s="2181"/>
      <c r="M22" s="2181"/>
      <c r="N22" s="2181"/>
      <c r="O22" s="2181"/>
      <c r="P22" s="2181"/>
      <c r="Q22" s="2181"/>
      <c r="R22" s="2181"/>
      <c r="S22" s="2182"/>
      <c r="T22" s="82" t="s">
        <v>1502</v>
      </c>
      <c r="U22" s="48"/>
      <c r="V22" s="69"/>
      <c r="W22" s="48"/>
      <c r="X22" s="155" t="s">
        <v>1309</v>
      </c>
      <c r="Z22" s="43"/>
      <c r="AA22" s="44"/>
    </row>
    <row r="23" spans="1:27" ht="13.5" customHeight="1" x14ac:dyDescent="0.2">
      <c r="A23" s="2176"/>
      <c r="B23" s="2177"/>
      <c r="C23" s="2177"/>
      <c r="D23" s="2177"/>
      <c r="E23" s="2177"/>
      <c r="F23" s="2177"/>
      <c r="G23" s="2177"/>
      <c r="H23" s="2178"/>
      <c r="T23" s="2116" t="s">
        <v>2024</v>
      </c>
      <c r="U23" s="2117"/>
      <c r="V23" s="2117"/>
      <c r="W23" s="2117"/>
      <c r="X23" s="2132">
        <v>44530</v>
      </c>
      <c r="Y23" s="2133"/>
      <c r="Z23" s="2133"/>
      <c r="AA23" s="2134"/>
    </row>
    <row r="24" spans="1:27" ht="14.1" customHeight="1" x14ac:dyDescent="0.2">
      <c r="A24" s="85" t="s">
        <v>672</v>
      </c>
      <c r="B24" s="46"/>
      <c r="C24" s="46"/>
      <c r="D24" s="46"/>
      <c r="E24" s="46"/>
      <c r="F24" s="46"/>
      <c r="G24" s="46"/>
      <c r="H24" s="58"/>
      <c r="J24" s="2218" t="str">
        <f>IF(B5="x",IF(AUDITCHECK!D29="AFR form Incomplete.","",IF(AUDITCHECK!D29="Deficit reduction plan is required.","School District must complete a deficit reduction plan in the 2019-2020 Budget",)),"")</f>
        <v/>
      </c>
      <c r="K24" s="2218"/>
      <c r="L24" s="2218"/>
      <c r="M24" s="2218"/>
      <c r="N24" s="2218"/>
      <c r="O24" s="2218"/>
      <c r="P24" s="2218"/>
      <c r="Q24" s="2218"/>
      <c r="R24" s="2218"/>
      <c r="S24" s="2219"/>
      <c r="T24" s="102" t="s">
        <v>528</v>
      </c>
      <c r="U24" s="103"/>
      <c r="V24" s="103"/>
      <c r="W24" s="103"/>
      <c r="X24" s="104"/>
      <c r="Y24" s="104"/>
      <c r="Z24" s="104"/>
      <c r="AA24" s="105"/>
    </row>
    <row r="25" spans="1:27" ht="14.1" customHeight="1" x14ac:dyDescent="0.2">
      <c r="A25" s="2153">
        <v>60450</v>
      </c>
      <c r="B25" s="2154"/>
      <c r="C25" s="2154"/>
      <c r="D25" s="2154"/>
      <c r="E25" s="2154"/>
      <c r="F25" s="2154"/>
      <c r="G25" s="2154"/>
      <c r="H25" s="2155"/>
      <c r="I25" s="110"/>
      <c r="J25" s="2220"/>
      <c r="K25" s="2220"/>
      <c r="L25" s="2220"/>
      <c r="M25" s="2220"/>
      <c r="N25" s="2220"/>
      <c r="O25" s="2220"/>
      <c r="P25" s="2220"/>
      <c r="Q25" s="2220"/>
      <c r="R25" s="2220"/>
      <c r="S25" s="2221"/>
      <c r="T25" s="2113"/>
      <c r="U25" s="2114"/>
      <c r="V25" s="2114"/>
      <c r="W25" s="2114"/>
      <c r="X25" s="2114"/>
      <c r="Y25" s="2114"/>
      <c r="Z25" s="2114"/>
      <c r="AA25" s="21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1" t="s">
        <v>1497</v>
      </c>
      <c r="J27" s="2184"/>
      <c r="K27" s="2184"/>
      <c r="L27" s="2184"/>
      <c r="M27" s="2184"/>
      <c r="N27" s="2184"/>
      <c r="O27" s="2184"/>
      <c r="P27" s="2184"/>
      <c r="Q27" s="2184"/>
      <c r="R27" s="2184"/>
      <c r="S27" s="218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2064</v>
      </c>
      <c r="F29" s="137" t="s">
        <v>1307</v>
      </c>
      <c r="G29" s="111"/>
      <c r="I29" s="51"/>
      <c r="J29" s="144" t="s">
        <v>2064</v>
      </c>
      <c r="K29" s="28" t="s">
        <v>572</v>
      </c>
      <c r="L29" s="144"/>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2064</v>
      </c>
      <c r="K30" s="28" t="s">
        <v>572</v>
      </c>
      <c r="L30" s="144"/>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2064</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7"/>
      <c r="Q35" s="2154"/>
      <c r="R35" s="21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2069</v>
      </c>
      <c r="B38" s="2186"/>
      <c r="C38" s="2186"/>
      <c r="D38" s="2186"/>
      <c r="E38" s="2186"/>
      <c r="F38" s="2154"/>
      <c r="G38" s="2154"/>
      <c r="H38" s="2155"/>
      <c r="I38" s="2205"/>
      <c r="J38" s="2125"/>
      <c r="K38" s="2125"/>
      <c r="L38" s="2125"/>
      <c r="M38" s="2125"/>
      <c r="N38" s="2125"/>
      <c r="O38" s="2125"/>
      <c r="P38" s="2126"/>
      <c r="Q38" s="2126"/>
      <c r="R38" s="2126"/>
      <c r="S38" s="2127"/>
      <c r="T38" s="2124"/>
      <c r="U38" s="2125"/>
      <c r="V38" s="2125"/>
      <c r="W38" s="2125"/>
      <c r="X38" s="2126"/>
      <c r="Y38" s="2126"/>
      <c r="Z38" s="2126"/>
      <c r="AA38" s="2127"/>
    </row>
    <row r="39" spans="1:27" ht="12" customHeight="1" x14ac:dyDescent="0.2">
      <c r="A39" s="2209" t="s">
        <v>528</v>
      </c>
      <c r="B39" s="2210"/>
      <c r="C39" s="69"/>
      <c r="D39" s="66"/>
      <c r="E39" s="66"/>
      <c r="F39" s="76"/>
      <c r="G39" s="66"/>
      <c r="H39" s="53"/>
      <c r="I39" s="2209" t="s">
        <v>528</v>
      </c>
      <c r="J39" s="2210"/>
      <c r="K39" s="2210"/>
      <c r="L39" s="2210"/>
      <c r="M39" s="2210"/>
      <c r="N39" s="64"/>
      <c r="O39" s="69"/>
      <c r="P39" s="69"/>
      <c r="Q39" s="75"/>
      <c r="R39" s="69"/>
      <c r="S39" s="53"/>
      <c r="T39" s="69" t="s">
        <v>528</v>
      </c>
      <c r="U39" s="48"/>
      <c r="V39" s="69"/>
      <c r="W39" s="47"/>
      <c r="X39" s="75"/>
      <c r="Y39" s="43"/>
      <c r="Z39" s="43"/>
      <c r="AA39" s="44"/>
    </row>
    <row r="40" spans="1:27" ht="13.5" customHeight="1" x14ac:dyDescent="0.2">
      <c r="A40" s="2212"/>
      <c r="B40" s="2213"/>
      <c r="C40" s="2214"/>
      <c r="D40" s="2214"/>
      <c r="E40" s="2214"/>
      <c r="F40" s="2215"/>
      <c r="G40" s="2215"/>
      <c r="H40" s="2216"/>
      <c r="I40" s="2128"/>
      <c r="J40" s="2130"/>
      <c r="K40" s="2130"/>
      <c r="L40" s="2130"/>
      <c r="M40" s="2130"/>
      <c r="N40" s="2130"/>
      <c r="O40" s="2130"/>
      <c r="P40" s="2130"/>
      <c r="Q40" s="2130"/>
      <c r="R40" s="2130"/>
      <c r="S40" s="2131"/>
      <c r="T40" s="2128"/>
      <c r="U40" s="2129"/>
      <c r="V40" s="2130"/>
      <c r="W40" s="2130"/>
      <c r="X40" s="2130"/>
      <c r="Y40" s="2130"/>
      <c r="Z40" s="2130"/>
      <c r="AA40" s="213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2" t="s">
        <v>2070</v>
      </c>
      <c r="B42" s="2203"/>
      <c r="C42" s="2204"/>
      <c r="D42" s="2217" t="s">
        <v>2071</v>
      </c>
      <c r="E42" s="2203"/>
      <c r="F42" s="2203"/>
      <c r="G42" s="2203"/>
      <c r="H42" s="2204"/>
      <c r="I42" s="2123"/>
      <c r="J42" s="2119"/>
      <c r="K42" s="2119"/>
      <c r="L42" s="2119"/>
      <c r="M42" s="2119"/>
      <c r="N42" s="2119"/>
      <c r="O42" s="2120"/>
      <c r="P42" s="2118"/>
      <c r="Q42" s="2119"/>
      <c r="R42" s="2119"/>
      <c r="S42" s="2120"/>
      <c r="T42" s="2123"/>
      <c r="U42" s="2119"/>
      <c r="V42" s="2119"/>
      <c r="W42" s="2120"/>
      <c r="X42" s="2118"/>
      <c r="Y42" s="2119"/>
      <c r="Z42" s="2119"/>
      <c r="AA42" s="212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6"/>
      <c r="B44" s="2207"/>
      <c r="C44" s="2207"/>
      <c r="D44" s="2207"/>
      <c r="E44" s="2207"/>
      <c r="F44" s="2207"/>
      <c r="G44" s="2207"/>
      <c r="H44" s="2208"/>
      <c r="I44" s="2198"/>
      <c r="J44" s="2200"/>
      <c r="K44" s="2200"/>
      <c r="L44" s="2200"/>
      <c r="M44" s="2200"/>
      <c r="N44" s="2200"/>
      <c r="O44" s="2200"/>
      <c r="P44" s="2200"/>
      <c r="Q44" s="2200"/>
      <c r="R44" s="2200"/>
      <c r="S44" s="2201"/>
      <c r="T44" s="2198"/>
      <c r="U44" s="2199"/>
      <c r="V44" s="2199"/>
      <c r="W44" s="2199"/>
      <c r="X44" s="2199"/>
      <c r="Y44" s="2199"/>
      <c r="Z44" s="2200"/>
      <c r="AA44" s="220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 sqref="A4:L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0"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1"/>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A4" sqref="A4:L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6" t="s">
        <v>625</v>
      </c>
      <c r="B1" s="2367"/>
      <c r="C1" s="585"/>
    </row>
    <row r="2" spans="1:7" ht="33.75" x14ac:dyDescent="0.2">
      <c r="A2" s="2375" t="s">
        <v>1779</v>
      </c>
      <c r="B2" s="2376"/>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9" t="s">
        <v>1106</v>
      </c>
      <c r="B3" s="2380"/>
      <c r="C3" s="2368"/>
      <c r="D3" s="2369"/>
      <c r="E3" s="2369"/>
      <c r="F3" s="2370"/>
    </row>
    <row r="4" spans="1:7" ht="12.75" customHeight="1" thickBot="1" x14ac:dyDescent="0.25">
      <c r="A4" s="2377" t="s">
        <v>626</v>
      </c>
      <c r="B4" s="2378"/>
      <c r="C4" s="1706"/>
      <c r="D4" s="1706"/>
      <c r="E4" s="1706"/>
      <c r="F4" s="1782">
        <f>SUM(C4+D4)-E4</f>
        <v>0</v>
      </c>
    </row>
    <row r="5" spans="1:7" ht="15.75" customHeight="1" thickTop="1" x14ac:dyDescent="0.2">
      <c r="A5" s="2362" t="s">
        <v>1103</v>
      </c>
      <c r="B5" s="2363"/>
      <c r="C5" s="2371"/>
      <c r="D5" s="2372"/>
      <c r="E5" s="2372"/>
      <c r="F5" s="237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4" t="s">
        <v>627</v>
      </c>
      <c r="B15" s="2365"/>
      <c r="C15" s="1782">
        <f>SUM(C6:C14)</f>
        <v>0</v>
      </c>
      <c r="D15" s="1782">
        <f>SUM(D6:D14)</f>
        <v>0</v>
      </c>
      <c r="E15" s="1782">
        <f>SUM(E6:E14)</f>
        <v>0</v>
      </c>
      <c r="F15" s="1782">
        <f>SUM(F6:F14)</f>
        <v>0</v>
      </c>
      <c r="G15" s="473"/>
    </row>
    <row r="16" spans="1:7" s="197" customFormat="1" ht="15.75" customHeight="1" thickTop="1" x14ac:dyDescent="0.2">
      <c r="A16" s="2374" t="s">
        <v>1104</v>
      </c>
      <c r="B16" s="2363"/>
      <c r="C16" s="2371"/>
      <c r="D16" s="2372"/>
      <c r="E16" s="2372"/>
      <c r="F16" s="2373"/>
    </row>
    <row r="17" spans="1:11" ht="12.75" customHeight="1" thickBot="1" x14ac:dyDescent="0.25">
      <c r="A17" s="2387" t="s">
        <v>64</v>
      </c>
      <c r="B17" s="2388"/>
      <c r="C17" s="1783"/>
      <c r="D17" s="1714"/>
      <c r="E17" s="1783"/>
      <c r="F17" s="1782">
        <f>SUM(C17+D17)-E17</f>
        <v>0</v>
      </c>
    </row>
    <row r="18" spans="1:11" ht="12.75" customHeight="1" thickTop="1" thickBot="1" x14ac:dyDescent="0.25">
      <c r="A18" s="2387" t="s">
        <v>6</v>
      </c>
      <c r="B18" s="2388"/>
      <c r="C18" s="1783"/>
      <c r="D18" s="1714"/>
      <c r="E18" s="1783"/>
      <c r="F18" s="1782">
        <f>SUM(C18+D18)-E18</f>
        <v>0</v>
      </c>
    </row>
    <row r="19" spans="1:11" ht="12.75" customHeight="1" thickTop="1" thickBot="1" x14ac:dyDescent="0.25">
      <c r="A19" s="2387" t="s">
        <v>385</v>
      </c>
      <c r="B19" s="2388"/>
      <c r="C19" s="1783"/>
      <c r="D19" s="1714"/>
      <c r="E19" s="1783"/>
      <c r="F19" s="1782">
        <f>SUM(C19+D19)-E19</f>
        <v>0</v>
      </c>
    </row>
    <row r="20" spans="1:11" ht="12.75" customHeight="1" thickTop="1" thickBot="1" x14ac:dyDescent="0.25">
      <c r="A20" s="2387" t="s">
        <v>445</v>
      </c>
      <c r="B20" s="2388"/>
      <c r="C20" s="1783"/>
      <c r="D20" s="1714"/>
      <c r="E20" s="1783"/>
      <c r="F20" s="1782">
        <f>SUM(C20+D20)-E20</f>
        <v>0</v>
      </c>
    </row>
    <row r="21" spans="1:11" ht="14.25" thickTop="1" thickBot="1" x14ac:dyDescent="0.25">
      <c r="A21" s="2364" t="s">
        <v>628</v>
      </c>
      <c r="B21" s="2365"/>
      <c r="C21" s="1782">
        <f>SUM(C17:C20)</f>
        <v>0</v>
      </c>
      <c r="D21" s="1782">
        <f>SUM(D17:D20)</f>
        <v>0</v>
      </c>
      <c r="E21" s="1782">
        <f>SUM(E17:E20)</f>
        <v>0</v>
      </c>
      <c r="F21" s="1782">
        <f>SUM(F17:F20)</f>
        <v>0</v>
      </c>
      <c r="G21" s="473"/>
    </row>
    <row r="22" spans="1:11" ht="15.75" customHeight="1" thickTop="1" x14ac:dyDescent="0.2">
      <c r="A22" s="2389" t="s">
        <v>1105</v>
      </c>
      <c r="B22" s="2363"/>
      <c r="C22" s="2371"/>
      <c r="D22" s="2372"/>
      <c r="E22" s="2372"/>
      <c r="F22" s="2373"/>
    </row>
    <row r="23" spans="1:11" ht="13.5" thickBot="1" x14ac:dyDescent="0.25">
      <c r="A23" s="2377" t="s">
        <v>629</v>
      </c>
      <c r="B23" s="2378"/>
      <c r="C23" s="1706"/>
      <c r="D23" s="1706"/>
      <c r="E23" s="1706"/>
      <c r="F23" s="1782">
        <f>SUM(C23+D23)-E23</f>
        <v>0</v>
      </c>
      <c r="G23" s="473"/>
    </row>
    <row r="24" spans="1:11" ht="15.75" customHeight="1" thickTop="1" x14ac:dyDescent="0.2">
      <c r="A24" s="2389" t="s">
        <v>2006</v>
      </c>
      <c r="B24" s="2363"/>
      <c r="C24" s="2371"/>
      <c r="D24" s="2372"/>
      <c r="E24" s="2372"/>
      <c r="F24" s="2373"/>
    </row>
    <row r="25" spans="1:11" ht="13.5" thickBot="1" x14ac:dyDescent="0.25">
      <c r="A25" s="2377" t="s">
        <v>2007</v>
      </c>
      <c r="B25" s="2378"/>
      <c r="C25" s="1706"/>
      <c r="D25" s="1706"/>
      <c r="E25" s="1706"/>
      <c r="F25" s="1782">
        <f>SUM(C25+D25)-E25</f>
        <v>0</v>
      </c>
      <c r="G25" s="473"/>
    </row>
    <row r="26" spans="1:11" ht="15.75" customHeight="1" thickTop="1" x14ac:dyDescent="0.2">
      <c r="A26" s="2362" t="s">
        <v>652</v>
      </c>
      <c r="B26" s="2363"/>
      <c r="C26" s="589"/>
      <c r="D26" s="589"/>
      <c r="E26" s="589"/>
      <c r="F26" s="590"/>
    </row>
    <row r="27" spans="1:11" ht="13.5" thickBot="1" x14ac:dyDescent="0.25">
      <c r="A27" s="2364" t="s">
        <v>1063</v>
      </c>
      <c r="B27" s="2365"/>
      <c r="C27" s="1714"/>
      <c r="D27" s="1714"/>
      <c r="E27" s="1714"/>
      <c r="F27" s="1782">
        <f>SUM(C27+D27)-E27</f>
        <v>0</v>
      </c>
      <c r="G27" s="473"/>
    </row>
    <row r="28" spans="1:11" ht="7.5" customHeight="1" thickTop="1" x14ac:dyDescent="0.2">
      <c r="A28" s="489"/>
    </row>
    <row r="29" spans="1:11" ht="23.25" customHeight="1" x14ac:dyDescent="0.2">
      <c r="A29" s="2390" t="s">
        <v>578</v>
      </c>
      <c r="B29" s="236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81" t="s">
        <v>580</v>
      </c>
      <c r="C52" s="2382"/>
      <c r="D52" s="2382"/>
      <c r="E52" s="603" t="s">
        <v>840</v>
      </c>
      <c r="F52" s="2383"/>
      <c r="G52" s="2384"/>
      <c r="H52" s="596"/>
      <c r="I52" s="596"/>
      <c r="J52" s="600"/>
    </row>
    <row r="53" spans="1:11" ht="11.25" customHeight="1" x14ac:dyDescent="0.2">
      <c r="A53" s="604" t="s">
        <v>907</v>
      </c>
      <c r="B53" s="605" t="s">
        <v>945</v>
      </c>
      <c r="C53" s="600"/>
      <c r="D53" s="597"/>
      <c r="E53" s="603" t="s">
        <v>494</v>
      </c>
      <c r="F53" s="2385"/>
      <c r="G53" s="2386"/>
      <c r="H53" s="596"/>
      <c r="I53" s="596"/>
      <c r="J53" s="600"/>
    </row>
    <row r="54" spans="1:11" ht="11.25" customHeight="1" x14ac:dyDescent="0.2">
      <c r="A54" s="606" t="s">
        <v>908</v>
      </c>
      <c r="B54" s="601" t="s">
        <v>946</v>
      </c>
      <c r="C54" s="600"/>
      <c r="D54" s="597"/>
      <c r="E54" s="603" t="s">
        <v>495</v>
      </c>
      <c r="F54" s="2385"/>
      <c r="G54" s="23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 sqref="A4:L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7" t="s">
        <v>851</v>
      </c>
      <c r="B1" s="2418"/>
      <c r="C1" s="2418"/>
      <c r="D1" s="2418"/>
      <c r="E1" s="2418"/>
      <c r="F1" s="2418"/>
      <c r="G1" s="2419"/>
      <c r="H1" s="1343"/>
      <c r="I1" s="614"/>
      <c r="J1" s="400"/>
    </row>
    <row r="2" spans="1:11" ht="26.25" x14ac:dyDescent="0.2">
      <c r="A2" s="2394" t="s">
        <v>1661</v>
      </c>
      <c r="B2" s="2395"/>
      <c r="C2" s="2395"/>
      <c r="D2" s="2395"/>
      <c r="E2" s="2396"/>
      <c r="F2" s="615" t="s">
        <v>898</v>
      </c>
      <c r="G2" s="616" t="s">
        <v>1658</v>
      </c>
      <c r="H2" s="616" t="s">
        <v>407</v>
      </c>
      <c r="I2" s="616" t="s">
        <v>1150</v>
      </c>
      <c r="J2" s="616" t="s">
        <v>1789</v>
      </c>
      <c r="K2" s="616" t="s">
        <v>137</v>
      </c>
    </row>
    <row r="3" spans="1:11" x14ac:dyDescent="0.2">
      <c r="A3" s="2397" t="str">
        <f>"Cash Basis Fund Balance as of July 1, "&amp;'AFR20'!E2-1</f>
        <v>Cash Basis Fund Balance as of July 1, 2019</v>
      </c>
      <c r="B3" s="2398"/>
      <c r="C3" s="2398"/>
      <c r="D3" s="2398"/>
      <c r="E3" s="2399"/>
      <c r="F3" s="617"/>
      <c r="G3" s="1794"/>
      <c r="H3" s="1794"/>
      <c r="I3" s="1794"/>
      <c r="J3" s="1795"/>
      <c r="K3" s="1795"/>
    </row>
    <row r="4" spans="1:11" x14ac:dyDescent="0.2">
      <c r="A4" s="2400" t="s">
        <v>366</v>
      </c>
      <c r="B4" s="2401"/>
      <c r="C4" s="2401"/>
      <c r="D4" s="2401"/>
      <c r="E4" s="2382"/>
      <c r="F4" s="620"/>
      <c r="G4" s="1796"/>
      <c r="H4" s="1797"/>
      <c r="I4" s="1796"/>
      <c r="J4" s="1798"/>
      <c r="K4" s="1798"/>
    </row>
    <row r="5" spans="1:11" x14ac:dyDescent="0.2">
      <c r="A5" s="2420" t="s">
        <v>1062</v>
      </c>
      <c r="B5" s="2391"/>
      <c r="C5" s="2391"/>
      <c r="D5" s="2391"/>
      <c r="E5" s="2421"/>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20" t="s">
        <v>1790</v>
      </c>
      <c r="B10" s="2391"/>
      <c r="C10" s="2391"/>
      <c r="D10" s="2391"/>
      <c r="E10" s="2422"/>
      <c r="F10" s="633" t="s">
        <v>857</v>
      </c>
      <c r="G10" s="1803"/>
      <c r="H10" s="1804"/>
      <c r="I10" s="1794"/>
      <c r="J10" s="1795"/>
      <c r="K10" s="1795"/>
    </row>
    <row r="11" spans="1:11" x14ac:dyDescent="0.2">
      <c r="A11" s="2420" t="s">
        <v>159</v>
      </c>
      <c r="B11" s="2391"/>
      <c r="C11" s="2391"/>
      <c r="D11" s="2391"/>
      <c r="E11" s="2421"/>
      <c r="F11" s="622" t="s">
        <v>847</v>
      </c>
      <c r="G11" s="1799"/>
      <c r="H11" s="1794"/>
      <c r="I11" s="1794"/>
      <c r="J11" s="1795"/>
      <c r="K11" s="1801"/>
    </row>
    <row r="12" spans="1:11" ht="13.5" thickBot="1" x14ac:dyDescent="0.25">
      <c r="A12" s="2408" t="s">
        <v>899</v>
      </c>
      <c r="B12" s="2409"/>
      <c r="C12" s="2409"/>
      <c r="D12" s="2409"/>
      <c r="E12" s="2410"/>
      <c r="F12" s="1482"/>
      <c r="G12" s="1805">
        <f>SUM(G5:G11)</f>
        <v>0</v>
      </c>
      <c r="H12" s="1805">
        <f>SUM(H5:H11)</f>
        <v>0</v>
      </c>
      <c r="I12" s="1805">
        <f>SUM(I5:I11)</f>
        <v>0</v>
      </c>
      <c r="J12" s="1805">
        <f>SUM(J5:J11)</f>
        <v>0</v>
      </c>
      <c r="K12" s="1805">
        <f>SUM(K5:K11)</f>
        <v>0</v>
      </c>
    </row>
    <row r="13" spans="1:11" ht="13.5" thickTop="1" x14ac:dyDescent="0.2">
      <c r="A13" s="2402" t="s">
        <v>367</v>
      </c>
      <c r="B13" s="2403"/>
      <c r="C13" s="2403"/>
      <c r="D13" s="2403"/>
      <c r="E13" s="2404"/>
      <c r="F13" s="634"/>
      <c r="G13" s="1806"/>
      <c r="H13" s="1807"/>
      <c r="I13" s="1808"/>
      <c r="J13" s="1808"/>
      <c r="K13" s="1808"/>
    </row>
    <row r="14" spans="1:11" x14ac:dyDescent="0.2">
      <c r="A14" s="2426" t="s">
        <v>453</v>
      </c>
      <c r="B14" s="2426"/>
      <c r="C14" s="2426"/>
      <c r="D14" s="2426"/>
      <c r="E14" s="2427"/>
      <c r="F14" s="635" t="s">
        <v>849</v>
      </c>
      <c r="G14" s="1803"/>
      <c r="H14" s="1794"/>
      <c r="I14" s="1799"/>
      <c r="J14" s="1801"/>
      <c r="K14" s="1795"/>
    </row>
    <row r="15" spans="1:11" x14ac:dyDescent="0.2">
      <c r="A15" s="2391" t="s">
        <v>4</v>
      </c>
      <c r="B15" s="2391"/>
      <c r="C15" s="2391"/>
      <c r="D15" s="2391"/>
      <c r="E15" s="2421"/>
      <c r="F15" s="635" t="s">
        <v>850</v>
      </c>
      <c r="G15" s="1799"/>
      <c r="H15" s="1794"/>
      <c r="I15" s="1794"/>
      <c r="J15" s="1795"/>
      <c r="K15" s="1795"/>
    </row>
    <row r="16" spans="1:11" x14ac:dyDescent="0.2">
      <c r="A16" s="2391" t="s">
        <v>295</v>
      </c>
      <c r="B16" s="2391"/>
      <c r="C16" s="2391"/>
      <c r="D16" s="2391"/>
      <c r="E16" s="2421"/>
      <c r="F16" s="635" t="s">
        <v>917</v>
      </c>
      <c r="G16" s="1800"/>
      <c r="H16" s="1796"/>
      <c r="I16" s="1796"/>
      <c r="J16" s="1798"/>
      <c r="K16" s="1798"/>
    </row>
    <row r="17" spans="1:15" x14ac:dyDescent="0.2">
      <c r="A17" s="2415" t="s">
        <v>929</v>
      </c>
      <c r="B17" s="2415"/>
      <c r="C17" s="2415"/>
      <c r="D17" s="2415"/>
      <c r="E17" s="2416"/>
      <c r="F17" s="636"/>
      <c r="G17" s="1809"/>
      <c r="H17" s="1810"/>
      <c r="I17" s="1810"/>
      <c r="J17" s="1811"/>
      <c r="K17" s="1812"/>
    </row>
    <row r="18" spans="1:15" x14ac:dyDescent="0.2">
      <c r="A18" s="2405" t="s">
        <v>365</v>
      </c>
      <c r="B18" s="2406"/>
      <c r="C18" s="2406"/>
      <c r="D18" s="2406"/>
      <c r="E18" s="2407"/>
      <c r="F18" s="635" t="s">
        <v>926</v>
      </c>
      <c r="G18" s="1803"/>
      <c r="H18" s="1803"/>
      <c r="I18" s="1803"/>
      <c r="J18" s="1795"/>
      <c r="K18" s="1813"/>
    </row>
    <row r="19" spans="1:15" ht="21.75" customHeight="1" x14ac:dyDescent="0.2">
      <c r="A19" s="2428" t="s">
        <v>1786</v>
      </c>
      <c r="B19" s="2428"/>
      <c r="C19" s="2428"/>
      <c r="D19" s="2428"/>
      <c r="E19" s="2429"/>
      <c r="F19" s="635" t="s">
        <v>927</v>
      </c>
      <c r="G19" s="1803"/>
      <c r="H19" s="1803"/>
      <c r="I19" s="1803"/>
      <c r="J19" s="1795"/>
      <c r="K19" s="1813"/>
    </row>
    <row r="20" spans="1:15" x14ac:dyDescent="0.2">
      <c r="A20" s="2405" t="s">
        <v>1791</v>
      </c>
      <c r="B20" s="2406"/>
      <c r="C20" s="2406"/>
      <c r="D20" s="2406"/>
      <c r="E20" s="2407"/>
      <c r="F20" s="635" t="s">
        <v>928</v>
      </c>
      <c r="G20" s="1803"/>
      <c r="H20" s="1803"/>
      <c r="I20" s="1803"/>
      <c r="J20" s="1795"/>
      <c r="K20" s="1813"/>
    </row>
    <row r="21" spans="1:15" ht="13.5" thickBot="1" x14ac:dyDescent="0.25">
      <c r="A21" s="2411" t="s">
        <v>633</v>
      </c>
      <c r="B21" s="2411"/>
      <c r="C21" s="2411"/>
      <c r="D21" s="2411"/>
      <c r="E21" s="2411"/>
      <c r="F21" s="1483"/>
      <c r="G21" s="1810"/>
      <c r="H21" s="1814"/>
      <c r="I21" s="1814"/>
      <c r="J21" s="1815">
        <f>SUM(J18:J20)</f>
        <v>0</v>
      </c>
      <c r="K21" s="1811"/>
    </row>
    <row r="22" spans="1:15" ht="13.5" thickTop="1" x14ac:dyDescent="0.2">
      <c r="A22" s="2391" t="s">
        <v>1792</v>
      </c>
      <c r="B22" s="2391"/>
      <c r="C22" s="2391"/>
      <c r="D22" s="2391"/>
      <c r="E22" s="2421"/>
      <c r="F22" s="635" t="s">
        <v>857</v>
      </c>
      <c r="G22" s="1803"/>
      <c r="H22" s="1794"/>
      <c r="I22" s="1794"/>
      <c r="J22" s="1816"/>
      <c r="K22" s="1795"/>
    </row>
    <row r="23" spans="1:15" ht="13.5" thickBot="1" x14ac:dyDescent="0.25">
      <c r="A23" s="2412" t="s">
        <v>900</v>
      </c>
      <c r="B23" s="2411"/>
      <c r="C23" s="2411"/>
      <c r="D23" s="2411"/>
      <c r="E23" s="2411"/>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413" t="str">
        <f>"Ending Cash Basis Fund Balance as of June 30, "&amp;'AFR20'!E2</f>
        <v>Ending Cash Basis Fund Balance as of June 30, 2020</v>
      </c>
      <c r="B24" s="2414"/>
      <c r="C24" s="2414"/>
      <c r="D24" s="2414"/>
      <c r="E24" s="241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1876</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3"/>
      <c r="I31" s="2424"/>
      <c r="J31" s="2424"/>
      <c r="K31" s="2424"/>
    </row>
    <row r="32" spans="1:15" x14ac:dyDescent="0.2">
      <c r="A32" s="649"/>
      <c r="B32" s="232"/>
      <c r="C32" s="232"/>
      <c r="D32" s="232"/>
      <c r="E32" s="645"/>
      <c r="F32" s="651" t="s">
        <v>537</v>
      </c>
      <c r="G32" s="618"/>
      <c r="H32" s="2425"/>
      <c r="I32" s="2424"/>
      <c r="J32" s="2424"/>
      <c r="K32" s="2424"/>
    </row>
    <row r="33" spans="1:11" ht="1.5" customHeight="1" x14ac:dyDescent="0.2">
      <c r="A33" s="652" t="s">
        <v>1161</v>
      </c>
      <c r="B33" s="341"/>
      <c r="C33" s="341"/>
      <c r="D33" s="341"/>
      <c r="E33" s="341"/>
      <c r="F33" s="341"/>
      <c r="G33" s="653"/>
      <c r="H33" s="2425"/>
      <c r="I33" s="2424"/>
      <c r="J33" s="2424"/>
      <c r="K33" s="242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1" t="s">
        <v>538</v>
      </c>
      <c r="B41" s="2392"/>
      <c r="C41" s="2392"/>
      <c r="D41" s="2392"/>
      <c r="E41" s="2392"/>
      <c r="F41" s="239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2.75" customHeight="1" x14ac:dyDescent="0.2">
      <c r="A47" s="661"/>
      <c r="B47" s="662" t="s">
        <v>1660</v>
      </c>
      <c r="E47" s="662"/>
      <c r="K47" s="664"/>
    </row>
    <row r="48" spans="1:11" ht="12.7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2" t="s">
        <v>1875</v>
      </c>
      <c r="B1" s="2433"/>
      <c r="C1" s="2434"/>
      <c r="D1" s="666"/>
      <c r="E1" s="667"/>
      <c r="F1" s="667"/>
      <c r="G1" s="668"/>
      <c r="H1" s="669"/>
      <c r="I1" s="670"/>
      <c r="J1" s="2430"/>
      <c r="K1" s="2431"/>
      <c r="L1" s="2431"/>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74871</v>
      </c>
      <c r="D5" s="1820"/>
      <c r="E5" s="1820"/>
      <c r="F5" s="1815">
        <f>(C5+D5)-E5</f>
        <v>74871</v>
      </c>
      <c r="G5" s="676"/>
      <c r="H5" s="680"/>
      <c r="I5" s="680"/>
      <c r="J5" s="680"/>
      <c r="K5" s="637"/>
      <c r="L5" s="1491">
        <f>F5-K5</f>
        <v>74871</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2413307</v>
      </c>
      <c r="D8" s="1821"/>
      <c r="E8" s="1821"/>
      <c r="F8" s="1815">
        <f>(C8+D8)-E8</f>
        <v>2413307</v>
      </c>
      <c r="G8" s="681">
        <v>50</v>
      </c>
      <c r="H8" s="619">
        <v>961380</v>
      </c>
      <c r="I8" s="619">
        <v>59000</v>
      </c>
      <c r="J8" s="619"/>
      <c r="K8" s="1491">
        <f>(H8+I8)-J8</f>
        <v>1020380</v>
      </c>
      <c r="L8" s="1491">
        <f>F8-K8</f>
        <v>1392927</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0</v>
      </c>
      <c r="D10" s="1822"/>
      <c r="E10" s="1822"/>
      <c r="F10" s="1823">
        <f>(C10+D10)-E10</f>
        <v>0</v>
      </c>
      <c r="G10" s="681">
        <v>20</v>
      </c>
      <c r="H10" s="683">
        <v>0</v>
      </c>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1502788</v>
      </c>
      <c r="D12" s="1821">
        <v>30571</v>
      </c>
      <c r="E12" s="1821"/>
      <c r="F12" s="1815">
        <f>(C12+D12)-E12</f>
        <v>1533359</v>
      </c>
      <c r="G12" s="681">
        <v>10</v>
      </c>
      <c r="H12" s="619">
        <v>1410292</v>
      </c>
      <c r="I12" s="619">
        <v>23128</v>
      </c>
      <c r="J12" s="619"/>
      <c r="K12" s="1491">
        <f>(H12+I12)-J12</f>
        <v>1433420</v>
      </c>
      <c r="L12" s="1491">
        <f>F12-K12</f>
        <v>99939</v>
      </c>
    </row>
    <row r="13" spans="1:14" ht="14.25" thickTop="1" thickBot="1" x14ac:dyDescent="0.25">
      <c r="A13" s="684" t="s">
        <v>1114</v>
      </c>
      <c r="B13" s="679">
        <v>252</v>
      </c>
      <c r="C13" s="1821">
        <v>0</v>
      </c>
      <c r="D13" s="1821">
        <v>63426</v>
      </c>
      <c r="E13" s="1821"/>
      <c r="F13" s="1815">
        <f>(C13+D13)-E13</f>
        <v>63426</v>
      </c>
      <c r="G13" s="681">
        <v>5</v>
      </c>
      <c r="H13" s="619"/>
      <c r="I13" s="619">
        <v>12685</v>
      </c>
      <c r="J13" s="619"/>
      <c r="K13" s="1491">
        <f>(H13+I13)-J13</f>
        <v>12685</v>
      </c>
      <c r="L13" s="1491">
        <f>F13-K13</f>
        <v>50741</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3990966</v>
      </c>
      <c r="D16" s="1815">
        <f>SUM(D3,D5:D6,D8:D10,D12:D15)</f>
        <v>93997</v>
      </c>
      <c r="E16" s="1815">
        <f>SUM(E3,E5:E6,E8:E10,E12:E15)</f>
        <v>0</v>
      </c>
      <c r="F16" s="1815">
        <f>SUM(F3,F5:F6,F8:F10,F12:F15)</f>
        <v>4084963</v>
      </c>
      <c r="G16" s="681"/>
      <c r="H16" s="1484">
        <f>SUM(H3,H6,H8:H10,H12:H14,)</f>
        <v>2371672</v>
      </c>
      <c r="I16" s="1484">
        <f>SUM(I3,I6,I8:I10,I12:I14,)</f>
        <v>94813</v>
      </c>
      <c r="J16" s="1484">
        <f>SUM(J3,J6,J8:J10,J12:J14,)</f>
        <v>0</v>
      </c>
      <c r="K16" s="1484">
        <f>(H16+I16)-J16</f>
        <v>2466485</v>
      </c>
      <c r="L16" s="1484">
        <f>F16-K16</f>
        <v>1618478</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1205</v>
      </c>
      <c r="G17" s="676">
        <v>10</v>
      </c>
      <c r="H17" s="621"/>
      <c r="I17" s="1491">
        <f>F17/G17</f>
        <v>120.5</v>
      </c>
      <c r="J17" s="621"/>
      <c r="K17" s="638"/>
      <c r="L17" s="638"/>
    </row>
    <row r="18" spans="1:12" ht="14.25" thickTop="1" thickBot="1" x14ac:dyDescent="0.25">
      <c r="A18" s="1489" t="s">
        <v>680</v>
      </c>
      <c r="B18" s="1490"/>
      <c r="C18" s="623"/>
      <c r="D18" s="623"/>
      <c r="E18" s="623"/>
      <c r="F18" s="686"/>
      <c r="G18" s="687"/>
      <c r="H18" s="624"/>
      <c r="I18" s="1484">
        <f>SUM(I16,I17)</f>
        <v>94933.5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30" activePane="bottomLeft" state="frozen"/>
      <selection activeCell="A4" sqref="A4:L4"/>
      <selection pane="bottomLeft" activeCell="A4" sqref="A4:L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8" t="str">
        <f>"ESTIMATED OPERATING EXPENSE PER PUPIL (OEPP)/PER CAPITA TUITION CHARGE (PCTC) COMPUTATIONS ("&amp;'AFR20'!E2-1&amp;" - "&amp;'AFR20'!E2&amp;")"</f>
        <v>ESTIMATED OPERATING EXPENSE PER PUPIL (OEPP)/PER CAPITA TUITION CHARGE (PCTC) COMPUTATIONS (2019 - 2020)</v>
      </c>
      <c r="B1" s="2439"/>
      <c r="C1" s="2439"/>
      <c r="D1" s="2439"/>
      <c r="E1" s="2439"/>
      <c r="F1" s="2440"/>
      <c r="G1" s="691"/>
      <c r="I1" s="701"/>
    </row>
    <row r="2" spans="1:9" ht="15" customHeight="1" thickBot="1" x14ac:dyDescent="0.25">
      <c r="A2" s="2441" t="s">
        <v>474</v>
      </c>
      <c r="B2" s="2442"/>
      <c r="C2" s="2442"/>
      <c r="D2" s="2442"/>
      <c r="E2" s="2442"/>
      <c r="F2" s="244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4"/>
      <c r="B5" s="2445"/>
      <c r="C5" s="2445"/>
      <c r="D5" s="2445"/>
      <c r="E5" s="2445"/>
      <c r="F5" s="2445"/>
    </row>
    <row r="6" spans="1:9" ht="13.5" customHeight="1" thickBot="1" x14ac:dyDescent="0.25">
      <c r="A6" s="2435" t="s">
        <v>1097</v>
      </c>
      <c r="B6" s="2436"/>
      <c r="C6" s="2436"/>
      <c r="D6" s="2436"/>
      <c r="E6" s="2436"/>
      <c r="F6" s="243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12414939</v>
      </c>
      <c r="G8" s="701"/>
    </row>
    <row r="9" spans="1:9" x14ac:dyDescent="0.2">
      <c r="A9" s="705" t="s">
        <v>457</v>
      </c>
      <c r="B9" s="706" t="s">
        <v>1848</v>
      </c>
      <c r="C9" s="707"/>
      <c r="D9" s="705" t="s">
        <v>498</v>
      </c>
      <c r="E9" s="704"/>
      <c r="F9" s="1825">
        <f>'Expenditures 15-22'!K151</f>
        <v>87103</v>
      </c>
      <c r="G9" s="708"/>
    </row>
    <row r="10" spans="1:9" x14ac:dyDescent="0.2">
      <c r="A10" s="705" t="s">
        <v>496</v>
      </c>
      <c r="B10" s="706" t="s">
        <v>1849</v>
      </c>
      <c r="C10" s="707"/>
      <c r="D10" s="705" t="s">
        <v>498</v>
      </c>
      <c r="E10" s="704"/>
      <c r="F10" s="1825">
        <f>'Expenditures 15-22'!K174</f>
        <v>0</v>
      </c>
      <c r="G10" s="708"/>
    </row>
    <row r="11" spans="1:9" x14ac:dyDescent="0.2">
      <c r="A11" s="705" t="s">
        <v>458</v>
      </c>
      <c r="B11" s="706" t="s">
        <v>1850</v>
      </c>
      <c r="C11" s="707"/>
      <c r="D11" s="705" t="s">
        <v>498</v>
      </c>
      <c r="E11" s="704"/>
      <c r="F11" s="1825">
        <f>'Expenditures 15-22'!K210</f>
        <v>0</v>
      </c>
      <c r="G11" s="708"/>
    </row>
    <row r="12" spans="1:9" x14ac:dyDescent="0.2">
      <c r="A12" s="705" t="s">
        <v>459</v>
      </c>
      <c r="B12" s="706" t="s">
        <v>1851</v>
      </c>
      <c r="C12" s="707"/>
      <c r="D12" s="705" t="s">
        <v>498</v>
      </c>
      <c r="E12" s="704"/>
      <c r="F12" s="1825">
        <f>'Expenditures 15-22'!K295</f>
        <v>0</v>
      </c>
      <c r="G12" s="708"/>
    </row>
    <row r="13" spans="1:9" x14ac:dyDescent="0.2">
      <c r="A13" s="705" t="s">
        <v>106</v>
      </c>
      <c r="B13" s="706" t="s">
        <v>1852</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12502042</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1909</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2171086</v>
      </c>
      <c r="G53" s="701"/>
    </row>
    <row r="54" spans="1:7" x14ac:dyDescent="0.2">
      <c r="A54" s="705" t="s">
        <v>456</v>
      </c>
      <c r="B54" s="705" t="s">
        <v>1462</v>
      </c>
      <c r="C54" s="724" t="s">
        <v>975</v>
      </c>
      <c r="D54" s="720" t="s">
        <v>1088</v>
      </c>
      <c r="E54" s="704"/>
      <c r="F54" s="1832">
        <f>'Expenditures 15-22'!G114</f>
        <v>87306</v>
      </c>
      <c r="G54" s="701"/>
    </row>
    <row r="55" spans="1:7" x14ac:dyDescent="0.2">
      <c r="A55" s="705" t="s">
        <v>456</v>
      </c>
      <c r="B55" s="705" t="s">
        <v>1463</v>
      </c>
      <c r="C55" s="724" t="s">
        <v>975</v>
      </c>
      <c r="D55" s="720" t="s">
        <v>288</v>
      </c>
      <c r="E55" s="704"/>
      <c r="F55" s="1832">
        <f>'Expenditures 15-22'!I114</f>
        <v>1205</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2">
        <f>'Expenditures 15-22'!K139</f>
        <v>0</v>
      </c>
      <c r="G57" s="701"/>
    </row>
    <row r="58" spans="1:7" x14ac:dyDescent="0.2">
      <c r="A58" s="705" t="s">
        <v>457</v>
      </c>
      <c r="B58" s="705" t="s">
        <v>1854</v>
      </c>
      <c r="C58" s="721" t="s">
        <v>975</v>
      </c>
      <c r="D58" s="720" t="s">
        <v>1088</v>
      </c>
      <c r="E58" s="704"/>
      <c r="F58" s="1834">
        <f>'Expenditures 15-22'!G151</f>
        <v>6690</v>
      </c>
      <c r="G58" s="701"/>
    </row>
    <row r="59" spans="1:7" x14ac:dyDescent="0.2">
      <c r="A59" s="728" t="s">
        <v>457</v>
      </c>
      <c r="B59" s="692" t="s">
        <v>1855</v>
      </c>
      <c r="C59" s="729" t="s">
        <v>975</v>
      </c>
      <c r="D59" s="692" t="s">
        <v>288</v>
      </c>
      <c r="F59" s="1835">
        <f>'Expenditures 15-22'!I151</f>
        <v>0</v>
      </c>
      <c r="G59" s="701"/>
    </row>
    <row r="60" spans="1:7" x14ac:dyDescent="0.2">
      <c r="A60" s="728" t="s">
        <v>496</v>
      </c>
      <c r="B60" s="692" t="s">
        <v>1856</v>
      </c>
      <c r="C60" s="729">
        <v>4000</v>
      </c>
      <c r="D60" s="692" t="s">
        <v>309</v>
      </c>
      <c r="F60" s="1833">
        <f>'Expenditures 15-22'!K160</f>
        <v>0</v>
      </c>
      <c r="G60" s="701"/>
    </row>
    <row r="61" spans="1:7" x14ac:dyDescent="0.2">
      <c r="A61" s="730" t="s">
        <v>496</v>
      </c>
      <c r="B61" s="730" t="s">
        <v>1857</v>
      </c>
      <c r="C61" s="731" t="str">
        <f>'Expenditures 15-22'!B170</f>
        <v>5300</v>
      </c>
      <c r="D61" s="732" t="s">
        <v>308</v>
      </c>
      <c r="E61" s="715"/>
      <c r="F61" s="1832">
        <f>'Expenditures 15-22'!K170</f>
        <v>0</v>
      </c>
      <c r="G61" s="701"/>
    </row>
    <row r="62" spans="1:7" x14ac:dyDescent="0.2">
      <c r="A62" s="705" t="s">
        <v>458</v>
      </c>
      <c r="B62" s="705" t="s">
        <v>1858</v>
      </c>
      <c r="C62" s="721">
        <f>'Expenditures 15-22'!B185</f>
        <v>3000</v>
      </c>
      <c r="D62" s="712" t="s">
        <v>446</v>
      </c>
      <c r="E62" s="704"/>
      <c r="F62" s="183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1860</v>
      </c>
      <c r="C64" s="731" t="str">
        <f>'Expenditures 15-22'!B206</f>
        <v>5300</v>
      </c>
      <c r="D64" s="727" t="s">
        <v>308</v>
      </c>
      <c r="E64" s="704"/>
      <c r="F64" s="1832">
        <f>'Expenditures 15-22'!K206</f>
        <v>0</v>
      </c>
      <c r="G64" s="701"/>
    </row>
    <row r="65" spans="1:9" x14ac:dyDescent="0.2">
      <c r="A65" s="705" t="s">
        <v>458</v>
      </c>
      <c r="B65" s="705" t="s">
        <v>1861</v>
      </c>
      <c r="C65" s="721" t="s">
        <v>975</v>
      </c>
      <c r="D65" s="720" t="s">
        <v>1088</v>
      </c>
      <c r="E65" s="704"/>
      <c r="F65" s="1832">
        <f>'Expenditures 15-22'!G210</f>
        <v>0</v>
      </c>
      <c r="G65" s="701"/>
    </row>
    <row r="66" spans="1:9" x14ac:dyDescent="0.2">
      <c r="A66" s="705" t="s">
        <v>458</v>
      </c>
      <c r="B66" s="705" t="s">
        <v>1862</v>
      </c>
      <c r="C66" s="721" t="s">
        <v>975</v>
      </c>
      <c r="D66" s="720" t="s">
        <v>288</v>
      </c>
      <c r="E66" s="704"/>
      <c r="F66" s="1832">
        <f>'Expenditures 15-22'!I210</f>
        <v>0</v>
      </c>
      <c r="G66" s="701"/>
    </row>
    <row r="67" spans="1:9" x14ac:dyDescent="0.2">
      <c r="A67" s="705" t="s">
        <v>459</v>
      </c>
      <c r="B67" s="705" t="s">
        <v>1863</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1865</v>
      </c>
      <c r="C70" s="721">
        <f>'Expenditures 15-22'!B221</f>
        <v>1300</v>
      </c>
      <c r="D70" s="722" t="str">
        <f>'Expenditures 15-22'!A221</f>
        <v>Adult/Continuing Education Programs</v>
      </c>
      <c r="E70" s="704"/>
      <c r="F70" s="1832">
        <f>'Expenditures 15-22'!K221</f>
        <v>0</v>
      </c>
      <c r="G70" s="701"/>
    </row>
    <row r="71" spans="1:9" x14ac:dyDescent="0.2">
      <c r="A71" s="705" t="s">
        <v>459</v>
      </c>
      <c r="B71" s="705" t="s">
        <v>1866</v>
      </c>
      <c r="C71" s="721">
        <f>'Expenditures 15-22'!B224</f>
        <v>1600</v>
      </c>
      <c r="D71" s="722" t="str">
        <f>'Expenditures 15-22'!A224</f>
        <v>Summer School Programs</v>
      </c>
      <c r="E71" s="704"/>
      <c r="F71" s="1832">
        <f>'Expenditures 15-22'!K224</f>
        <v>0</v>
      </c>
      <c r="G71" s="701"/>
    </row>
    <row r="72" spans="1:9" x14ac:dyDescent="0.2">
      <c r="A72" s="705" t="s">
        <v>459</v>
      </c>
      <c r="B72" s="705" t="s">
        <v>1867</v>
      </c>
      <c r="C72" s="721">
        <f>'Expenditures 15-22'!B280</f>
        <v>3000</v>
      </c>
      <c r="D72" s="712" t="s">
        <v>446</v>
      </c>
      <c r="E72" s="704"/>
      <c r="F72" s="1832">
        <f>'Expenditures 15-22'!K280</f>
        <v>0</v>
      </c>
      <c r="G72" s="701"/>
    </row>
    <row r="73" spans="1:9" x14ac:dyDescent="0.2">
      <c r="A73" s="705" t="s">
        <v>459</v>
      </c>
      <c r="B73" s="705" t="s">
        <v>1868</v>
      </c>
      <c r="C73" s="721" t="str">
        <f>'Expenditures 15-22'!B285</f>
        <v>4000</v>
      </c>
      <c r="D73" s="722" t="str">
        <f>'Expenditures 15-22'!A285</f>
        <v>Total Payments to Other Govt Units</v>
      </c>
      <c r="E73" s="704"/>
      <c r="F73" s="1832">
        <f>'Expenditures 15-22'!K285</f>
        <v>0</v>
      </c>
      <c r="G73" s="701"/>
    </row>
    <row r="74" spans="1:9" x14ac:dyDescent="0.2">
      <c r="A74" s="705" t="s">
        <v>433</v>
      </c>
      <c r="B74" s="705" t="s">
        <v>1869</v>
      </c>
      <c r="C74" s="721" t="s">
        <v>855</v>
      </c>
      <c r="D74" s="722" t="s">
        <v>1473</v>
      </c>
      <c r="E74" s="704"/>
      <c r="F74" s="1836">
        <f>'Expenditures 15-22'!K334</f>
        <v>0</v>
      </c>
      <c r="G74" s="701"/>
    </row>
    <row r="75" spans="1:9" x14ac:dyDescent="0.2">
      <c r="A75" s="705" t="s">
        <v>2008</v>
      </c>
      <c r="B75" s="705" t="s">
        <v>2009</v>
      </c>
      <c r="C75" s="721" t="s">
        <v>975</v>
      </c>
      <c r="D75" s="722" t="s">
        <v>1088</v>
      </c>
      <c r="E75" s="704"/>
      <c r="F75" s="1836">
        <f>'Expenditures 15-22'!G342</f>
        <v>0</v>
      </c>
      <c r="G75" s="701"/>
    </row>
    <row r="76" spans="1:9" ht="10.5" customHeight="1" x14ac:dyDescent="0.2">
      <c r="A76" s="701" t="s">
        <v>433</v>
      </c>
      <c r="B76" s="705" t="s">
        <v>2010</v>
      </c>
      <c r="C76" s="711" t="s">
        <v>975</v>
      </c>
      <c r="D76" s="701" t="s">
        <v>288</v>
      </c>
      <c r="E76" s="704"/>
      <c r="F76" s="1836">
        <f>'Expenditures 15-22'!I342</f>
        <v>0</v>
      </c>
      <c r="G76" s="703"/>
    </row>
    <row r="77" spans="1:9" ht="12" thickBot="1" x14ac:dyDescent="0.25">
      <c r="A77" s="1492"/>
      <c r="B77" s="1497"/>
      <c r="C77" s="1494"/>
      <c r="D77" s="1498" t="s">
        <v>2011</v>
      </c>
      <c r="E77" s="1496" t="s">
        <v>952</v>
      </c>
      <c r="F77" s="1837">
        <f>SUM(F18:F76)</f>
        <v>2266287</v>
      </c>
      <c r="G77" s="701"/>
    </row>
    <row r="78" spans="1:9" s="728" customFormat="1" ht="12" customHeight="1" thickTop="1" thickBot="1" x14ac:dyDescent="0.25">
      <c r="A78" s="1499"/>
      <c r="B78" s="1497"/>
      <c r="C78" s="1494"/>
      <c r="D78" s="1498" t="s">
        <v>2012</v>
      </c>
      <c r="E78" s="1496"/>
      <c r="F78" s="1838">
        <f>(F14-F77)</f>
        <v>10235755</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2013</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435" t="s">
        <v>1098</v>
      </c>
      <c r="B82" s="2436"/>
      <c r="C82" s="2436"/>
      <c r="D82" s="2436"/>
      <c r="E82" s="2436"/>
      <c r="F82" s="243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294748</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1910</v>
      </c>
      <c r="C106" s="746">
        <v>3100</v>
      </c>
      <c r="D106" s="752" t="str">
        <f>'Revenues 9-14'!A132</f>
        <v>Total Special Education</v>
      </c>
      <c r="E106" s="739"/>
      <c r="F106" s="1843">
        <f>SUM('Revenues 9-14'!C132:D132,'Revenues 9-14'!F132)</f>
        <v>0</v>
      </c>
      <c r="G106" s="745"/>
    </row>
    <row r="107" spans="1:7" x14ac:dyDescent="0.2">
      <c r="A107" s="741" t="s">
        <v>668</v>
      </c>
      <c r="B107" s="741" t="s">
        <v>1911</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1912</v>
      </c>
      <c r="C108" s="753">
        <v>3300</v>
      </c>
      <c r="D108" s="744" t="str">
        <f>'Revenues 9-14'!A145</f>
        <v>Total Bilingual Ed</v>
      </c>
      <c r="E108" s="739"/>
      <c r="F108" s="184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3">
        <f>'Revenues 9-14'!C146</f>
        <v>0</v>
      </c>
      <c r="G109" s="745"/>
    </row>
    <row r="110" spans="1:7" x14ac:dyDescent="0.2">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3">
        <f>SUM('Revenues 9-14'!C148,'Revenues 9-14'!D148)</f>
        <v>0</v>
      </c>
      <c r="G111" s="745"/>
    </row>
    <row r="112" spans="1:7" x14ac:dyDescent="0.2">
      <c r="A112" s="741" t="s">
        <v>663</v>
      </c>
      <c r="B112" s="741" t="s">
        <v>1916</v>
      </c>
      <c r="C112" s="755">
        <v>3500</v>
      </c>
      <c r="D112" s="744" t="str">
        <f>'Revenues 9-14'!A155</f>
        <v>Total Transportation</v>
      </c>
      <c r="E112" s="739"/>
      <c r="F112" s="1843">
        <f>SUM('Revenues 9-14'!C155,'Revenues 9-14'!D155,'Revenues 9-14'!F155,'Revenues 9-14'!G155)</f>
        <v>10814</v>
      </c>
      <c r="G112" s="745"/>
    </row>
    <row r="113" spans="1:7" x14ac:dyDescent="0.2">
      <c r="A113" s="741" t="s">
        <v>456</v>
      </c>
      <c r="B113" s="741" t="s">
        <v>1917</v>
      </c>
      <c r="C113" s="753">
        <f>'Revenues 9-14'!B156</f>
        <v>3610</v>
      </c>
      <c r="D113" s="744" t="str">
        <f>'Revenues 9-14'!A156</f>
        <v>Learning Improvement - Change Grants</v>
      </c>
      <c r="E113" s="739"/>
      <c r="F113" s="1843">
        <f>'Revenues 9-14'!C156</f>
        <v>0</v>
      </c>
      <c r="G113" s="745"/>
    </row>
    <row r="114" spans="1:7" x14ac:dyDescent="0.2">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2">
        <f>SUM('Revenues 9-14'!C163:G163)</f>
        <v>0</v>
      </c>
      <c r="G119" s="745"/>
    </row>
    <row r="120" spans="1:7" x14ac:dyDescent="0.2">
      <c r="A120" s="756" t="s">
        <v>501</v>
      </c>
      <c r="B120" s="756" t="s">
        <v>1924</v>
      </c>
      <c r="C120" s="757">
        <f>'Revenues 9-14'!B164</f>
        <v>3815</v>
      </c>
      <c r="D120" s="758" t="str">
        <f>'Revenues 9-14'!A164</f>
        <v>State Charter Schools</v>
      </c>
      <c r="E120" s="739"/>
      <c r="F120" s="184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3">
        <f>'Revenues 9-14'!D167</f>
        <v>0</v>
      </c>
      <c r="G121" s="763"/>
    </row>
    <row r="122" spans="1:7" x14ac:dyDescent="0.2">
      <c r="A122" s="760" t="s">
        <v>497</v>
      </c>
      <c r="B122" s="760" t="s">
        <v>1926</v>
      </c>
      <c r="C122" s="761">
        <f>'Revenues 9-14'!B168</f>
        <v>3999</v>
      </c>
      <c r="D122" s="762" t="s">
        <v>540</v>
      </c>
      <c r="E122" s="764"/>
      <c r="F122" s="184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84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1929</v>
      </c>
      <c r="C125" s="765">
        <v>4100</v>
      </c>
      <c r="D125" s="766" t="str">
        <f>'Revenues 9-14'!A188</f>
        <v>Total Title V</v>
      </c>
      <c r="E125" s="739"/>
      <c r="F125" s="184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3">
        <f>SUM('Revenues 9-14'!C198,'Revenues 9-14'!G198)</f>
        <v>0</v>
      </c>
      <c r="G126" s="763"/>
    </row>
    <row r="127" spans="1:7" x14ac:dyDescent="0.2">
      <c r="A127" s="760" t="s">
        <v>663</v>
      </c>
      <c r="B127" s="760" t="s">
        <v>1931</v>
      </c>
      <c r="C127" s="765">
        <v>4300</v>
      </c>
      <c r="D127" s="766" t="str">
        <f>'Revenues 9-14'!A204</f>
        <v>Total Title I</v>
      </c>
      <c r="E127" s="739"/>
      <c r="F127" s="1843">
        <f>SUM('Revenues 9-14'!C204,'Revenues 9-14'!D204,'Revenues 9-14'!F204,'Revenues 9-14'!G204)</f>
        <v>0</v>
      </c>
      <c r="G127" s="763"/>
    </row>
    <row r="128" spans="1:7" x14ac:dyDescent="0.2">
      <c r="A128" s="760" t="s">
        <v>663</v>
      </c>
      <c r="B128" s="760" t="s">
        <v>1932</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843">
        <f>SUM('Revenues 9-14'!C213:D213,'Revenues 9-14'!F213:G213)</f>
        <v>2320406</v>
      </c>
      <c r="G129" s="763"/>
    </row>
    <row r="130" spans="1:7" x14ac:dyDescent="0.2">
      <c r="A130" s="760" t="s">
        <v>663</v>
      </c>
      <c r="B130" s="760" t="s">
        <v>1934</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3">
        <v>0</v>
      </c>
      <c r="G139" s="738"/>
    </row>
    <row r="140" spans="1:7" s="703" customFormat="1" hidden="1" x14ac:dyDescent="0.2">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1951</v>
      </c>
      <c r="C158" s="773" t="s">
        <v>836</v>
      </c>
      <c r="D158" s="774" t="s">
        <v>772</v>
      </c>
      <c r="E158" s="775"/>
      <c r="F158" s="1843">
        <f>SUM(F134:F157)</f>
        <v>0</v>
      </c>
      <c r="G158" s="738"/>
    </row>
    <row r="159" spans="1:7" s="703" customFormat="1" x14ac:dyDescent="0.2">
      <c r="A159" s="771" t="s">
        <v>456</v>
      </c>
      <c r="B159" s="772" t="s">
        <v>1952</v>
      </c>
      <c r="C159" s="773" t="s">
        <v>1413</v>
      </c>
      <c r="D159" s="774" t="s">
        <v>1414</v>
      </c>
      <c r="E159" s="775"/>
      <c r="F159" s="1843">
        <f>SUM('Revenues 9-14'!C253)</f>
        <v>0</v>
      </c>
      <c r="G159" s="738"/>
    </row>
    <row r="160" spans="1:7" s="703" customFormat="1" x14ac:dyDescent="0.2">
      <c r="A160" s="771" t="s">
        <v>497</v>
      </c>
      <c r="B160" s="772" t="s">
        <v>1953</v>
      </c>
      <c r="C160" s="773" t="s">
        <v>1452</v>
      </c>
      <c r="D160" s="774" t="s">
        <v>1453</v>
      </c>
      <c r="E160" s="775"/>
      <c r="F160" s="184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3">
        <f>SUM('Revenues 9-14'!C263:D263,'Revenues 9-14'!F263:G263)</f>
        <v>47069</v>
      </c>
      <c r="G169" s="780">
        <v>6320</v>
      </c>
    </row>
    <row r="170" spans="1:7" x14ac:dyDescent="0.2">
      <c r="A170" s="760" t="s">
        <v>663</v>
      </c>
      <c r="B170" s="760" t="s">
        <v>1961</v>
      </c>
      <c r="C170" s="765">
        <f>'Revenues 9-14'!B264</f>
        <v>4992</v>
      </c>
      <c r="D170" s="766" t="str">
        <f>'Revenues 9-14'!A264</f>
        <v>Medicaid Matching Funds - Fee-for-Service Program</v>
      </c>
      <c r="E170" s="739"/>
      <c r="F170" s="1843">
        <f>SUM('Revenues 9-14'!C264:D264,'Revenues 9-14'!F264:G264)</f>
        <v>346481</v>
      </c>
      <c r="G170" s="780"/>
    </row>
    <row r="171" spans="1:7" x14ac:dyDescent="0.2">
      <c r="A171" s="781" t="s">
        <v>663</v>
      </c>
      <c r="B171" s="777" t="s">
        <v>1962</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1885</v>
      </c>
      <c r="C172" s="1581">
        <v>3100</v>
      </c>
      <c r="D172" s="1582" t="s">
        <v>1887</v>
      </c>
      <c r="E172" s="739"/>
      <c r="F172" s="1844"/>
      <c r="G172" s="760"/>
    </row>
    <row r="173" spans="1:7" x14ac:dyDescent="0.2">
      <c r="A173" s="1579" t="s">
        <v>659</v>
      </c>
      <c r="B173" s="1580" t="s">
        <v>1885</v>
      </c>
      <c r="C173" s="1581">
        <v>3300</v>
      </c>
      <c r="D173" s="1582" t="s">
        <v>1888</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2016</v>
      </c>
      <c r="E175" s="1505" t="s">
        <v>952</v>
      </c>
      <c r="F175" s="1846">
        <f>SUM(F85:F133,F158:F173)</f>
        <v>3019518</v>
      </c>
    </row>
    <row r="176" spans="1:7" ht="12" customHeight="1" x14ac:dyDescent="0.2">
      <c r="A176" s="1492"/>
      <c r="B176" s="1502"/>
      <c r="C176" s="1503"/>
      <c r="D176" s="1504" t="s">
        <v>2014</v>
      </c>
      <c r="E176" s="1505"/>
      <c r="F176" s="1843">
        <f>'PCTC-OEPP 27-28'!F78-F175</f>
        <v>7216237</v>
      </c>
    </row>
    <row r="177" spans="1:9" ht="12" customHeight="1" x14ac:dyDescent="0.2">
      <c r="A177" s="1492"/>
      <c r="B177" s="1502"/>
      <c r="C177" s="1503"/>
      <c r="D177" s="1504" t="s">
        <v>1794</v>
      </c>
      <c r="E177" s="1505"/>
      <c r="F177" s="1843">
        <f>'Cap Outlay Deprec 26'!I18</f>
        <v>94933.5</v>
      </c>
    </row>
    <row r="178" spans="1:9" ht="12" customHeight="1" x14ac:dyDescent="0.2">
      <c r="A178" s="1492"/>
      <c r="B178" s="1502"/>
      <c r="C178" s="1503"/>
      <c r="D178" s="1504" t="s">
        <v>2015</v>
      </c>
      <c r="E178" s="1505"/>
      <c r="F178" s="1843">
        <f>F176+F177</f>
        <v>7311170.5</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2017</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1890</v>
      </c>
      <c r="B186" s="158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22" sqref="C22"/>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1807</v>
      </c>
      <c r="B1" s="1923"/>
      <c r="C1" s="1924"/>
      <c r="D1" s="1924"/>
      <c r="E1" s="1924"/>
      <c r="F1" s="1924"/>
    </row>
    <row r="2" spans="1:6" x14ac:dyDescent="0.25">
      <c r="A2" s="1926"/>
      <c r="B2" s="1927"/>
      <c r="C2" s="1981" t="s">
        <v>2003</v>
      </c>
      <c r="D2" s="1926"/>
      <c r="E2" s="1926"/>
      <c r="F2" s="1926"/>
    </row>
    <row r="3" spans="1:6" ht="5.25" customHeight="1" x14ac:dyDescent="0.25">
      <c r="A3" s="1928"/>
      <c r="B3" s="1929"/>
      <c r="C3" s="1928"/>
      <c r="D3" s="1928"/>
      <c r="E3" s="1928"/>
      <c r="F3" s="1928"/>
    </row>
    <row r="4" spans="1:6" ht="18.75" customHeight="1" x14ac:dyDescent="0.25">
      <c r="A4" s="2449" t="s">
        <v>1795</v>
      </c>
      <c r="B4" s="2450"/>
      <c r="C4" s="2450"/>
      <c r="D4" s="2450"/>
      <c r="E4" s="2450"/>
      <c r="F4" s="2451"/>
    </row>
    <row r="5" spans="1:6" x14ac:dyDescent="0.25">
      <c r="A5" s="2452"/>
      <c r="B5" s="2453"/>
      <c r="C5" s="2453"/>
      <c r="D5" s="2453"/>
      <c r="E5" s="2453"/>
      <c r="F5" s="2454"/>
    </row>
    <row r="6" spans="1:6" ht="18.75" x14ac:dyDescent="0.25">
      <c r="A6" s="1930" t="s">
        <v>1796</v>
      </c>
      <c r="B6" s="1931"/>
      <c r="C6" s="1932"/>
      <c r="D6" s="1932"/>
      <c r="E6" s="1932"/>
      <c r="F6" s="1933"/>
    </row>
    <row r="7" spans="1:6" ht="47.25" customHeight="1" x14ac:dyDescent="0.25">
      <c r="A7" s="2455" t="s">
        <v>1985</v>
      </c>
      <c r="B7" s="2456"/>
      <c r="C7" s="2456"/>
      <c r="D7" s="2456"/>
      <c r="E7" s="2456"/>
      <c r="F7" s="2457"/>
    </row>
    <row r="8" spans="1:6" ht="20.25" customHeight="1" x14ac:dyDescent="0.25">
      <c r="A8" s="1965" t="s">
        <v>1987</v>
      </c>
      <c r="B8" s="1966"/>
      <c r="C8" s="1966"/>
      <c r="D8" s="1966"/>
      <c r="E8" s="1934"/>
      <c r="F8" s="1935"/>
    </row>
    <row r="9" spans="1:6" ht="18" customHeight="1" x14ac:dyDescent="0.25">
      <c r="A9" s="1936" t="s">
        <v>1984</v>
      </c>
      <c r="B9" s="1938"/>
      <c r="C9" s="1938"/>
      <c r="D9" s="1938"/>
      <c r="E9" s="1934"/>
      <c r="F9" s="1935"/>
    </row>
    <row r="10" spans="1:6" ht="15.75" customHeight="1" x14ac:dyDescent="0.25">
      <c r="A10" s="2458" t="s">
        <v>1981</v>
      </c>
      <c r="B10" s="2459"/>
      <c r="C10" s="2459"/>
      <c r="D10" s="2459"/>
      <c r="E10" s="2459"/>
      <c r="F10" s="2460"/>
    </row>
    <row r="11" spans="1:6" ht="33" customHeight="1" x14ac:dyDescent="0.25">
      <c r="A11" s="2455" t="s">
        <v>1986</v>
      </c>
      <c r="B11" s="2456"/>
      <c r="C11" s="2456"/>
      <c r="D11" s="2456"/>
      <c r="E11" s="2456"/>
      <c r="F11" s="2457"/>
    </row>
    <row r="12" spans="1:6" ht="15" customHeight="1" x14ac:dyDescent="0.25">
      <c r="A12" s="1936" t="s">
        <v>1982</v>
      </c>
      <c r="B12" s="1937"/>
      <c r="C12" s="1938"/>
      <c r="D12" s="1938"/>
      <c r="E12" s="1938"/>
      <c r="F12" s="1939"/>
    </row>
    <row r="13" spans="1:6" ht="17.25" customHeight="1" x14ac:dyDescent="0.25">
      <c r="A13" s="2455" t="s">
        <v>1983</v>
      </c>
      <c r="B13" s="2456"/>
      <c r="C13" s="2456"/>
      <c r="D13" s="2456"/>
      <c r="E13" s="2456"/>
      <c r="F13" s="2457"/>
    </row>
    <row r="14" spans="1:6" ht="15" customHeight="1" x14ac:dyDescent="0.25">
      <c r="A14" s="1936" t="s">
        <v>1800</v>
      </c>
      <c r="B14" s="1937"/>
      <c r="C14" s="1938"/>
      <c r="D14" s="1938"/>
      <c r="E14" s="1938"/>
      <c r="F14" s="1939"/>
    </row>
    <row r="15" spans="1:6" ht="32.25" customHeight="1" x14ac:dyDescent="0.25">
      <c r="A15" s="244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7"/>
      <c r="C15" s="2447"/>
      <c r="D15" s="2447"/>
      <c r="E15" s="2447"/>
      <c r="F15" s="2448"/>
    </row>
    <row r="16" spans="1:6" ht="61.5" customHeight="1" x14ac:dyDescent="0.25">
      <c r="A16" s="1940" t="s">
        <v>1801</v>
      </c>
      <c r="B16" s="1941" t="s">
        <v>1802</v>
      </c>
      <c r="C16" s="1940" t="s">
        <v>1803</v>
      </c>
      <c r="D16" s="1942" t="s">
        <v>1804</v>
      </c>
      <c r="E16" s="1942" t="s">
        <v>1805</v>
      </c>
      <c r="F16" s="1942" t="s">
        <v>1806</v>
      </c>
    </row>
    <row r="17" spans="1:7" x14ac:dyDescent="0.25">
      <c r="A17" s="1943" t="s">
        <v>1808</v>
      </c>
      <c r="B17" s="1970" t="s">
        <v>1799</v>
      </c>
      <c r="C17" s="1944" t="s">
        <v>1797</v>
      </c>
      <c r="D17" s="1945">
        <v>500000</v>
      </c>
      <c r="E17" s="1945" t="str">
        <f>IF(D17&lt;25000,D17,"25,000")</f>
        <v>25,000</v>
      </c>
      <c r="F17" s="1946">
        <f>IF(D17&gt;=25000,(D17-E17),"0")</f>
        <v>475000</v>
      </c>
    </row>
    <row r="18" spans="1:7" x14ac:dyDescent="0.25">
      <c r="A18" s="2106" t="s">
        <v>2111</v>
      </c>
      <c r="B18" s="1971">
        <v>102300300</v>
      </c>
      <c r="C18" s="2107" t="s">
        <v>2110</v>
      </c>
      <c r="D18" s="1949">
        <v>6003</v>
      </c>
      <c r="E18" s="1969">
        <f t="shared" ref="E18:E81" si="0">IF(D18&lt;25000,D18,"25,000")</f>
        <v>6003</v>
      </c>
      <c r="F18" s="1969" t="str">
        <f t="shared" ref="F18:F81" si="1">IF(D18&gt;=25000,(D18-E18),"0")</f>
        <v>0</v>
      </c>
      <c r="G18" s="1950"/>
    </row>
    <row r="19" spans="1:7" x14ac:dyDescent="0.25">
      <c r="A19" s="2106" t="s">
        <v>2111</v>
      </c>
      <c r="B19" s="1971">
        <v>102300300</v>
      </c>
      <c r="C19" s="2107" t="s">
        <v>2112</v>
      </c>
      <c r="D19" s="1949">
        <v>47146</v>
      </c>
      <c r="E19" s="1969" t="str">
        <f t="shared" si="0"/>
        <v>25,000</v>
      </c>
      <c r="F19" s="1969">
        <f t="shared" si="1"/>
        <v>22146</v>
      </c>
    </row>
    <row r="20" spans="1:7" x14ac:dyDescent="0.25">
      <c r="A20" s="2106" t="s">
        <v>2111</v>
      </c>
      <c r="B20" s="1971">
        <v>102300300</v>
      </c>
      <c r="C20" s="2107" t="s">
        <v>2113</v>
      </c>
      <c r="D20" s="1949">
        <v>24617</v>
      </c>
      <c r="E20" s="1969">
        <f t="shared" si="0"/>
        <v>24617</v>
      </c>
      <c r="F20" s="1969" t="str">
        <f t="shared" si="1"/>
        <v>0</v>
      </c>
    </row>
    <row r="21" spans="1:7" x14ac:dyDescent="0.25">
      <c r="A21" s="2106" t="s">
        <v>2111</v>
      </c>
      <c r="B21" s="1971">
        <v>102300300</v>
      </c>
      <c r="C21" s="2108" t="s">
        <v>2135</v>
      </c>
      <c r="D21" s="1949">
        <v>72675</v>
      </c>
      <c r="E21" s="1969" t="str">
        <f t="shared" si="0"/>
        <v>25,000</v>
      </c>
      <c r="F21" s="1969">
        <f t="shared" si="1"/>
        <v>47675</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150441</v>
      </c>
      <c r="E142" s="1956">
        <f>SUM(E18:E141)</f>
        <v>30620</v>
      </c>
      <c r="F142" s="1957">
        <f>SUM(F18:F141)</f>
        <v>69821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 sqref="A4:L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1" t="s">
        <v>1663</v>
      </c>
      <c r="B5" s="2462"/>
      <c r="C5" s="2462"/>
      <c r="D5" s="2462"/>
      <c r="E5" s="2462"/>
      <c r="F5" s="2462"/>
      <c r="G5" s="246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1894</v>
      </c>
      <c r="B10" s="803"/>
      <c r="C10" s="807"/>
      <c r="D10" s="804"/>
      <c r="E10" s="1850"/>
      <c r="F10" s="805"/>
      <c r="G10" s="806"/>
      <c r="H10" s="157"/>
      <c r="I10" s="157"/>
    </row>
    <row r="11" spans="1:13" s="542" customFormat="1" ht="22.5" customHeight="1" x14ac:dyDescent="0.2">
      <c r="A11" s="246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7"/>
      <c r="C11" s="2467"/>
      <c r="D11" s="2468"/>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7604757</v>
      </c>
      <c r="F19" s="1852"/>
      <c r="G19" s="1854">
        <f>'Expenditures 15-22'!K33-SUM('Expenditures 15-22'!G33,'Expenditures 15-22'!I33)+'Expenditures 15-22'!D229</f>
        <v>7604757</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1416406</v>
      </c>
      <c r="F21" s="1855"/>
      <c r="G21" s="1858">
        <f>'Expenditures 15-22'!K42-SUM('Expenditures 15-22'!G42,'Expenditures 15-22'!I42)+'Expenditures 15-22'!K120-SUM('Expenditures 15-22'!G120,'Expenditures 15-22'!I120)+'Expenditures 15-22'!K180-SUM('Expenditures 15-22'!G180,'Expenditures 15-22'!I180)+'Expenditures 15-22'!D238</f>
        <v>1416406</v>
      </c>
      <c r="H21" s="817"/>
      <c r="I21" s="157"/>
    </row>
    <row r="22" spans="1:9" s="542" customFormat="1" ht="12" customHeight="1" x14ac:dyDescent="0.2">
      <c r="A22" s="824" t="s">
        <v>560</v>
      </c>
      <c r="B22" s="825"/>
      <c r="C22" s="823">
        <v>2200</v>
      </c>
      <c r="D22" s="1855"/>
      <c r="E22" s="1857">
        <f>'Expenditures 15-22'!K47-SUM('Expenditures 15-22'!G47,'Expenditures 15-22'!I47)+'Expenditures 15-22'!D243</f>
        <v>256353</v>
      </c>
      <c r="F22" s="1855"/>
      <c r="G22" s="1858">
        <f>'Expenditures 15-22'!K47-SUM('Expenditures 15-22'!G47,'Expenditures 15-22'!I47)+'Expenditures 15-22'!D243</f>
        <v>256353</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633472</v>
      </c>
      <c r="F23" s="1855"/>
      <c r="G23" s="1857">
        <f>'Expenditures 15-22'!K53-SUM('Expenditures 15-22'!G53,'Expenditures 15-22'!I53)+'Expenditures 15-22'!D257+'Expenditures 15-22'!K330-SUM('Expenditures 15-22'!G330,'Expenditures 15-22'!I330)</f>
        <v>633472</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133325</v>
      </c>
      <c r="E27" s="1857">
        <f>E8</f>
        <v>0</v>
      </c>
      <c r="F27" s="1857">
        <f>'Expenditures 15-22'!K60-SUM('Expenditures 15-22'!G60,'Expenditures 15-22'!I60)+'Expenditures 15-22'!D264-E8</f>
        <v>133325</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80413</v>
      </c>
      <c r="F28" s="1859">
        <f>'Expenditures 15-22'!K61-SUM('Expenditures 15-22'!G61,'Expenditures 15-22'!I61)+'Expenditures 15-22'!K124-SUM('Expenditures 15-22'!G124,'Expenditures 15-22'!I124)+'Expenditures 15-22'!D266-E9</f>
        <v>80413</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48877</v>
      </c>
      <c r="E37" s="1857">
        <f>E14</f>
        <v>0</v>
      </c>
      <c r="F37" s="1857">
        <f>'Expenditures 15-22'!K71-SUM('Expenditures 15-22'!G71,'Expenditures 15-22'!I71)+'Expenditures 15-22'!D276-E14</f>
        <v>48877</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62152</v>
      </c>
      <c r="F38" s="1855"/>
      <c r="G38" s="1857">
        <f>'Expenditures 15-22'!K73-SUM('Expenditures 15-22'!G73,'Expenditures 15-22'!I73)+'Expenditures 15-22'!K128-SUM('Expenditures 15-22'!G128,'Expenditures 15-22'!I128)+'Expenditures 15-22'!K183-SUM('Expenditures 15-22'!G183,'Expenditures 15-22'!I183)+'Expenditures 15-22'!D278</f>
        <v>62152</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55"/>
      <c r="E40" s="1859">
        <f>-'Contracts Paid in CY 29'!F142</f>
        <v>-69821</v>
      </c>
      <c r="F40" s="1855"/>
      <c r="G40" s="1859">
        <f>-'Contracts Paid in CY 29'!F142</f>
        <v>-69821</v>
      </c>
    </row>
    <row r="41" spans="1:7" ht="12" customHeight="1" x14ac:dyDescent="0.2">
      <c r="A41" s="828" t="s">
        <v>155</v>
      </c>
      <c r="B41" s="829"/>
      <c r="C41" s="830"/>
      <c r="D41" s="1859">
        <f>SUM(D19:D39)</f>
        <v>182202</v>
      </c>
      <c r="E41" s="1859">
        <f>SUM(E19:E40)</f>
        <v>9983732</v>
      </c>
      <c r="F41" s="1859">
        <f>SUM(F19:F39)</f>
        <v>262615</v>
      </c>
      <c r="G41" s="1859">
        <f>SUM(G19:G40)</f>
        <v>9903319</v>
      </c>
    </row>
    <row r="42" spans="1:7" x14ac:dyDescent="0.2">
      <c r="A42" s="817"/>
      <c r="B42" s="157"/>
      <c r="C42" s="831"/>
      <c r="D42" s="2464" t="s">
        <v>519</v>
      </c>
      <c r="E42" s="2465"/>
      <c r="F42" s="832" t="s">
        <v>520</v>
      </c>
      <c r="G42" s="833"/>
    </row>
    <row r="43" spans="1:7" ht="12" customHeight="1" x14ac:dyDescent="0.2">
      <c r="A43" s="817"/>
      <c r="B43" s="157"/>
      <c r="C43" s="831"/>
      <c r="D43" s="1507" t="s">
        <v>470</v>
      </c>
      <c r="E43" s="1860">
        <f>D41</f>
        <v>182202</v>
      </c>
      <c r="F43" s="1507" t="s">
        <v>470</v>
      </c>
      <c r="G43" s="1860">
        <f>F41</f>
        <v>262615</v>
      </c>
    </row>
    <row r="44" spans="1:7" ht="12" customHeight="1" x14ac:dyDescent="0.2">
      <c r="A44" s="817"/>
      <c r="B44" s="157"/>
      <c r="C44" s="831"/>
      <c r="D44" s="1507" t="s">
        <v>471</v>
      </c>
      <c r="E44" s="1860">
        <f>E41</f>
        <v>9983732</v>
      </c>
      <c r="F44" s="1507" t="s">
        <v>471</v>
      </c>
      <c r="G44" s="1860">
        <f>G41</f>
        <v>9903319</v>
      </c>
    </row>
    <row r="45" spans="1:7" ht="12" customHeight="1" x14ac:dyDescent="0.2">
      <c r="A45" s="817"/>
      <c r="B45" s="157"/>
      <c r="C45" s="157"/>
      <c r="D45" s="1508" t="s">
        <v>999</v>
      </c>
      <c r="E45" s="1861">
        <f>(E43/E44)</f>
        <v>1.8249888919293907E-2</v>
      </c>
      <c r="F45" s="1508" t="s">
        <v>999</v>
      </c>
      <c r="G45" s="1861">
        <f>(G43/G44)</f>
        <v>2.6517877491374357E-2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11" activePane="bottomLeft" state="frozen"/>
      <selection activeCell="A4" sqref="A4:L4"/>
      <selection pane="bottomLeft" activeCell="A42" sqref="A42:F4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2" t="s">
        <v>1365</v>
      </c>
      <c r="B1" s="2472"/>
      <c r="C1" s="2472"/>
      <c r="D1" s="2472"/>
      <c r="E1" s="2472"/>
      <c r="F1" s="2472"/>
    </row>
    <row r="2" spans="1:15" x14ac:dyDescent="0.2">
      <c r="A2" s="1562" t="s">
        <v>1878</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3" t="s">
        <v>1532</v>
      </c>
      <c r="B5" s="2474"/>
      <c r="C5" s="2475"/>
      <c r="D5" s="2475"/>
      <c r="E5" s="2475"/>
      <c r="F5" s="2475"/>
      <c r="G5" s="1556"/>
      <c r="L5" s="1556"/>
      <c r="M5" s="1913"/>
      <c r="N5" s="1913"/>
      <c r="O5" s="1913"/>
    </row>
    <row r="6" spans="1:15" ht="12" customHeight="1" x14ac:dyDescent="0.25">
      <c r="A6" s="1529"/>
      <c r="B6" s="1530"/>
      <c r="C6" s="2476" t="str">
        <f>COVER!A17</f>
        <v xml:space="preserve">   Grundy County Spec Ed Co-op</v>
      </c>
      <c r="D6" s="2476"/>
      <c r="E6" s="2476"/>
      <c r="F6" s="1531"/>
      <c r="G6" s="1556"/>
      <c r="L6" s="1556"/>
      <c r="M6" s="1913"/>
      <c r="N6" s="1913"/>
      <c r="O6" s="1913"/>
    </row>
    <row r="7" spans="1:15" ht="11.25" customHeight="1" thickBot="1" x14ac:dyDescent="0.3">
      <c r="A7" s="1529"/>
      <c r="B7" s="1530"/>
      <c r="C7" s="2477">
        <f>COVER!A13</f>
        <v>24032101061</v>
      </c>
      <c r="D7" s="2477"/>
      <c r="E7" s="2477"/>
      <c r="F7" s="1531"/>
      <c r="G7" s="1556"/>
      <c r="L7" s="1556"/>
      <c r="M7" s="1913"/>
      <c r="N7" s="1913"/>
      <c r="O7" s="1913"/>
    </row>
    <row r="8" spans="1:15" ht="25.5" customHeight="1" thickBot="1" x14ac:dyDescent="0.25">
      <c r="A8" s="1568" t="s">
        <v>1874</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2064</v>
      </c>
      <c r="D26" s="1544" t="s">
        <v>2064</v>
      </c>
      <c r="E26" s="1547"/>
      <c r="F26" s="1546" t="s">
        <v>2114</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0</v>
      </c>
      <c r="K34" s="1556">
        <f>SUM(H34:J34)</f>
        <v>10</v>
      </c>
      <c r="L34" s="1556"/>
      <c r="M34" s="1913"/>
      <c r="N34" s="1913"/>
      <c r="O34" s="1913"/>
    </row>
    <row r="35" spans="1:15" ht="12" customHeight="1" x14ac:dyDescent="0.2">
      <c r="A35" s="1549" t="s">
        <v>1378</v>
      </c>
      <c r="B35" s="1550"/>
      <c r="C35" s="2478"/>
      <c r="D35" s="2478"/>
      <c r="E35" s="2478"/>
      <c r="F35" s="2479"/>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83"/>
      <c r="B38" s="2484"/>
      <c r="C38" s="2484"/>
      <c r="D38" s="2484"/>
      <c r="E38" s="2484"/>
      <c r="F38" s="2485"/>
    </row>
    <row r="39" spans="1:15" ht="4.5" hidden="1" customHeight="1" x14ac:dyDescent="0.2">
      <c r="A39" s="1551"/>
      <c r="B39" s="1551"/>
      <c r="C39" s="1551"/>
      <c r="D39" s="1551"/>
      <c r="E39" s="1551"/>
      <c r="F39" s="1551"/>
    </row>
    <row r="40" spans="1:15" s="1548" customFormat="1" ht="12" customHeight="1" x14ac:dyDescent="0.25">
      <c r="A40" s="1552" t="s">
        <v>1377</v>
      </c>
      <c r="B40" s="1553"/>
      <c r="C40" s="2486"/>
      <c r="D40" s="2486"/>
      <c r="E40" s="2486"/>
      <c r="F40" s="2487"/>
      <c r="H40" s="1557"/>
      <c r="I40" s="1557"/>
      <c r="J40" s="1557"/>
      <c r="K40" s="1557"/>
    </row>
    <row r="41" spans="1:15" s="1548" customFormat="1" ht="12" customHeight="1" x14ac:dyDescent="0.25">
      <c r="A41" s="2488" t="s">
        <v>2115</v>
      </c>
      <c r="B41" s="2489"/>
      <c r="C41" s="2489"/>
      <c r="D41" s="2489"/>
      <c r="E41" s="2489"/>
      <c r="F41" s="2490"/>
      <c r="H41" s="1557"/>
      <c r="I41" s="1557"/>
      <c r="J41" s="1557"/>
      <c r="K41" s="1557"/>
    </row>
    <row r="42" spans="1:15" s="1548" customFormat="1" ht="12" customHeight="1" x14ac:dyDescent="0.25">
      <c r="A42" s="2488"/>
      <c r="B42" s="2489"/>
      <c r="C42" s="2489"/>
      <c r="D42" s="2489"/>
      <c r="E42" s="2489"/>
      <c r="F42" s="2490"/>
      <c r="H42" s="1557"/>
      <c r="I42" s="1557"/>
      <c r="J42" s="1557"/>
      <c r="K42" s="1557"/>
    </row>
    <row r="43" spans="1:15" s="1548" customFormat="1" ht="15" x14ac:dyDescent="0.25">
      <c r="A43" s="2480"/>
      <c r="B43" s="2481"/>
      <c r="C43" s="2481"/>
      <c r="D43" s="2481"/>
      <c r="E43" s="2481"/>
      <c r="F43" s="2482"/>
      <c r="H43" s="1557"/>
      <c r="I43" s="1557"/>
      <c r="J43" s="1557"/>
      <c r="K43" s="1557"/>
    </row>
    <row r="44" spans="1:15" s="1548" customFormat="1" ht="12" hidden="1" customHeight="1" x14ac:dyDescent="0.25">
      <c r="A44" s="2480"/>
      <c r="B44" s="2481"/>
      <c r="C44" s="2481"/>
      <c r="D44" s="2481"/>
      <c r="E44" s="2481"/>
      <c r="F44" s="248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A4" sqref="A4:L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6" t="str">
        <f>COVER!A17</f>
        <v xml:space="preserve">   Grundy County Spec Ed Co-op</v>
      </c>
      <c r="J6" s="2497"/>
      <c r="K6" s="2498"/>
      <c r="R6" s="1427"/>
    </row>
    <row r="7" spans="1:18" x14ac:dyDescent="0.2">
      <c r="A7" s="2499" t="s">
        <v>864</v>
      </c>
      <c r="B7" s="2500"/>
      <c r="C7" s="2500"/>
      <c r="D7" s="2500"/>
      <c r="E7" s="2501"/>
      <c r="F7" s="847"/>
      <c r="G7" s="839"/>
      <c r="H7" s="846" t="s">
        <v>369</v>
      </c>
      <c r="I7" s="2502">
        <f>COVER!A13</f>
        <v>24032101061</v>
      </c>
      <c r="J7" s="2502"/>
      <c r="K7" s="2502"/>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3" t="s">
        <v>478</v>
      </c>
      <c r="B11" s="2504"/>
      <c r="C11" s="2505"/>
      <c r="D11" s="861" t="s">
        <v>866</v>
      </c>
      <c r="E11" s="861" t="s">
        <v>64</v>
      </c>
      <c r="F11" s="861" t="s">
        <v>6</v>
      </c>
      <c r="G11" s="862" t="s">
        <v>155</v>
      </c>
      <c r="H11" s="861" t="s">
        <v>64</v>
      </c>
      <c r="I11" s="861" t="s">
        <v>6</v>
      </c>
      <c r="J11" s="1980" t="s">
        <v>2001</v>
      </c>
      <c r="K11" s="862" t="s">
        <v>155</v>
      </c>
    </row>
    <row r="12" spans="1:18" ht="15" customHeight="1" x14ac:dyDescent="0.2">
      <c r="A12" s="863">
        <v>1</v>
      </c>
      <c r="B12" s="864" t="s">
        <v>813</v>
      </c>
      <c r="C12" s="865"/>
      <c r="D12" s="866">
        <v>2320</v>
      </c>
      <c r="E12" s="1863">
        <f>'Expenditures 15-22'!K50</f>
        <v>674368</v>
      </c>
      <c r="F12" s="1864"/>
      <c r="G12" s="1863">
        <f t="shared" ref="G12:G18" si="0">SUM(E12:F12)</f>
        <v>674368</v>
      </c>
      <c r="H12" s="1865"/>
      <c r="I12" s="1864"/>
      <c r="J12" s="1865"/>
      <c r="K12" s="1863">
        <f t="shared" ref="K12:K18" si="1">SUM(H12:J12)</f>
        <v>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6" t="s">
        <v>7</v>
      </c>
      <c r="C18" s="2507"/>
      <c r="D18" s="2508"/>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674368</v>
      </c>
      <c r="F19" s="1868">
        <f t="shared" si="2"/>
        <v>0</v>
      </c>
      <c r="G19" s="1868">
        <f t="shared" si="2"/>
        <v>674368</v>
      </c>
      <c r="H19" s="1868">
        <f t="shared" si="2"/>
        <v>0</v>
      </c>
      <c r="I19" s="1868">
        <f t="shared" si="2"/>
        <v>0</v>
      </c>
      <c r="J19" s="1868">
        <f t="shared" si="2"/>
        <v>0</v>
      </c>
      <c r="K19" s="1868">
        <f t="shared" si="2"/>
        <v>0</v>
      </c>
    </row>
    <row r="20" spans="1:11" ht="13.5" thickTop="1" x14ac:dyDescent="0.2">
      <c r="A20" s="863">
        <v>9</v>
      </c>
      <c r="B20" s="2509" t="str">
        <f>"Percent Increase (Decrease) for FY"&amp;'AFR20'!E2+1&amp;" (Budgeted) over FY"&amp;'AFR20'!E2&amp;" (Actual)"</f>
        <v>Percent Increase (Decrease) for FY2021 (Budgeted) over FY2020 (Actual)</v>
      </c>
      <c r="C20" s="2509"/>
      <c r="D20" s="2510"/>
      <c r="E20" s="1869"/>
      <c r="F20" s="1869"/>
      <c r="G20" s="1869"/>
      <c r="H20" s="1869"/>
      <c r="I20" s="1869"/>
      <c r="J20" s="1978"/>
      <c r="K20" s="1870" t="str">
        <f>IF(AND(G19&gt;0,K19&gt;0),(((K19-G19)/G19)),"Enter Budget Data")</f>
        <v>Enter Budget Data</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5"/>
      <c r="D26" s="2515"/>
      <c r="E26" s="874"/>
      <c r="F26" s="2514"/>
      <c r="G26" s="2514"/>
    </row>
    <row r="27" spans="1:11" x14ac:dyDescent="0.2">
      <c r="B27" s="871"/>
      <c r="C27" s="875" t="s">
        <v>1026</v>
      </c>
      <c r="D27" s="876"/>
      <c r="E27" s="877"/>
      <c r="F27" s="2511" t="s">
        <v>1495</v>
      </c>
      <c r="G27" s="2511"/>
    </row>
    <row r="28" spans="1:11" ht="28.5" customHeight="1" x14ac:dyDescent="0.2">
      <c r="B28" s="871"/>
      <c r="C28" s="2513"/>
      <c r="D28" s="2513"/>
      <c r="E28" s="878"/>
      <c r="F28" s="2513"/>
      <c r="G28" s="2513"/>
    </row>
    <row r="29" spans="1:11" x14ac:dyDescent="0.2">
      <c r="B29" s="871"/>
      <c r="C29" s="879" t="s">
        <v>1547</v>
      </c>
      <c r="E29" s="880"/>
      <c r="F29" s="2512" t="s">
        <v>1496</v>
      </c>
      <c r="G29" s="251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4"/>
      <c r="E33" s="2494"/>
      <c r="F33" s="2494"/>
      <c r="G33" s="2494"/>
      <c r="H33" s="2494"/>
      <c r="I33" s="2494"/>
      <c r="J33" s="1976"/>
    </row>
    <row r="34" spans="1:11" ht="10.35" customHeight="1" x14ac:dyDescent="0.2">
      <c r="C34" s="2494"/>
      <c r="D34" s="2494"/>
      <c r="E34" s="2494"/>
      <c r="F34" s="2494"/>
      <c r="G34" s="2494"/>
      <c r="H34" s="2494"/>
      <c r="I34" s="2494"/>
      <c r="J34" s="1976"/>
    </row>
    <row r="35" spans="1:11" ht="7.5" customHeight="1" x14ac:dyDescent="0.2">
      <c r="C35" s="886"/>
    </row>
    <row r="36" spans="1:11" ht="13.5" customHeight="1" x14ac:dyDescent="0.2">
      <c r="B36" s="885"/>
      <c r="C36" s="249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4"/>
      <c r="E36" s="2494"/>
      <c r="F36" s="2494"/>
      <c r="G36" s="2494"/>
      <c r="H36" s="2494"/>
      <c r="I36" s="2494"/>
      <c r="J36" s="1976"/>
      <c r="K36" s="887"/>
    </row>
    <row r="37" spans="1:11" ht="22.5" customHeight="1" x14ac:dyDescent="0.2">
      <c r="C37" s="2494"/>
      <c r="D37" s="2494"/>
      <c r="E37" s="2494"/>
      <c r="F37" s="2494"/>
      <c r="G37" s="2494"/>
      <c r="H37" s="2494"/>
      <c r="I37" s="2494"/>
      <c r="J37" s="1976"/>
      <c r="K37" s="887"/>
    </row>
    <row r="38" spans="1:11" ht="7.5" customHeight="1" x14ac:dyDescent="0.2">
      <c r="C38" s="886"/>
      <c r="D38" s="888"/>
      <c r="E38" s="889"/>
      <c r="F38" s="890"/>
      <c r="G38" s="889"/>
    </row>
    <row r="39" spans="1:11" ht="13.5" customHeight="1" x14ac:dyDescent="0.2">
      <c r="B39" s="885"/>
      <c r="C39" s="2491" t="str">
        <f>"The district will amend their budget to become in compliance with the limitation."</f>
        <v>The district will amend their budget to become in compliance with the limitation.</v>
      </c>
      <c r="D39" s="2492"/>
      <c r="E39" s="2492"/>
      <c r="F39" s="2492"/>
      <c r="G39" s="2492"/>
      <c r="H39" s="2492"/>
      <c r="I39" s="2492"/>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2E911-7789-4DDE-BE89-1DED37D031B5}">
  <sheetPr>
    <pageSetUpPr fitToPage="1"/>
  </sheetPr>
  <dimension ref="A1:N72"/>
  <sheetViews>
    <sheetView showGridLines="0" topLeftCell="A46"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2002</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57" t="str">
        <f>COVER!A17</f>
        <v xml:space="preserve">   Grundy County Spec Ed Co-op</v>
      </c>
      <c r="K6" s="2557"/>
      <c r="L6" s="2558"/>
      <c r="M6" s="899"/>
      <c r="N6" s="1997"/>
    </row>
    <row r="7" spans="1:14" x14ac:dyDescent="0.25">
      <c r="A7" s="2559" t="s">
        <v>864</v>
      </c>
      <c r="B7" s="2560"/>
      <c r="C7" s="2560"/>
      <c r="D7" s="2560"/>
      <c r="E7" s="2561"/>
      <c r="F7" s="2001"/>
      <c r="G7" s="899"/>
      <c r="H7" s="899"/>
      <c r="I7" s="2000" t="s">
        <v>369</v>
      </c>
      <c r="J7" s="2562">
        <f>COVER!A13</f>
        <v>24032101061</v>
      </c>
      <c r="K7" s="2562"/>
      <c r="L7" s="2562"/>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2025</v>
      </c>
      <c r="F9" s="2011"/>
      <c r="G9" s="2011"/>
      <c r="H9" s="2011"/>
      <c r="I9" s="2012" t="s">
        <v>2026</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63" t="s">
        <v>478</v>
      </c>
      <c r="B11" s="2564"/>
      <c r="C11" s="2565"/>
      <c r="D11" s="2019" t="s">
        <v>866</v>
      </c>
      <c r="E11" s="2019" t="s">
        <v>64</v>
      </c>
      <c r="F11" s="2019" t="s">
        <v>6</v>
      </c>
      <c r="G11" s="2020" t="s">
        <v>2027</v>
      </c>
      <c r="H11" s="2021" t="s">
        <v>155</v>
      </c>
      <c r="I11" s="2019" t="s">
        <v>64</v>
      </c>
      <c r="J11" s="2019" t="s">
        <v>6</v>
      </c>
      <c r="K11" s="2020" t="s">
        <v>2001</v>
      </c>
      <c r="L11" s="2021" t="s">
        <v>155</v>
      </c>
      <c r="M11" s="899"/>
      <c r="N11" s="1997"/>
    </row>
    <row r="12" spans="1:14" x14ac:dyDescent="0.25">
      <c r="A12" s="2022">
        <v>1</v>
      </c>
      <c r="B12" s="2023" t="s">
        <v>813</v>
      </c>
      <c r="C12" s="2024"/>
      <c r="D12" s="2025">
        <v>2320</v>
      </c>
      <c r="E12" s="2026">
        <f>'Expenditures 15-22'!K50</f>
        <v>674368</v>
      </c>
      <c r="F12" s="2027"/>
      <c r="G12" s="2028">
        <f>G68</f>
        <v>0</v>
      </c>
      <c r="H12" s="2029">
        <f t="shared" ref="H12:H18" si="0">SUM(E12:G12)</f>
        <v>674368</v>
      </c>
      <c r="I12" s="2030"/>
      <c r="J12" s="2027"/>
      <c r="K12" s="2030"/>
      <c r="L12" s="2029">
        <f t="shared" ref="L12:L18" si="1">SUM(I12:K12)</f>
        <v>0</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7" t="s">
        <v>7</v>
      </c>
      <c r="C18" s="2507"/>
      <c r="D18" s="2508"/>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674368</v>
      </c>
      <c r="F19" s="2035">
        <f t="shared" si="2"/>
        <v>0</v>
      </c>
      <c r="G19" s="2035">
        <f t="shared" ref="G19" si="3">SUM(G12:G17)-G18</f>
        <v>0</v>
      </c>
      <c r="H19" s="2035">
        <f t="shared" si="2"/>
        <v>674368</v>
      </c>
      <c r="I19" s="2035">
        <f t="shared" si="2"/>
        <v>0</v>
      </c>
      <c r="J19" s="2035">
        <f t="shared" si="2"/>
        <v>0</v>
      </c>
      <c r="K19" s="2035">
        <f t="shared" si="2"/>
        <v>0</v>
      </c>
      <c r="L19" s="2035">
        <f t="shared" si="2"/>
        <v>0</v>
      </c>
      <c r="M19" s="899"/>
      <c r="N19" s="1997"/>
    </row>
    <row r="20" spans="1:14" ht="15.75" thickTop="1" x14ac:dyDescent="0.25">
      <c r="A20" s="2022">
        <v>9</v>
      </c>
      <c r="B20" s="2555" t="s">
        <v>2028</v>
      </c>
      <c r="C20" s="2555"/>
      <c r="D20" s="2556"/>
      <c r="E20" s="2036"/>
      <c r="F20" s="2036"/>
      <c r="G20" s="2036"/>
      <c r="H20" s="2036"/>
      <c r="I20" s="2036"/>
      <c r="J20" s="2036"/>
      <c r="K20" s="2036"/>
      <c r="L20" s="2037" t="str">
        <f>IF(AND(H19&gt;0,L19&gt;0),(((L19-H19)/H19)),"Enter Budget Data")</f>
        <v>Enter Budget Data</v>
      </c>
      <c r="M20" s="899"/>
      <c r="N20" s="1997"/>
    </row>
    <row r="21" spans="1:14" x14ac:dyDescent="0.25">
      <c r="A21" s="2038" t="s">
        <v>194</v>
      </c>
      <c r="B21" s="294" t="s">
        <v>2029</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2030</v>
      </c>
      <c r="B24" s="2046"/>
      <c r="C24" s="2047"/>
      <c r="D24" s="2047"/>
      <c r="E24" s="2047"/>
      <c r="F24" s="2047"/>
      <c r="G24" s="2047"/>
      <c r="H24" s="2047"/>
      <c r="I24" s="2047"/>
      <c r="J24" s="2047"/>
      <c r="K24" s="2047"/>
      <c r="L24" s="899"/>
      <c r="M24" s="899"/>
      <c r="N24" s="1997"/>
    </row>
    <row r="25" spans="1:14" x14ac:dyDescent="0.25">
      <c r="A25" s="2045" t="s">
        <v>2031</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42"/>
      <c r="D27" s="2542"/>
      <c r="E27" s="2049"/>
      <c r="F27" s="2514"/>
      <c r="G27" s="2514"/>
      <c r="H27" s="2514"/>
      <c r="I27" s="899"/>
      <c r="J27" s="899"/>
      <c r="K27" s="899"/>
      <c r="L27" s="899"/>
      <c r="M27" s="899"/>
      <c r="N27" s="1997"/>
    </row>
    <row r="28" spans="1:14" x14ac:dyDescent="0.25">
      <c r="A28" s="1995"/>
      <c r="B28" s="2043"/>
      <c r="C28" s="2050" t="s">
        <v>1026</v>
      </c>
      <c r="D28" s="2051"/>
      <c r="E28" s="2052"/>
      <c r="F28" s="2543" t="s">
        <v>1495</v>
      </c>
      <c r="G28" s="2543"/>
      <c r="H28" s="2543"/>
      <c r="I28" s="899"/>
      <c r="J28" s="899"/>
      <c r="K28" s="899"/>
      <c r="L28" s="899"/>
      <c r="M28" s="899"/>
      <c r="N28" s="1997"/>
    </row>
    <row r="29" spans="1:14" x14ac:dyDescent="0.25">
      <c r="A29" s="1995"/>
      <c r="B29" s="2043"/>
      <c r="C29" s="2544"/>
      <c r="D29" s="2544"/>
      <c r="E29" s="898"/>
      <c r="F29" s="2544"/>
      <c r="G29" s="2544"/>
      <c r="H29" s="2544"/>
      <c r="I29" s="899"/>
      <c r="J29" s="899"/>
      <c r="K29" s="899"/>
      <c r="L29" s="899"/>
      <c r="M29" s="899"/>
      <c r="N29" s="1997"/>
    </row>
    <row r="30" spans="1:14" x14ac:dyDescent="0.25">
      <c r="A30" s="1995"/>
      <c r="B30" s="2043"/>
      <c r="C30" s="2053" t="s">
        <v>1547</v>
      </c>
      <c r="D30" s="899"/>
      <c r="E30" s="2054"/>
      <c r="F30" s="2545" t="s">
        <v>1496</v>
      </c>
      <c r="G30" s="2545"/>
      <c r="H30" s="2545"/>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46" t="s">
        <v>2032</v>
      </c>
      <c r="D34" s="2546"/>
      <c r="E34" s="2546"/>
      <c r="F34" s="2546"/>
      <c r="G34" s="2546"/>
      <c r="H34" s="2546"/>
      <c r="I34" s="2546"/>
      <c r="J34" s="2546"/>
      <c r="K34" s="2059"/>
      <c r="L34" s="899"/>
      <c r="M34" s="899"/>
      <c r="N34" s="1997"/>
    </row>
    <row r="35" spans="1:14" x14ac:dyDescent="0.25">
      <c r="A35" s="1995"/>
      <c r="B35" s="899"/>
      <c r="C35" s="2546"/>
      <c r="D35" s="2546"/>
      <c r="E35" s="2546"/>
      <c r="F35" s="2546"/>
      <c r="G35" s="2546"/>
      <c r="H35" s="2546"/>
      <c r="I35" s="2546"/>
      <c r="J35" s="2546"/>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46" t="s">
        <v>2033</v>
      </c>
      <c r="D37" s="2546"/>
      <c r="E37" s="2546"/>
      <c r="F37" s="2546"/>
      <c r="G37" s="2546"/>
      <c r="H37" s="2546"/>
      <c r="I37" s="2546"/>
      <c r="J37" s="2546"/>
      <c r="K37" s="2059"/>
      <c r="L37" s="887"/>
      <c r="M37" s="899"/>
      <c r="N37" s="1997"/>
    </row>
    <row r="38" spans="1:14" x14ac:dyDescent="0.25">
      <c r="A38" s="1995"/>
      <c r="B38" s="899"/>
      <c r="C38" s="2546"/>
      <c r="D38" s="2546"/>
      <c r="E38" s="2546"/>
      <c r="F38" s="2546"/>
      <c r="G38" s="2546"/>
      <c r="H38" s="2546"/>
      <c r="I38" s="2546"/>
      <c r="J38" s="2546"/>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7" t="s">
        <v>2034</v>
      </c>
      <c r="D40" s="2548"/>
      <c r="E40" s="2548"/>
      <c r="F40" s="2548"/>
      <c r="G40" s="2548"/>
      <c r="H40" s="2548"/>
      <c r="I40" s="2548"/>
      <c r="J40" s="2548"/>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9" t="s">
        <v>2035</v>
      </c>
      <c r="B43" s="2550"/>
      <c r="C43" s="2550"/>
      <c r="D43" s="2550"/>
      <c r="E43" s="2550"/>
      <c r="F43" s="2550"/>
      <c r="G43" s="2550"/>
      <c r="H43" s="2550"/>
      <c r="I43" s="2550"/>
      <c r="J43" s="2550"/>
      <c r="K43" s="2550"/>
      <c r="L43" s="2550"/>
      <c r="M43" s="2550"/>
      <c r="N43" s="2551"/>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2036</v>
      </c>
      <c r="B45" s="2068"/>
      <c r="C45" s="2068"/>
      <c r="D45" s="2068"/>
      <c r="E45" s="2068"/>
      <c r="F45" s="2068"/>
      <c r="G45" s="2068"/>
      <c r="H45" s="2068"/>
      <c r="I45" s="2068"/>
      <c r="J45" s="2068"/>
      <c r="K45" s="2068"/>
      <c r="L45" s="2068"/>
      <c r="M45" s="2068"/>
      <c r="N45" s="2069"/>
    </row>
    <row r="46" spans="1:14" x14ac:dyDescent="0.25">
      <c r="A46" s="2552" t="s">
        <v>2037</v>
      </c>
      <c r="B46" s="2553"/>
      <c r="C46" s="2553"/>
      <c r="D46" s="2553"/>
      <c r="E46" s="2553"/>
      <c r="F46" s="2553"/>
      <c r="G46" s="2553"/>
      <c r="H46" s="2553"/>
      <c r="I46" s="2553"/>
      <c r="J46" s="2553"/>
      <c r="K46" s="2553"/>
      <c r="L46" s="2553"/>
      <c r="M46" s="2553"/>
      <c r="N46" s="2554"/>
    </row>
    <row r="47" spans="1:14" x14ac:dyDescent="0.25">
      <c r="A47" s="2552"/>
      <c r="B47" s="2553"/>
      <c r="C47" s="2553"/>
      <c r="D47" s="2553"/>
      <c r="E47" s="2553"/>
      <c r="F47" s="2553"/>
      <c r="G47" s="2553"/>
      <c r="H47" s="2553"/>
      <c r="I47" s="2553"/>
      <c r="J47" s="2553"/>
      <c r="K47" s="2553"/>
      <c r="L47" s="2553"/>
      <c r="M47" s="2553"/>
      <c r="N47" s="2554"/>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2038</v>
      </c>
      <c r="B49" s="2074"/>
      <c r="C49" s="2074"/>
      <c r="D49" s="2075"/>
      <c r="E49" s="2075"/>
      <c r="F49" s="2075"/>
      <c r="G49" s="2075"/>
      <c r="H49" s="2075"/>
      <c r="I49" s="2075"/>
      <c r="J49" s="2075"/>
      <c r="K49" s="2075"/>
      <c r="L49" s="2075"/>
      <c r="M49" s="2075"/>
      <c r="N49" s="2076"/>
    </row>
    <row r="50" spans="1:14" x14ac:dyDescent="0.25">
      <c r="A50" s="2073" t="s">
        <v>2039</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40" t="str">
        <f>J6</f>
        <v xml:space="preserve">   Grundy County Spec Ed Co-op</v>
      </c>
      <c r="M52" s="2540"/>
      <c r="N52" s="2541"/>
    </row>
    <row r="53" spans="1:14" x14ac:dyDescent="0.25">
      <c r="A53" s="2067"/>
      <c r="B53" s="2068"/>
      <c r="C53" s="2068"/>
      <c r="D53" s="2068"/>
      <c r="E53" s="2068"/>
      <c r="F53" s="2068"/>
      <c r="G53" s="2068"/>
      <c r="H53" s="2068"/>
      <c r="I53" s="2068"/>
      <c r="J53" s="2068"/>
      <c r="K53" s="2000" t="s">
        <v>369</v>
      </c>
      <c r="L53" s="2527">
        <f>J7</f>
        <v>24032101061</v>
      </c>
      <c r="M53" s="2527"/>
      <c r="N53" s="2528"/>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29"/>
      <c r="B55" s="2530"/>
      <c r="C55" s="2530"/>
      <c r="D55" s="2077"/>
      <c r="E55" s="2077"/>
      <c r="F55" s="2077"/>
      <c r="G55" s="2531" t="s">
        <v>2040</v>
      </c>
      <c r="H55" s="2531"/>
      <c r="I55" s="2531"/>
      <c r="J55" s="2531"/>
      <c r="K55" s="2531"/>
      <c r="L55" s="2531"/>
      <c r="M55" s="2531"/>
      <c r="N55" s="2532"/>
    </row>
    <row r="56" spans="1:14" ht="64.5" x14ac:dyDescent="0.25">
      <c r="A56" s="2533" t="s">
        <v>2041</v>
      </c>
      <c r="B56" s="2534"/>
      <c r="C56" s="2535"/>
      <c r="D56" s="2078" t="s">
        <v>2042</v>
      </c>
      <c r="E56" s="2078" t="s">
        <v>2043</v>
      </c>
      <c r="F56" s="2079"/>
      <c r="G56" s="2078" t="s">
        <v>2044</v>
      </c>
      <c r="H56" s="2078" t="s">
        <v>2045</v>
      </c>
      <c r="I56" s="2078" t="s">
        <v>2046</v>
      </c>
      <c r="J56" s="2078" t="s">
        <v>2047</v>
      </c>
      <c r="K56" s="2078" t="s">
        <v>2048</v>
      </c>
      <c r="L56" s="2078" t="s">
        <v>2049</v>
      </c>
      <c r="M56" s="2078" t="s">
        <v>2050</v>
      </c>
      <c r="N56" s="2080" t="s">
        <v>2051</v>
      </c>
    </row>
    <row r="57" spans="1:14" ht="24" customHeight="1" x14ac:dyDescent="0.25">
      <c r="A57" s="2536" t="s">
        <v>296</v>
      </c>
      <c r="B57" s="2537"/>
      <c r="C57" s="2537"/>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8" t="s">
        <v>2052</v>
      </c>
      <c r="B58" s="2539"/>
      <c r="C58" s="2539"/>
      <c r="D58" s="2087">
        <v>2362</v>
      </c>
      <c r="E58" s="2082">
        <f>'Expenditures 15-22'!K320</f>
        <v>0</v>
      </c>
      <c r="F58" s="2083"/>
      <c r="G58" s="2088"/>
      <c r="H58" s="2089"/>
      <c r="I58" s="2089"/>
      <c r="J58" s="2089"/>
      <c r="K58" s="2089"/>
      <c r="L58" s="2089"/>
      <c r="M58" s="2089"/>
      <c r="N58" s="2086">
        <f>IF((SUM(G58:M58))=E58,SUM(G58:M58),"Column N does not agree with Column E")</f>
        <v>0</v>
      </c>
    </row>
    <row r="59" spans="1:14" ht="24.75" customHeight="1" x14ac:dyDescent="0.25">
      <c r="A59" s="2520" t="s">
        <v>297</v>
      </c>
      <c r="B59" s="2521"/>
      <c r="C59" s="2521"/>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20" t="s">
        <v>236</v>
      </c>
      <c r="B60" s="2521"/>
      <c r="C60" s="2521"/>
      <c r="D60" s="2087">
        <v>2364</v>
      </c>
      <c r="E60" s="2082">
        <f>'Expenditures 15-22'!K322</f>
        <v>0</v>
      </c>
      <c r="F60" s="2083"/>
      <c r="G60" s="2088"/>
      <c r="H60" s="2089"/>
      <c r="I60" s="2089"/>
      <c r="J60" s="2089"/>
      <c r="K60" s="2089"/>
      <c r="L60" s="2089"/>
      <c r="M60" s="2089"/>
      <c r="N60" s="2086">
        <f t="shared" si="4"/>
        <v>0</v>
      </c>
    </row>
    <row r="61" spans="1:14" ht="24.75" customHeight="1" x14ac:dyDescent="0.25">
      <c r="A61" s="2520" t="s">
        <v>697</v>
      </c>
      <c r="B61" s="2521"/>
      <c r="C61" s="2521"/>
      <c r="D61" s="2087">
        <v>2365</v>
      </c>
      <c r="E61" s="2082">
        <f>'Expenditures 15-22'!K323</f>
        <v>0</v>
      </c>
      <c r="F61" s="2083"/>
      <c r="G61" s="2088"/>
      <c r="H61" s="2089"/>
      <c r="I61" s="2089"/>
      <c r="J61" s="2089"/>
      <c r="K61" s="2089"/>
      <c r="L61" s="2089"/>
      <c r="M61" s="2089"/>
      <c r="N61" s="2086">
        <f t="shared" si="4"/>
        <v>0</v>
      </c>
    </row>
    <row r="62" spans="1:14" ht="24.75" customHeight="1" x14ac:dyDescent="0.25">
      <c r="A62" s="2520" t="s">
        <v>237</v>
      </c>
      <c r="B62" s="2521"/>
      <c r="C62" s="2521"/>
      <c r="D62" s="2087">
        <v>2366</v>
      </c>
      <c r="E62" s="2082">
        <f>'Expenditures 15-22'!K324</f>
        <v>0</v>
      </c>
      <c r="F62" s="2083"/>
      <c r="G62" s="2088"/>
      <c r="H62" s="2089"/>
      <c r="I62" s="2089"/>
      <c r="J62" s="2089"/>
      <c r="K62" s="2089"/>
      <c r="L62" s="2089"/>
      <c r="M62" s="2089"/>
      <c r="N62" s="2086">
        <f t="shared" si="4"/>
        <v>0</v>
      </c>
    </row>
    <row r="63" spans="1:14" ht="24.75" customHeight="1" x14ac:dyDescent="0.25">
      <c r="A63" s="2538" t="s">
        <v>1022</v>
      </c>
      <c r="B63" s="2539"/>
      <c r="C63" s="2539"/>
      <c r="D63" s="2087">
        <v>2367</v>
      </c>
      <c r="E63" s="2082">
        <f>'Expenditures 15-22'!K325</f>
        <v>0</v>
      </c>
      <c r="F63" s="2083"/>
      <c r="G63" s="2088"/>
      <c r="H63" s="2089"/>
      <c r="I63" s="2089"/>
      <c r="J63" s="2089"/>
      <c r="K63" s="2089"/>
      <c r="L63" s="2089"/>
      <c r="M63" s="2089"/>
      <c r="N63" s="2086">
        <f t="shared" si="4"/>
        <v>0</v>
      </c>
    </row>
    <row r="64" spans="1:14" ht="24.75" customHeight="1" x14ac:dyDescent="0.25">
      <c r="A64" s="2520" t="s">
        <v>1023</v>
      </c>
      <c r="B64" s="2521"/>
      <c r="C64" s="2521"/>
      <c r="D64" s="2087">
        <v>2368</v>
      </c>
      <c r="E64" s="2082">
        <f>'Expenditures 15-22'!K326</f>
        <v>0</v>
      </c>
      <c r="F64" s="2083"/>
      <c r="G64" s="2088"/>
      <c r="H64" s="2089"/>
      <c r="I64" s="2089"/>
      <c r="J64" s="2089"/>
      <c r="K64" s="2089"/>
      <c r="L64" s="2089"/>
      <c r="M64" s="2089"/>
      <c r="N64" s="2086">
        <f t="shared" si="4"/>
        <v>0</v>
      </c>
    </row>
    <row r="65" spans="1:14" ht="24" customHeight="1" x14ac:dyDescent="0.25">
      <c r="A65" s="2520" t="s">
        <v>965</v>
      </c>
      <c r="B65" s="2521"/>
      <c r="C65" s="2521"/>
      <c r="D65" s="2087">
        <v>2369</v>
      </c>
      <c r="E65" s="2082">
        <f>'Expenditures 15-22'!K327</f>
        <v>0</v>
      </c>
      <c r="F65" s="2083"/>
      <c r="G65" s="2088"/>
      <c r="H65" s="2089"/>
      <c r="I65" s="2089"/>
      <c r="J65" s="2089"/>
      <c r="K65" s="2089"/>
      <c r="L65" s="2089"/>
      <c r="M65" s="2089"/>
      <c r="N65" s="2086">
        <f t="shared" si="4"/>
        <v>0</v>
      </c>
    </row>
    <row r="66" spans="1:14" ht="24.75" customHeight="1" x14ac:dyDescent="0.25">
      <c r="A66" s="2520" t="s">
        <v>469</v>
      </c>
      <c r="B66" s="2521"/>
      <c r="C66" s="2521"/>
      <c r="D66" s="2087">
        <v>2371</v>
      </c>
      <c r="E66" s="2082">
        <f>'Expenditures 15-22'!K328</f>
        <v>0</v>
      </c>
      <c r="F66" s="2083"/>
      <c r="G66" s="2088"/>
      <c r="H66" s="2089"/>
      <c r="I66" s="2089"/>
      <c r="J66" s="2089"/>
      <c r="K66" s="2089"/>
      <c r="L66" s="2089"/>
      <c r="M66" s="2089"/>
      <c r="N66" s="2086">
        <f t="shared" si="4"/>
        <v>0</v>
      </c>
    </row>
    <row r="67" spans="1:14" ht="24.75" customHeight="1" x14ac:dyDescent="0.25">
      <c r="A67" s="2522" t="s">
        <v>2053</v>
      </c>
      <c r="B67" s="2523"/>
      <c r="C67" s="2523"/>
      <c r="D67" s="2090">
        <v>2372</v>
      </c>
      <c r="E67" s="2082">
        <f>'Expenditures 15-22'!K329</f>
        <v>0</v>
      </c>
      <c r="F67" s="2083"/>
      <c r="G67" s="2091"/>
      <c r="H67" s="2092"/>
      <c r="I67" s="2092"/>
      <c r="J67" s="2092"/>
      <c r="K67" s="2092"/>
      <c r="L67" s="2092"/>
      <c r="M67" s="2092"/>
      <c r="N67" s="2086">
        <f t="shared" si="4"/>
        <v>0</v>
      </c>
    </row>
    <row r="68" spans="1:14" x14ac:dyDescent="0.25">
      <c r="A68" s="2524" t="s">
        <v>1153</v>
      </c>
      <c r="B68" s="2525"/>
      <c r="C68" s="2525"/>
      <c r="D68" s="2077"/>
      <c r="E68" s="2093">
        <f>SUM(E57:E67)</f>
        <v>0</v>
      </c>
      <c r="F68" s="2094"/>
      <c r="G68" s="2093">
        <f t="shared" ref="G68:N68" si="5">SUM(G57:G67)</f>
        <v>0</v>
      </c>
      <c r="H68" s="2093">
        <f t="shared" si="5"/>
        <v>0</v>
      </c>
      <c r="I68" s="2093">
        <f t="shared" si="5"/>
        <v>0</v>
      </c>
      <c r="J68" s="2093">
        <f t="shared" si="5"/>
        <v>0</v>
      </c>
      <c r="K68" s="2093">
        <f t="shared" si="5"/>
        <v>0</v>
      </c>
      <c r="L68" s="2093">
        <f t="shared" si="5"/>
        <v>0</v>
      </c>
      <c r="M68" s="2093">
        <f t="shared" si="5"/>
        <v>0</v>
      </c>
      <c r="N68" s="2095">
        <f t="shared" si="5"/>
        <v>0</v>
      </c>
    </row>
    <row r="69" spans="1:14" x14ac:dyDescent="0.25">
      <c r="A69" s="2096"/>
      <c r="B69" s="2097"/>
      <c r="C69" s="2097"/>
      <c r="D69" s="2097"/>
      <c r="E69" s="2097"/>
      <c r="F69" s="2097"/>
      <c r="G69" s="2097"/>
      <c r="H69" s="2098" t="s">
        <v>2054</v>
      </c>
      <c r="I69" s="2097"/>
      <c r="J69" s="2097"/>
      <c r="K69" s="2097"/>
      <c r="L69" s="2098" t="s">
        <v>2055</v>
      </c>
      <c r="M69" s="2097"/>
      <c r="N69" s="2099"/>
    </row>
    <row r="70" spans="1:14" ht="46.5" customHeight="1" x14ac:dyDescent="0.25">
      <c r="A70" s="2100" t="s">
        <v>2056</v>
      </c>
      <c r="B70" s="2097"/>
      <c r="C70" s="2097"/>
      <c r="D70" s="2097"/>
      <c r="E70" s="2097"/>
      <c r="F70" s="2097"/>
      <c r="G70" s="2097"/>
      <c r="H70" s="2516" t="s">
        <v>2057</v>
      </c>
      <c r="I70" s="2516"/>
      <c r="J70" s="2516"/>
      <c r="K70" s="2097"/>
      <c r="L70" s="2516" t="s">
        <v>2058</v>
      </c>
      <c r="M70" s="2516"/>
      <c r="N70" s="2526"/>
    </row>
    <row r="71" spans="1:14" ht="42.75" customHeight="1" x14ac:dyDescent="0.25">
      <c r="A71" s="2096"/>
      <c r="B71" s="2097"/>
      <c r="C71" s="2097"/>
      <c r="D71" s="2097"/>
      <c r="E71" s="2097"/>
      <c r="F71" s="2097"/>
      <c r="G71" s="2097"/>
      <c r="H71" s="2516" t="s">
        <v>2059</v>
      </c>
      <c r="I71" s="2516"/>
      <c r="J71" s="2516"/>
      <c r="K71" s="2097"/>
      <c r="L71" s="2517" t="s">
        <v>2060</v>
      </c>
      <c r="M71" s="2517"/>
      <c r="N71" s="2518"/>
    </row>
    <row r="72" spans="1:14" ht="52.5" customHeight="1" thickBot="1" x14ac:dyDescent="0.3">
      <c r="A72" s="2101"/>
      <c r="B72" s="2102"/>
      <c r="C72" s="2102"/>
      <c r="D72" s="2102"/>
      <c r="E72" s="2102"/>
      <c r="F72" s="2102"/>
      <c r="G72" s="2102"/>
      <c r="H72" s="2519" t="s">
        <v>2061</v>
      </c>
      <c r="I72" s="2519"/>
      <c r="J72" s="2519"/>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6207FB97-8B19-4A08-BBC8-801DBEDDD6D8}"/>
    <dataValidation allowBlank="1" showInputMessage="1" showErrorMessage="1" prompt="Link cell K328 from &quot;Expenditures 15-22&quot; tab" sqref="E66" xr:uid="{2A5958E6-C6A8-404D-8615-C589056C6B44}"/>
    <dataValidation allowBlank="1" showInputMessage="1" showErrorMessage="1" prompt="Link cell K327 from &quot;Expenditures 15-22&quot; tab" sqref="E65" xr:uid="{6DD43A8A-7444-4133-AEFB-A6D699F46918}"/>
    <dataValidation allowBlank="1" showInputMessage="1" showErrorMessage="1" prompt="Link cell K326 from &quot;Expenditures 15-22&quot; tab" sqref="E64" xr:uid="{2510AD4C-22A1-447A-B283-F70C9264242B}"/>
    <dataValidation allowBlank="1" showInputMessage="1" showErrorMessage="1" prompt="Link cell K325 from &quot;Expenditures 15-22&quot; tab" sqref="E63" xr:uid="{98854ADD-DC7E-472F-8F71-9D96E0B6D2CC}"/>
    <dataValidation allowBlank="1" showInputMessage="1" showErrorMessage="1" prompt="Link cell K324 from &quot;Expenditures 15-22&quot; tab" sqref="E62" xr:uid="{2DE954A9-60FA-4B67-BAF8-C96BF21A9A33}"/>
    <dataValidation allowBlank="1" showInputMessage="1" showErrorMessage="1" prompt="Link cell K323 from &quot;Expenditures 15-22&quot; tab" sqref="E61" xr:uid="{AF17FACB-6FFB-4AA7-B84E-D1CD5F5685DF}"/>
    <dataValidation allowBlank="1" showInputMessage="1" showErrorMessage="1" prompt="Link cell K322 from &quot;Expenditures 15-22&quot; tab" sqref="E60" xr:uid="{E8A0F26D-6EF1-43F3-AAD1-12FC4D621E8C}"/>
    <dataValidation allowBlank="1" showInputMessage="1" showErrorMessage="1" prompt="Link cell K321 from &quot;Expenditures 15-22&quot; tab" sqref="E59" xr:uid="{AC6AFC9A-2146-477A-B29B-25AAFF2CDC35}"/>
    <dataValidation allowBlank="1" showInputMessage="1" showErrorMessage="1" prompt="Link cell K320 from &quot;Expenditures 15-22&quot; tab" sqref="E58" xr:uid="{5CE8A2ED-E22B-4839-AB88-3EB4BF34E806}"/>
    <dataValidation allowBlank="1" showInputMessage="1" showErrorMessage="1" prompt="Link cell K319 from &quot;Expenditures 15-22&quot; tab" sqref="E57" xr:uid="{DC353D4E-C5C7-45EB-853E-0F8C70E21C35}"/>
    <dataValidation allowBlank="1" showInputMessage="1" showErrorMessage="1" prompt="Link cell K122 from &quot;Expenditures 15-22&quot; tab" sqref="F15" xr:uid="{1C26CD55-3BC7-48C2-BCC4-A2218963F4FF}"/>
    <dataValidation allowBlank="1" showInputMessage="1" showErrorMessage="1" prompt="Link cell K67 from &quot;Expenditures 15-22&quot; tab" sqref="E17" xr:uid="{6AF1FFD7-1F0A-4688-9F53-EAFC8BB91027}"/>
    <dataValidation allowBlank="1" showInputMessage="1" showErrorMessage="1" prompt="Link cell K64 from &quot;Expenditures 15-22&quot; tab" sqref="E16" xr:uid="{19DE3EBC-A28F-4B7E-BDF8-F0C7090826DA}"/>
    <dataValidation allowBlank="1" showInputMessage="1" showErrorMessage="1" prompt="Link cell K59 from &quot;Expenditures 15-22&quot; tab" sqref="E15" xr:uid="{DDC6FF95-CAF9-4B0E-B0E5-C70926ECC4C7}"/>
    <dataValidation allowBlank="1" showInputMessage="1" showErrorMessage="1" prompt="Link cell K56 from &quot;Expenditures 15-22&quot; tab" sqref="E14" xr:uid="{F43C2CC0-BED2-497A-A603-277DE7E1B633}"/>
    <dataValidation allowBlank="1" showInputMessage="1" showErrorMessage="1" prompt="Link cell K51 from &quot;Expenditures 15-22&quot; tab" sqref="E13" xr:uid="{AF47D0CB-DA7B-476C-9618-AF16B1B42E96}"/>
    <dataValidation allowBlank="1" showInputMessage="1" showErrorMessage="1" prompt="Link cell K50 from &quot;Expenditures 15-22&quot; tab " sqref="E12" xr:uid="{53182744-E087-43FF-907F-F976F3618729}"/>
    <dataValidation allowBlank="1" showInputMessage="1" showErrorMessage="1" prompt="Link cell A13 from &quot;Cover&quot; tab" sqref="J7:L7" xr:uid="{01D681E8-5DC9-4429-A159-A1EF2826E59E}"/>
    <dataValidation allowBlank="1" showInputMessage="1" showErrorMessage="1" prompt="Link cell A17 from &quot;Cover&quot; tab" sqref="J6:L6" xr:uid="{4DA500ED-FB10-4A46-88F7-E781F3BD0CD3}"/>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 sqref="A4:L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5" t="s">
        <v>1058</v>
      </c>
      <c r="B35" s="2225"/>
      <c r="C35" s="2225"/>
      <c r="D35" s="2225"/>
      <c r="E35" s="222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2" t="s">
        <v>686</v>
      </c>
      <c r="B40" s="2222"/>
      <c r="C40" s="2222"/>
      <c r="D40" s="2222"/>
      <c r="E40" s="2222"/>
    </row>
    <row r="41" spans="1:5" x14ac:dyDescent="0.2">
      <c r="A41" s="2223" t="s">
        <v>1594</v>
      </c>
      <c r="B41" s="2223"/>
      <c r="C41" s="2223"/>
      <c r="D41" s="2223"/>
      <c r="E41" s="2223"/>
    </row>
    <row r="42" spans="1:5" ht="12.75" customHeight="1" x14ac:dyDescent="0.2">
      <c r="A42" s="2224" t="s">
        <v>1015</v>
      </c>
      <c r="B42" s="2224"/>
      <c r="C42" s="2224"/>
      <c r="D42" s="2224"/>
      <c r="E42" s="222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 sqref="A4:L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Grundy County Spec Ed Co-op</v>
      </c>
    </row>
    <row r="65" spans="2:2" x14ac:dyDescent="0.2">
      <c r="B65" s="894">
        <f>COVER!A13</f>
        <v>24032101061</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L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1973</v>
      </c>
    </row>
    <row r="17" spans="1:2" ht="6" customHeight="1" x14ac:dyDescent="0.2"/>
    <row r="18" spans="1:2" ht="24.75" customHeight="1" x14ac:dyDescent="0.2">
      <c r="A18" s="2566" t="s">
        <v>1668</v>
      </c>
      <c r="B18" s="256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6</xdr:row>
                <xdr:rowOff>0</xdr:rowOff>
              </from>
              <to>
                <xdr:col>1</xdr:col>
                <xdr:colOff>933450</xdr:colOff>
                <xdr:row>10</xdr:row>
                <xdr:rowOff>142875</xdr:rowOff>
              </to>
            </anchor>
          </objectPr>
        </oleObject>
      </mc:Choice>
      <mc:Fallback>
        <oleObject progId="Acrobat Document" dvAspect="DVASPECT_ICON" shapeId="5734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7" t="s">
        <v>1672</v>
      </c>
      <c r="B1" s="2568"/>
      <c r="C1" s="2568"/>
      <c r="D1" s="2568"/>
      <c r="E1" s="2568"/>
      <c r="F1" s="2569"/>
    </row>
    <row r="2" spans="1:8" ht="45" customHeight="1" x14ac:dyDescent="0.2">
      <c r="A2" s="25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8"/>
      <c r="C2" s="2578"/>
      <c r="D2" s="2578"/>
      <c r="E2" s="2578"/>
      <c r="F2" s="2579"/>
      <c r="G2" s="898"/>
      <c r="H2" s="898"/>
    </row>
    <row r="3" spans="1:8" ht="57" customHeight="1" x14ac:dyDescent="0.2">
      <c r="A3" s="2580" t="s">
        <v>1972</v>
      </c>
      <c r="B3" s="2581"/>
      <c r="C3" s="2581"/>
      <c r="D3" s="2581"/>
      <c r="E3" s="2581"/>
      <c r="F3" s="2582"/>
      <c r="G3" s="898"/>
      <c r="H3" s="898"/>
    </row>
    <row r="4" spans="1:8" ht="14.25" customHeight="1" x14ac:dyDescent="0.2">
      <c r="A4" s="25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7"/>
      <c r="C4" s="2587"/>
      <c r="D4" s="2587"/>
      <c r="E4" s="2587"/>
      <c r="F4" s="2588"/>
      <c r="G4" s="898"/>
      <c r="H4" s="898"/>
    </row>
    <row r="5" spans="1:8" ht="14.25" customHeight="1" x14ac:dyDescent="0.2">
      <c r="A5" s="25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0"/>
      <c r="C5" s="2590"/>
      <c r="D5" s="2590"/>
      <c r="E5" s="2590"/>
      <c r="F5" s="2591"/>
      <c r="G5" s="898"/>
      <c r="H5" s="898"/>
    </row>
    <row r="6" spans="1:8" s="899" customFormat="1" ht="41.25" customHeight="1" x14ac:dyDescent="0.2">
      <c r="A6" s="2583" t="s">
        <v>1673</v>
      </c>
      <c r="B6" s="2584"/>
      <c r="C6" s="2584"/>
      <c r="D6" s="2584"/>
      <c r="E6" s="2584"/>
      <c r="F6" s="2585"/>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11086444</v>
      </c>
      <c r="C8" s="1871">
        <f>'Acct Summary 7-8'!D8</f>
        <v>0</v>
      </c>
      <c r="D8" s="1871">
        <f>'Acct Summary 7-8'!F8</f>
        <v>0</v>
      </c>
      <c r="E8" s="1871">
        <f>'Acct Summary 7-8'!I8</f>
        <v>0</v>
      </c>
      <c r="F8" s="1871">
        <f>SUM(B8:E8)</f>
        <v>11086444</v>
      </c>
    </row>
    <row r="9" spans="1:8" s="903" customFormat="1" ht="14.25" customHeight="1" thickBot="1" x14ac:dyDescent="0.25">
      <c r="A9" s="902" t="s">
        <v>1355</v>
      </c>
      <c r="B9" s="1872">
        <f>'Acct Summary 7-8'!C17</f>
        <v>12414939</v>
      </c>
      <c r="C9" s="1872">
        <f>'Acct Summary 7-8'!D17</f>
        <v>87103</v>
      </c>
      <c r="D9" s="1872">
        <f>'Acct Summary 7-8'!F17</f>
        <v>0</v>
      </c>
      <c r="E9" s="1871"/>
      <c r="F9" s="1871">
        <f>SUM(B9:E9)</f>
        <v>12502042</v>
      </c>
    </row>
    <row r="10" spans="1:8" s="903" customFormat="1" ht="14.25" thickTop="1" thickBot="1" x14ac:dyDescent="0.25">
      <c r="A10" s="904" t="s">
        <v>1356</v>
      </c>
      <c r="B10" s="1873">
        <f>(B8-B9)</f>
        <v>-1328495</v>
      </c>
      <c r="C10" s="1873">
        <f>(C8-C9)</f>
        <v>-87103</v>
      </c>
      <c r="D10" s="1873">
        <f>(D8-D9)</f>
        <v>0</v>
      </c>
      <c r="E10" s="1872">
        <f>(E8-E9)</f>
        <v>0</v>
      </c>
      <c r="F10" s="1874">
        <f>SUM(F8-F9)</f>
        <v>-1415598</v>
      </c>
    </row>
    <row r="11" spans="1:8" s="903" customFormat="1" ht="14.25" thickTop="1" thickBot="1" x14ac:dyDescent="0.25">
      <c r="A11" s="905" t="s">
        <v>1903</v>
      </c>
      <c r="B11" s="1875">
        <f>'Acct Summary 7-8'!C81</f>
        <v>911217</v>
      </c>
      <c r="C11" s="1875">
        <f>'Acct Summary 7-8'!D81</f>
        <v>0</v>
      </c>
      <c r="D11" s="1875">
        <f>'Acct Summary 7-8'!F81</f>
        <v>0</v>
      </c>
      <c r="E11" s="1875">
        <f>'Acct Summary 7-8'!I81</f>
        <v>0</v>
      </c>
      <c r="F11" s="1876">
        <f>SUM(B11:E11)</f>
        <v>911217</v>
      </c>
    </row>
    <row r="12" spans="1:8" ht="16.5" customHeight="1" thickTop="1" x14ac:dyDescent="0.2">
      <c r="A12" s="906"/>
      <c r="B12" s="907"/>
      <c r="C12" s="257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572"/>
      <c r="E12" s="2572"/>
      <c r="F12" s="2573"/>
    </row>
    <row r="13" spans="1:8" ht="19.5" customHeight="1" x14ac:dyDescent="0.2">
      <c r="A13" s="908"/>
      <c r="B13" s="909"/>
      <c r="C13" s="2571"/>
      <c r="D13" s="2572"/>
      <c r="E13" s="2572"/>
      <c r="F13" s="2573"/>
      <c r="H13" s="898"/>
    </row>
    <row r="14" spans="1:8" ht="19.5" customHeight="1" x14ac:dyDescent="0.2">
      <c r="A14" s="908"/>
      <c r="B14" s="909"/>
      <c r="C14" s="2571"/>
      <c r="D14" s="2572"/>
      <c r="E14" s="2572"/>
      <c r="F14" s="2573"/>
      <c r="H14" s="898"/>
    </row>
    <row r="15" spans="1:8" ht="17.25" customHeight="1" x14ac:dyDescent="0.2">
      <c r="A15" s="908"/>
      <c r="B15" s="909"/>
      <c r="C15" s="2574"/>
      <c r="D15" s="2575"/>
      <c r="E15" s="2575"/>
      <c r="F15" s="2576"/>
      <c r="H15" s="898"/>
    </row>
    <row r="16" spans="1:8" s="288" customFormat="1" ht="51.75" hidden="1" customHeight="1" x14ac:dyDescent="0.2">
      <c r="A16" s="2570" t="s">
        <v>1669</v>
      </c>
      <c r="B16" s="2570"/>
      <c r="C16" s="2570"/>
      <c r="D16" s="2570"/>
      <c r="E16" s="2570"/>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29" sqref="C29"/>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2" t="s">
        <v>660</v>
      </c>
      <c r="B3" s="2593"/>
      <c r="C3" s="2593"/>
      <c r="D3" s="2594"/>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3" t="s">
        <v>1490</v>
      </c>
      <c r="D7" s="2604"/>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5" t="s">
        <v>1001</v>
      </c>
      <c r="B15" s="2596"/>
      <c r="C15" s="2596"/>
      <c r="D15" s="2597"/>
    </row>
    <row r="16" spans="1:4" s="542" customFormat="1" ht="24" customHeight="1" x14ac:dyDescent="0.2">
      <c r="A16" s="2598" t="s">
        <v>658</v>
      </c>
      <c r="B16" s="2599"/>
      <c r="C16" s="2599"/>
      <c r="D16" s="2600"/>
    </row>
    <row r="17" spans="1:10" s="542" customFormat="1" ht="12.75" customHeight="1" x14ac:dyDescent="0.2">
      <c r="A17" s="980" t="s">
        <v>1675</v>
      </c>
      <c r="B17" s="981"/>
      <c r="C17" s="982"/>
      <c r="D17" s="983"/>
    </row>
    <row r="18" spans="1:10" s="542" customFormat="1" ht="12.7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7" t="s">
        <v>311</v>
      </c>
      <c r="D21" s="2608"/>
    </row>
    <row r="22" spans="1:10" ht="12.75" x14ac:dyDescent="0.2">
      <c r="A22" s="963"/>
      <c r="B22" s="964">
        <v>2</v>
      </c>
      <c r="C22" s="2605" t="s">
        <v>1510</v>
      </c>
      <c r="D22" s="2606"/>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9" t="s">
        <v>533</v>
      </c>
      <c r="D43" s="2610"/>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1" t="s">
        <v>779</v>
      </c>
      <c r="D56" s="2602"/>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601" t="s">
        <v>1677</v>
      </c>
      <c r="D70" s="2602"/>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1967</v>
      </c>
      <c r="F1" s="1593" t="s">
        <v>1968</v>
      </c>
      <c r="G1" s="1963" t="s">
        <v>1978</v>
      </c>
    </row>
    <row r="2" spans="1:7" ht="15.75" x14ac:dyDescent="0.25">
      <c r="A2" t="s">
        <v>260</v>
      </c>
      <c r="B2" s="135">
        <f>COVER!A13</f>
        <v>24032101061</v>
      </c>
      <c r="E2" s="1592">
        <v>2020</v>
      </c>
      <c r="F2" s="1592">
        <v>1</v>
      </c>
      <c r="G2" s="1962">
        <v>101000300</v>
      </c>
    </row>
    <row r="3" spans="1:7" ht="15" x14ac:dyDescent="0.25">
      <c r="A3" t="s">
        <v>950</v>
      </c>
      <c r="B3" s="135" t="str">
        <f>COVER!A15</f>
        <v>GRUNDY</v>
      </c>
      <c r="E3" s="1888" t="s">
        <v>1971</v>
      </c>
      <c r="F3" s="1888" t="s">
        <v>1970</v>
      </c>
      <c r="G3" s="1962">
        <v>101000400</v>
      </c>
    </row>
    <row r="4" spans="1:7" ht="15" x14ac:dyDescent="0.25">
      <c r="A4" t="s">
        <v>1000</v>
      </c>
      <c r="B4" s="135" t="str">
        <f>COVER!A17</f>
        <v xml:space="preserve">   Grundy County Spec Ed Co-op</v>
      </c>
      <c r="E4" s="1886">
        <v>44119</v>
      </c>
      <c r="F4" s="1887">
        <v>44151</v>
      </c>
      <c r="G4" s="1962">
        <v>101000600</v>
      </c>
    </row>
    <row r="5" spans="1:7" ht="15" x14ac:dyDescent="0.25">
      <c r="A5" t="s">
        <v>699</v>
      </c>
      <c r="B5" s="135" t="str">
        <f>COVER!A38</f>
        <v>Neil Sanburg</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f>COVER!B5</f>
        <v>0</v>
      </c>
      <c r="G10" s="1962">
        <v>202100300</v>
      </c>
    </row>
    <row r="11" spans="1:7" ht="15" x14ac:dyDescent="0.25">
      <c r="A11" t="s">
        <v>971</v>
      </c>
      <c r="B11" s="135" t="str">
        <f>COVER!B6</f>
        <v>X</v>
      </c>
      <c r="G11" s="1962">
        <v>202100400</v>
      </c>
    </row>
    <row r="12" spans="1:7" ht="15" x14ac:dyDescent="0.25">
      <c r="A12" s="1" t="s">
        <v>1529</v>
      </c>
      <c r="B12" s="135" t="str">
        <f>IF(COVER!J29="x","Yes",IF(COVER!L29="X","No",0))</f>
        <v>Yes</v>
      </c>
      <c r="G12" s="1962">
        <v>202100600</v>
      </c>
    </row>
    <row r="13" spans="1:7" ht="15" x14ac:dyDescent="0.25">
      <c r="A13" s="1" t="s">
        <v>1530</v>
      </c>
      <c r="B13" s="135" t="str">
        <f>IF(COVER!J30="x","Yes",IF(COVER!L30="x","No",0))</f>
        <v>Yes</v>
      </c>
      <c r="G13" s="1962">
        <v>202100800</v>
      </c>
    </row>
    <row r="14" spans="1:7" ht="15" x14ac:dyDescent="0.25">
      <c r="A14" t="s">
        <v>473</v>
      </c>
      <c r="B14" s="135" t="str">
        <f>IF(COVER!J31="x","Yes",IF(COVER!L31="x","No",0))</f>
        <v>Yes</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JOHN MICHALESKO</v>
      </c>
      <c r="G17" s="1962">
        <v>402100800</v>
      </c>
    </row>
    <row r="18" spans="1:7" ht="15" x14ac:dyDescent="0.25">
      <c r="A18" t="s">
        <v>1142</v>
      </c>
      <c r="B18" s="135" t="str">
        <f>COVER!T17</f>
        <v>323 SPRINGFIELD AVE</v>
      </c>
      <c r="G18" s="1962">
        <v>102200300</v>
      </c>
    </row>
    <row r="19" spans="1:7" ht="15" x14ac:dyDescent="0.25">
      <c r="A19" t="s">
        <v>880</v>
      </c>
      <c r="B19" s="135">
        <f>COVER!T25</f>
        <v>0</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911217</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911217</v>
      </c>
      <c r="D92" s="2" t="str">
        <f t="shared" si="0"/>
        <v>Error?</v>
      </c>
      <c r="G92" s="1962">
        <v>102640600</v>
      </c>
    </row>
    <row r="93" spans="1:7" ht="15" x14ac:dyDescent="0.25">
      <c r="A93" s="5">
        <v>32</v>
      </c>
      <c r="B93" s="1890">
        <f>'Assets-Liab 5-6'!C41</f>
        <v>911217</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t="str">
        <f>'Assets-Liab 5-6'!D12</f>
        <v xml:space="preserve"> </v>
      </c>
      <c r="D108" s="2" t="e">
        <f t="shared" si="0"/>
        <v>#VALUE!</v>
      </c>
      <c r="G108" s="1962">
        <v>402900600</v>
      </c>
    </row>
    <row r="109" spans="1:7" ht="15" x14ac:dyDescent="0.25">
      <c r="A109" s="5">
        <v>48</v>
      </c>
      <c r="B109" s="1890">
        <f>'Assets-Liab 5-6'!D13</f>
        <v>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0</v>
      </c>
      <c r="D123" s="2" t="str">
        <f t="shared" si="0"/>
        <v>Error?</v>
      </c>
      <c r="G123" s="1962">
        <v>203000400</v>
      </c>
    </row>
    <row r="124" spans="1:7" ht="15" x14ac:dyDescent="0.25">
      <c r="A124" s="5">
        <v>63</v>
      </c>
      <c r="B124" s="1890">
        <f>'Assets-Liab 5-6'!D41</f>
        <v>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74871</v>
      </c>
      <c r="D273" s="2" t="str">
        <f t="shared" si="3"/>
        <v>Error?</v>
      </c>
    </row>
    <row r="274" spans="1:4" x14ac:dyDescent="0.2">
      <c r="A274" s="5">
        <v>213</v>
      </c>
      <c r="B274" s="1890">
        <f>'Assets-Liab 5-6'!M17</f>
        <v>2413307</v>
      </c>
      <c r="D274" s="2" t="str">
        <f t="shared" si="3"/>
        <v>Error?</v>
      </c>
    </row>
    <row r="275" spans="1:4" x14ac:dyDescent="0.2">
      <c r="A275" s="5">
        <v>214</v>
      </c>
      <c r="B275" s="1890">
        <f>'Assets-Liab 5-6'!M18</f>
        <v>0</v>
      </c>
      <c r="D275" s="2" t="str">
        <f t="shared" si="3"/>
        <v>Error?</v>
      </c>
    </row>
    <row r="276" spans="1:4" x14ac:dyDescent="0.2">
      <c r="A276" s="5">
        <v>215</v>
      </c>
      <c r="B276" s="1890">
        <f>'Assets-Liab 5-6'!M19</f>
        <v>1596785</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4084963</v>
      </c>
      <c r="C279" s="2" t="s">
        <v>569</v>
      </c>
      <c r="D279" s="2" t="str">
        <f t="shared" si="3"/>
        <v>Error?</v>
      </c>
    </row>
    <row r="280" spans="1:4" x14ac:dyDescent="0.2">
      <c r="A280" s="5">
        <v>219</v>
      </c>
      <c r="B280" s="1890">
        <f>'Assets-Liab 5-6'!M40</f>
        <v>4084963</v>
      </c>
      <c r="D280" s="2" t="str">
        <f t="shared" si="3"/>
        <v>Error?</v>
      </c>
    </row>
    <row r="281" spans="1:4" x14ac:dyDescent="0.2">
      <c r="A281" s="5">
        <v>220</v>
      </c>
      <c r="B281" s="1890">
        <f>'Assets-Liab 5-6'!M41</f>
        <v>4084963</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15419</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5308797</v>
      </c>
      <c r="C720" s="2" t="s">
        <v>569</v>
      </c>
      <c r="D720" s="2" t="str">
        <f t="shared" si="10"/>
        <v>Error?</v>
      </c>
    </row>
    <row r="721" spans="1:4" x14ac:dyDescent="0.2">
      <c r="A721" s="5">
        <v>660</v>
      </c>
      <c r="B721" s="1890">
        <f>'Expenditures 15-22'!C36</f>
        <v>76447</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404746</v>
      </c>
      <c r="D723" s="2" t="str">
        <f t="shared" si="10"/>
        <v>Error?</v>
      </c>
    </row>
    <row r="724" spans="1:4" x14ac:dyDescent="0.2">
      <c r="A724" s="5">
        <v>663</v>
      </c>
      <c r="B724" s="1890">
        <f>'Expenditures 15-22'!C39</f>
        <v>164742</v>
      </c>
      <c r="D724" s="2" t="str">
        <f t="shared" si="10"/>
        <v>Error?</v>
      </c>
    </row>
    <row r="725" spans="1:4" x14ac:dyDescent="0.2">
      <c r="A725" s="5">
        <v>664</v>
      </c>
      <c r="B725" s="1890">
        <f>'Expenditures 15-22'!C40</f>
        <v>382739</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1028674</v>
      </c>
      <c r="C727" s="2" t="s">
        <v>569</v>
      </c>
      <c r="D727" s="2" t="str">
        <f t="shared" si="10"/>
        <v>Error?</v>
      </c>
    </row>
    <row r="728" spans="1:4" x14ac:dyDescent="0.2">
      <c r="A728" s="5">
        <v>667</v>
      </c>
      <c r="B728" s="1890">
        <f>'Expenditures 15-22'!C44</f>
        <v>48120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90544</v>
      </c>
      <c r="D730" s="2" t="str">
        <f t="shared" si="10"/>
        <v>Error?</v>
      </c>
    </row>
    <row r="731" spans="1:4" x14ac:dyDescent="0.2">
      <c r="A731" s="5">
        <v>670</v>
      </c>
      <c r="B731" s="1890">
        <f>'Expenditures 15-22'!C47</f>
        <v>138664</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290104</v>
      </c>
      <c r="D733" s="2" t="str">
        <f t="shared" si="10"/>
        <v>Error?</v>
      </c>
    </row>
    <row r="734" spans="1:4" x14ac:dyDescent="0.2">
      <c r="A734" s="5">
        <v>673</v>
      </c>
      <c r="B734" s="1890">
        <f>'Expenditures 15-22'!C53</f>
        <v>290104</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94289</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94289</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1551731</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6860528</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5435</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1866407</v>
      </c>
      <c r="C778" s="2" t="s">
        <v>569</v>
      </c>
      <c r="D778" s="2" t="str">
        <f t="shared" si="11"/>
        <v>Error?</v>
      </c>
    </row>
    <row r="779" spans="1:4" x14ac:dyDescent="0.2">
      <c r="A779" s="5">
        <v>718</v>
      </c>
      <c r="B779" s="1890">
        <f>'Expenditures 15-22'!D36</f>
        <v>20401</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113402</v>
      </c>
      <c r="D781" s="2" t="str">
        <f t="shared" si="11"/>
        <v>Error?</v>
      </c>
    </row>
    <row r="782" spans="1:4" x14ac:dyDescent="0.2">
      <c r="A782" s="5">
        <v>721</v>
      </c>
      <c r="B782" s="1890">
        <f>'Expenditures 15-22'!D39</f>
        <v>36685</v>
      </c>
      <c r="D782" s="2" t="str">
        <f t="shared" si="11"/>
        <v>Error?</v>
      </c>
    </row>
    <row r="783" spans="1:4" x14ac:dyDescent="0.2">
      <c r="A783" s="5">
        <v>722</v>
      </c>
      <c r="B783" s="1890">
        <f>'Expenditures 15-22'!D40</f>
        <v>100684</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271172</v>
      </c>
      <c r="C785" s="2" t="s">
        <v>569</v>
      </c>
      <c r="D785" s="2" t="str">
        <f t="shared" si="11"/>
        <v>Error?</v>
      </c>
    </row>
    <row r="786" spans="1:4" x14ac:dyDescent="0.2">
      <c r="A786" s="5">
        <v>725</v>
      </c>
      <c r="B786" s="1890">
        <f>'Expenditures 15-22'!D44</f>
        <v>8</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19696</v>
      </c>
      <c r="D788" s="2" t="str">
        <f t="shared" si="11"/>
        <v>Error?</v>
      </c>
    </row>
    <row r="789" spans="1:4" x14ac:dyDescent="0.2">
      <c r="A789" s="5">
        <v>728</v>
      </c>
      <c r="B789" s="1890">
        <f>'Expenditures 15-22'!D47</f>
        <v>19704</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100986</v>
      </c>
      <c r="D791" s="2" t="str">
        <f t="shared" si="11"/>
        <v>Error?</v>
      </c>
    </row>
    <row r="792" spans="1:4" x14ac:dyDescent="0.2">
      <c r="A792" s="5">
        <v>731</v>
      </c>
      <c r="B792" s="1890">
        <f>'Expenditures 15-22'!D53</f>
        <v>100986</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37211</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37211</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429073</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2295480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115232</v>
      </c>
      <c r="C836" s="2" t="s">
        <v>569</v>
      </c>
      <c r="D836" s="2" t="str">
        <f t="shared" si="12"/>
        <v>Error?</v>
      </c>
    </row>
    <row r="837" spans="1:4" x14ac:dyDescent="0.2">
      <c r="A837" s="5">
        <v>776</v>
      </c>
      <c r="B837" s="1890">
        <f>'Expenditures 15-22'!E36</f>
        <v>2883</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81062</v>
      </c>
      <c r="D839" s="2" t="str">
        <f t="shared" si="12"/>
        <v>Error?</v>
      </c>
    </row>
    <row r="840" spans="1:4" x14ac:dyDescent="0.2">
      <c r="A840" s="5">
        <v>779</v>
      </c>
      <c r="B840" s="1890">
        <f>'Expenditures 15-22'!E39</f>
        <v>4904</v>
      </c>
      <c r="D840" s="2" t="str">
        <f t="shared" si="12"/>
        <v>Error?</v>
      </c>
    </row>
    <row r="841" spans="1:4" x14ac:dyDescent="0.2">
      <c r="A841" s="5">
        <v>780</v>
      </c>
      <c r="B841" s="1890">
        <f>'Expenditures 15-22'!E40</f>
        <v>4971</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93820</v>
      </c>
      <c r="C843" s="2" t="s">
        <v>569</v>
      </c>
      <c r="D843" s="2" t="str">
        <f t="shared" si="12"/>
        <v>Error?</v>
      </c>
    </row>
    <row r="844" spans="1:4" x14ac:dyDescent="0.2">
      <c r="A844" s="5">
        <v>783</v>
      </c>
      <c r="B844" s="1890">
        <f>'Expenditures 15-22'!E44</f>
        <v>74798</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7214</v>
      </c>
      <c r="D846" s="2" t="str">
        <f t="shared" si="12"/>
        <v>Error?</v>
      </c>
    </row>
    <row r="847" spans="1:4" x14ac:dyDescent="0.2">
      <c r="A847" s="5">
        <v>786</v>
      </c>
      <c r="B847" s="1890">
        <f>'Expenditures 15-22'!E47</f>
        <v>82012</v>
      </c>
      <c r="C847" s="2" t="s">
        <v>569</v>
      </c>
      <c r="D847" s="2" t="str">
        <f t="shared" si="12"/>
        <v>Error?</v>
      </c>
    </row>
    <row r="848" spans="1:4" x14ac:dyDescent="0.2">
      <c r="A848" s="5">
        <v>787</v>
      </c>
      <c r="B848" s="1890">
        <f>'Expenditures 15-22'!E49</f>
        <v>0</v>
      </c>
      <c r="D848" s="2" t="str">
        <f t="shared" si="12"/>
        <v>Error?</v>
      </c>
    </row>
    <row r="849" spans="1:4" x14ac:dyDescent="0.2">
      <c r="A849" s="5">
        <v>788</v>
      </c>
      <c r="B849" s="1890">
        <f>'Expenditures 15-22'!E50</f>
        <v>197988</v>
      </c>
      <c r="D849" s="2" t="str">
        <f t="shared" si="12"/>
        <v>Error?</v>
      </c>
    </row>
    <row r="850" spans="1:4" x14ac:dyDescent="0.2">
      <c r="A850" s="5">
        <v>789</v>
      </c>
      <c r="B850" s="1890">
        <f>'Expenditures 15-22'!E53</f>
        <v>197988</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783</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783</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48877</v>
      </c>
      <c r="D867" s="2" t="str">
        <f t="shared" si="12"/>
        <v>Error?</v>
      </c>
    </row>
    <row r="868" spans="1:4" x14ac:dyDescent="0.2">
      <c r="A868" s="10">
        <v>807</v>
      </c>
      <c r="B868" s="1890"/>
      <c r="D868" s="2" t="str">
        <f t="shared" si="12"/>
        <v>OK</v>
      </c>
    </row>
    <row r="869" spans="1:4" x14ac:dyDescent="0.2">
      <c r="A869" s="5">
        <v>808</v>
      </c>
      <c r="B869" s="1890">
        <f>'Expenditures 15-22'!E72</f>
        <v>48877</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423480</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539167</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314321</v>
      </c>
      <c r="C894" s="2" t="s">
        <v>569</v>
      </c>
      <c r="D894" s="2" t="str">
        <f t="shared" si="12"/>
        <v>Error?</v>
      </c>
    </row>
    <row r="895" spans="1:4" x14ac:dyDescent="0.2">
      <c r="A895" s="5">
        <v>834</v>
      </c>
      <c r="B895" s="1890">
        <f>'Expenditures 15-22'!F36</f>
        <v>3119</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3235</v>
      </c>
      <c r="D897" s="2" t="str">
        <f t="shared" si="13"/>
        <v>Error?</v>
      </c>
    </row>
    <row r="898" spans="1:4" x14ac:dyDescent="0.2">
      <c r="A898" s="5">
        <v>837</v>
      </c>
      <c r="B898" s="1890">
        <f>'Expenditures 15-22'!F39</f>
        <v>2064</v>
      </c>
      <c r="D898" s="2" t="str">
        <f t="shared" si="13"/>
        <v>Error?</v>
      </c>
    </row>
    <row r="899" spans="1:4" x14ac:dyDescent="0.2">
      <c r="A899" s="5">
        <v>838</v>
      </c>
      <c r="B899" s="1890">
        <f>'Expenditures 15-22'!F40</f>
        <v>14322</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22740</v>
      </c>
      <c r="C901" s="2" t="s">
        <v>569</v>
      </c>
      <c r="D901" s="2" t="str">
        <f t="shared" si="13"/>
        <v>Error?</v>
      </c>
    </row>
    <row r="902" spans="1:4" x14ac:dyDescent="0.2">
      <c r="A902" s="5">
        <v>841</v>
      </c>
      <c r="B902" s="1890">
        <f>'Expenditures 15-22'!F44</f>
        <v>6236</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3399</v>
      </c>
      <c r="D904" s="2" t="str">
        <f t="shared" si="13"/>
        <v>Error?</v>
      </c>
    </row>
    <row r="905" spans="1:4" x14ac:dyDescent="0.2">
      <c r="A905" s="5">
        <v>844</v>
      </c>
      <c r="B905" s="1890">
        <f>'Expenditures 15-22'!F47</f>
        <v>9635</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44394</v>
      </c>
      <c r="D907" s="2" t="str">
        <f t="shared" si="13"/>
        <v>Error?</v>
      </c>
    </row>
    <row r="908" spans="1:4" x14ac:dyDescent="0.2">
      <c r="A908" s="5">
        <v>847</v>
      </c>
      <c r="B908" s="1890">
        <f>'Expenditures 15-22'!F53</f>
        <v>44394</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1042</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1042</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77811</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392132</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15839</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40896</v>
      </c>
      <c r="D965" s="2" t="str">
        <f t="shared" si="14"/>
        <v>Error?</v>
      </c>
    </row>
    <row r="966" spans="1:4" x14ac:dyDescent="0.2">
      <c r="A966" s="5">
        <v>905</v>
      </c>
      <c r="B966" s="1890">
        <f>'Expenditures 15-22'!G53</f>
        <v>40896</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30571</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30571</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71467</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87306</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6338</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6338</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62152</v>
      </c>
      <c r="D1044" s="2" t="str">
        <f t="shared" si="15"/>
        <v>Error?</v>
      </c>
    </row>
    <row r="1045" spans="1:5" x14ac:dyDescent="0.2">
      <c r="A1045" s="5">
        <v>984</v>
      </c>
      <c r="B1045" s="1890">
        <f>'Expenditures 15-22'!H74</f>
        <v>68490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2170631</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2239121</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1997</v>
      </c>
      <c r="E1056" s="4" t="s">
        <v>1996</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20854</v>
      </c>
      <c r="C1105" s="2" t="s">
        <v>569</v>
      </c>
      <c r="D1105" s="2" t="str">
        <f t="shared" si="16"/>
        <v>Error?</v>
      </c>
    </row>
    <row r="1106" spans="1:4" x14ac:dyDescent="0.2">
      <c r="A1106" s="5">
        <v>1045</v>
      </c>
      <c r="B1106" s="1890">
        <f>'Expenditures 15-22'!K14</f>
        <v>0</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7621801</v>
      </c>
      <c r="C1108" s="2" t="s">
        <v>569</v>
      </c>
      <c r="D1108" s="2" t="str">
        <f t="shared" si="16"/>
        <v>Error?</v>
      </c>
    </row>
    <row r="1109" spans="1:4" x14ac:dyDescent="0.2">
      <c r="A1109" s="5">
        <v>1048</v>
      </c>
      <c r="B1109" s="1890">
        <f>'Expenditures 15-22'!K36</f>
        <v>102850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602445</v>
      </c>
      <c r="C1111" s="2" t="s">
        <v>569</v>
      </c>
      <c r="D1111" s="2" t="str">
        <f t="shared" si="16"/>
        <v>Error?</v>
      </c>
    </row>
    <row r="1112" spans="1:4" x14ac:dyDescent="0.2">
      <c r="A1112" s="5">
        <v>1051</v>
      </c>
      <c r="B1112" s="1890">
        <f>'Expenditures 15-22'!K39</f>
        <v>208395</v>
      </c>
      <c r="C1112" s="2" t="s">
        <v>569</v>
      </c>
      <c r="D1112" s="2" t="str">
        <f t="shared" si="16"/>
        <v>Error?</v>
      </c>
    </row>
    <row r="1113" spans="1:4" x14ac:dyDescent="0.2">
      <c r="A1113" s="5">
        <v>1052</v>
      </c>
      <c r="B1113" s="1890">
        <f>'Expenditures 15-22'!K40</f>
        <v>502716</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1416406</v>
      </c>
      <c r="C1115" s="2" t="s">
        <v>569</v>
      </c>
      <c r="D1115" s="2" t="str">
        <f t="shared" si="16"/>
        <v>Error?</v>
      </c>
    </row>
    <row r="1116" spans="1:4" x14ac:dyDescent="0.2">
      <c r="A1116" s="5">
        <v>1055</v>
      </c>
      <c r="B1116" s="1890">
        <f>'Expenditures 15-22'!K44</f>
        <v>135500</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120853</v>
      </c>
      <c r="C1118" s="2" t="s">
        <v>569</v>
      </c>
      <c r="D1118" s="2" t="str">
        <f t="shared" si="16"/>
        <v>Error?</v>
      </c>
    </row>
    <row r="1119" spans="1:4" x14ac:dyDescent="0.2">
      <c r="A1119" s="5">
        <v>1058</v>
      </c>
      <c r="B1119" s="1890">
        <f>'Expenditures 15-22'!K47</f>
        <v>256353</v>
      </c>
      <c r="C1119" s="2" t="s">
        <v>569</v>
      </c>
      <c r="D1119" s="2" t="str">
        <f t="shared" si="16"/>
        <v>Error?</v>
      </c>
    </row>
    <row r="1120" spans="1:4" x14ac:dyDescent="0.2">
      <c r="A1120" s="5">
        <v>1059</v>
      </c>
      <c r="B1120" s="1890">
        <f>'Expenditures 15-22'!K49</f>
        <v>0</v>
      </c>
      <c r="C1120" s="2" t="s">
        <v>569</v>
      </c>
      <c r="D1120" s="2" t="str">
        <f t="shared" si="16"/>
        <v>Error?</v>
      </c>
    </row>
    <row r="1121" spans="1:4" x14ac:dyDescent="0.2">
      <c r="A1121" s="5">
        <v>1060</v>
      </c>
      <c r="B1121" s="1890">
        <f>'Expenditures 15-22'!K50</f>
        <v>674368</v>
      </c>
      <c r="C1121" s="2" t="s">
        <v>569</v>
      </c>
      <c r="D1121" s="2" t="str">
        <f t="shared" si="16"/>
        <v>Error?</v>
      </c>
    </row>
    <row r="1122" spans="1:4" x14ac:dyDescent="0.2">
      <c r="A1122" s="5">
        <v>1061</v>
      </c>
      <c r="B1122" s="1890">
        <f>'Expenditures 15-22'!K53</f>
        <v>674368</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133325</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30571</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163896</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48877</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48877</v>
      </c>
      <c r="C1141" s="2" t="s">
        <v>569</v>
      </c>
      <c r="D1141" s="2" t="str">
        <f t="shared" si="16"/>
        <v>Error?</v>
      </c>
    </row>
    <row r="1142" spans="1:4" x14ac:dyDescent="0.2">
      <c r="A1142" s="5">
        <v>1081</v>
      </c>
      <c r="B1142" s="1890">
        <f>'Expenditures 15-22'!K73</f>
        <v>62152</v>
      </c>
      <c r="C1142" s="2" t="s">
        <v>569</v>
      </c>
      <c r="D1142" s="2" t="str">
        <f t="shared" si="16"/>
        <v>Error?</v>
      </c>
    </row>
    <row r="1143" spans="1:4" x14ac:dyDescent="0.2">
      <c r="A1143" s="5">
        <v>1082</v>
      </c>
      <c r="B1143" s="1890">
        <f>'Expenditures 15-22'!K74</f>
        <v>2622052</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2171086</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12414939</v>
      </c>
      <c r="C1152" s="2" t="s">
        <v>569</v>
      </c>
      <c r="D1152" s="2" t="str">
        <f t="shared" si="17"/>
        <v>Error?</v>
      </c>
    </row>
    <row r="1153" spans="1:4" x14ac:dyDescent="0.2">
      <c r="A1153" s="5">
        <v>1092</v>
      </c>
      <c r="B1153" s="1890">
        <f>'Expenditures 15-22'!K115</f>
        <v>-1328495</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12177</v>
      </c>
      <c r="D1221" s="2" t="str">
        <f t="shared" si="18"/>
        <v>Error?</v>
      </c>
    </row>
    <row r="1222" spans="1:4" x14ac:dyDescent="0.2">
      <c r="A1222" s="10">
        <v>1161</v>
      </c>
      <c r="B1222" s="1890"/>
      <c r="D1222" s="2" t="str">
        <f t="shared" si="18"/>
        <v>OK</v>
      </c>
    </row>
    <row r="1223" spans="1:4" x14ac:dyDescent="0.2">
      <c r="A1223" s="5">
        <v>1162</v>
      </c>
      <c r="B1223" s="1890">
        <f>'Expenditures 15-22'!C127</f>
        <v>12177</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12177</v>
      </c>
      <c r="C1225" s="2" t="s">
        <v>569</v>
      </c>
      <c r="D1225" s="2" t="str">
        <f t="shared" si="18"/>
        <v>Error?</v>
      </c>
    </row>
    <row r="1226" spans="1:4" x14ac:dyDescent="0.2">
      <c r="A1226" s="5">
        <v>1165</v>
      </c>
      <c r="B1226" s="1890">
        <f>'Expenditures 15-22'!C151</f>
        <v>12177</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1981</v>
      </c>
      <c r="D1229" s="2" t="str">
        <f t="shared" si="18"/>
        <v>Error?</v>
      </c>
    </row>
    <row r="1230" spans="1:4" x14ac:dyDescent="0.2">
      <c r="A1230" s="10">
        <v>1169</v>
      </c>
      <c r="B1230" s="1890"/>
      <c r="D1230" s="2" t="str">
        <f t="shared" si="18"/>
        <v>OK</v>
      </c>
    </row>
    <row r="1231" spans="1:4" x14ac:dyDescent="0.2">
      <c r="A1231" s="5">
        <v>1170</v>
      </c>
      <c r="B1231" s="1890">
        <f>'Expenditures 15-22'!D127</f>
        <v>1981</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1981</v>
      </c>
      <c r="C1233" s="2" t="s">
        <v>569</v>
      </c>
      <c r="D1233" s="2" t="str">
        <f t="shared" si="18"/>
        <v>Error?</v>
      </c>
    </row>
    <row r="1234" spans="1:4" x14ac:dyDescent="0.2">
      <c r="A1234" s="5">
        <v>1173</v>
      </c>
      <c r="B1234" s="1890">
        <f>'Expenditures 15-22'!D151</f>
        <v>1981</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49810</v>
      </c>
      <c r="D1237" s="2" t="str">
        <f t="shared" si="18"/>
        <v>Error?</v>
      </c>
    </row>
    <row r="1238" spans="1:4" x14ac:dyDescent="0.2">
      <c r="A1238" s="10">
        <v>1177</v>
      </c>
      <c r="B1238" s="1890"/>
      <c r="D1238" s="2" t="str">
        <f t="shared" si="18"/>
        <v>OK</v>
      </c>
    </row>
    <row r="1239" spans="1:4" x14ac:dyDescent="0.2">
      <c r="A1239" s="5">
        <v>1178</v>
      </c>
      <c r="B1239" s="1890">
        <f>'Expenditures 15-22'!E127</f>
        <v>49810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49810</v>
      </c>
      <c r="C1241" s="2" t="s">
        <v>569</v>
      </c>
      <c r="D1241" s="2" t="str">
        <f t="shared" si="18"/>
        <v>Error?</v>
      </c>
    </row>
    <row r="1242" spans="1:4" x14ac:dyDescent="0.2">
      <c r="A1242" s="5">
        <v>1181</v>
      </c>
      <c r="B1242" s="1890">
        <f>'Expenditures 15-22'!E151</f>
        <v>49810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16445</v>
      </c>
      <c r="D1245" s="2" t="str">
        <f t="shared" si="18"/>
        <v>Error?</v>
      </c>
    </row>
    <row r="1246" spans="1:4" x14ac:dyDescent="0.2">
      <c r="A1246" s="10">
        <v>1185</v>
      </c>
      <c r="B1246" s="1890"/>
      <c r="D1246" s="2" t="str">
        <f t="shared" si="18"/>
        <v>OK</v>
      </c>
    </row>
    <row r="1247" spans="1:4" x14ac:dyDescent="0.2">
      <c r="A1247" s="5">
        <v>1186</v>
      </c>
      <c r="B1247" s="1890">
        <f>'Expenditures 15-22'!F127</f>
        <v>16445</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16445</v>
      </c>
      <c r="C1249" s="2" t="s">
        <v>569</v>
      </c>
      <c r="D1249" s="2" t="str">
        <f t="shared" si="18"/>
        <v>Error?</v>
      </c>
    </row>
    <row r="1250" spans="1:4" x14ac:dyDescent="0.2">
      <c r="A1250" s="5">
        <v>1189</v>
      </c>
      <c r="B1250" s="1890">
        <f>'Expenditures 15-22'!F151</f>
        <v>16445</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6690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6690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6690</v>
      </c>
      <c r="C1258" s="2" t="s">
        <v>569</v>
      </c>
      <c r="D1258" s="2" t="str">
        <f t="shared" si="18"/>
        <v>Error?</v>
      </c>
    </row>
    <row r="1259" spans="1:4" x14ac:dyDescent="0.2">
      <c r="A1259" s="5">
        <v>1198</v>
      </c>
      <c r="B1259" s="1890">
        <f>'Expenditures 15-22'!G151</f>
        <v>6690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87103</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87103</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87103</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87103</v>
      </c>
      <c r="C1288" s="2" t="s">
        <v>569</v>
      </c>
      <c r="D1288" s="2" t="str">
        <f t="shared" si="19"/>
        <v>Error?</v>
      </c>
    </row>
    <row r="1289" spans="1:4" x14ac:dyDescent="0.2">
      <c r="A1289" s="5">
        <v>1228</v>
      </c>
      <c r="B1289" s="1890">
        <f>'Expenditures 15-22'!K152</f>
        <v>-87103</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2326815</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911217</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74871</v>
      </c>
      <c r="D2008" s="2" t="str">
        <f t="shared" si="30"/>
        <v>Error?</v>
      </c>
    </row>
    <row r="2009" spans="1:4" x14ac:dyDescent="0.2">
      <c r="A2009" s="5">
        <v>1948</v>
      </c>
      <c r="B2009" s="1890">
        <f>'Cap Outlay Deprec 26'!C8</f>
        <v>2413307</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1502788</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3990966</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30571</v>
      </c>
      <c r="D2017" s="2" t="str">
        <f t="shared" si="30"/>
        <v>Error?</v>
      </c>
    </row>
    <row r="2018" spans="1:4" x14ac:dyDescent="0.2">
      <c r="A2018" s="5">
        <v>1957</v>
      </c>
      <c r="B2018" s="1890">
        <f>'Cap Outlay Deprec 26'!D13</f>
        <v>63426</v>
      </c>
      <c r="D2018" s="2" t="str">
        <f t="shared" si="30"/>
        <v>Error?</v>
      </c>
    </row>
    <row r="2019" spans="1:4" x14ac:dyDescent="0.2">
      <c r="A2019" s="5">
        <v>1958</v>
      </c>
      <c r="B2019" s="1890">
        <f>'Cap Outlay Deprec 26'!D16</f>
        <v>93997</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74871</v>
      </c>
      <c r="C2026" s="2" t="s">
        <v>569</v>
      </c>
      <c r="D2026" s="2" t="str">
        <f t="shared" si="30"/>
        <v>Error?</v>
      </c>
    </row>
    <row r="2027" spans="1:4" x14ac:dyDescent="0.2">
      <c r="A2027" s="5">
        <v>1966</v>
      </c>
      <c r="B2027" s="1890">
        <f>'Cap Outlay Deprec 26'!F8</f>
        <v>2413307</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1533359</v>
      </c>
      <c r="C2029" s="2" t="s">
        <v>569</v>
      </c>
      <c r="D2029" s="2" t="str">
        <f t="shared" si="30"/>
        <v>Error?</v>
      </c>
    </row>
    <row r="2030" spans="1:4" x14ac:dyDescent="0.2">
      <c r="A2030" s="5">
        <v>1969</v>
      </c>
      <c r="B2030" s="1890">
        <f>'Cap Outlay Deprec 26'!F13</f>
        <v>63426</v>
      </c>
      <c r="C2030" s="2" t="s">
        <v>569</v>
      </c>
      <c r="D2030" s="2" t="str">
        <f t="shared" si="30"/>
        <v>Error?</v>
      </c>
    </row>
    <row r="2031" spans="1:4" x14ac:dyDescent="0.2">
      <c r="A2031" s="5">
        <v>1970</v>
      </c>
      <c r="B2031" s="1890">
        <f>'Cap Outlay Deprec 26'!F16</f>
        <v>4084963</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961380</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1410292</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2371672</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59000</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23128</v>
      </c>
      <c r="D2041" s="2" t="str">
        <f t="shared" si="30"/>
        <v>Error?</v>
      </c>
    </row>
    <row r="2042" spans="1:4" x14ac:dyDescent="0.2">
      <c r="A2042" s="5">
        <v>1981</v>
      </c>
      <c r="B2042" s="1890">
        <f>'Cap Outlay Deprec 26'!I13</f>
        <v>12685</v>
      </c>
      <c r="D2042" s="2" t="str">
        <f t="shared" si="30"/>
        <v>Error?</v>
      </c>
    </row>
    <row r="2043" spans="1:4" x14ac:dyDescent="0.2">
      <c r="A2043" s="5">
        <v>1982</v>
      </c>
      <c r="B2043" s="1890">
        <f>'Cap Outlay Deprec 26'!I16</f>
        <v>94813</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1020380</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1433420</v>
      </c>
      <c r="C2053" s="2" t="s">
        <v>569</v>
      </c>
      <c r="D2053" s="2" t="str">
        <f t="shared" si="31"/>
        <v>Error?</v>
      </c>
    </row>
    <row r="2054" spans="1:4" x14ac:dyDescent="0.2">
      <c r="A2054" s="5">
        <v>1993</v>
      </c>
      <c r="B2054" s="1890">
        <f>'Cap Outlay Deprec 26'!K13</f>
        <v>12685</v>
      </c>
      <c r="C2054" s="2" t="s">
        <v>569</v>
      </c>
      <c r="D2054" s="2" t="str">
        <f t="shared" si="31"/>
        <v>Error?</v>
      </c>
    </row>
    <row r="2055" spans="1:4" x14ac:dyDescent="0.2">
      <c r="A2055" s="5">
        <v>1994</v>
      </c>
      <c r="B2055" s="1890">
        <f>'Cap Outlay Deprec 26'!K16</f>
        <v>2466485</v>
      </c>
      <c r="C2055" s="2" t="s">
        <v>569</v>
      </c>
      <c r="D2055" s="2" t="str">
        <f t="shared" si="31"/>
        <v>Error?</v>
      </c>
    </row>
    <row r="2056" spans="1:4" x14ac:dyDescent="0.2">
      <c r="A2056" s="5">
        <v>1995</v>
      </c>
      <c r="B2056" s="1890">
        <f>'Cap Outlay Deprec 26'!L5</f>
        <v>74871</v>
      </c>
      <c r="C2056" s="2" t="s">
        <v>569</v>
      </c>
      <c r="D2056" s="2" t="str">
        <f t="shared" si="31"/>
        <v>Error?</v>
      </c>
    </row>
    <row r="2057" spans="1:4" x14ac:dyDescent="0.2">
      <c r="A2057" s="5">
        <v>1996</v>
      </c>
      <c r="B2057" s="1890">
        <f>'Cap Outlay Deprec 26'!L8</f>
        <v>1392927</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99939</v>
      </c>
      <c r="C2059" s="2" t="s">
        <v>569</v>
      </c>
      <c r="D2059" s="2" t="str">
        <f t="shared" si="31"/>
        <v>Error?</v>
      </c>
    </row>
    <row r="2060" spans="1:4" x14ac:dyDescent="0.2">
      <c r="A2060" s="5">
        <v>1999</v>
      </c>
      <c r="B2060" s="1890">
        <f>'Cap Outlay Deprec 26'!L13</f>
        <v>50741</v>
      </c>
      <c r="C2060" s="2" t="s">
        <v>569</v>
      </c>
      <c r="D2060" s="2" t="str">
        <f t="shared" si="31"/>
        <v>Error?</v>
      </c>
    </row>
    <row r="2061" spans="1:4" x14ac:dyDescent="0.2">
      <c r="A2061" s="5">
        <v>2000</v>
      </c>
      <c r="B2061" s="1890">
        <f>'Cap Outlay Deprec 26'!L16</f>
        <v>1618478</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2170631</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2171086</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7234060</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902562</v>
      </c>
      <c r="C2553" s="2" t="s">
        <v>569</v>
      </c>
      <c r="D2553" s="2" t="str">
        <f t="shared" si="38"/>
        <v>Error?</v>
      </c>
    </row>
    <row r="2554" spans="1:4" x14ac:dyDescent="0.2">
      <c r="A2554" s="5">
        <v>2493</v>
      </c>
      <c r="B2554" s="1890">
        <f>'Acct Summary 7-8'!C7</f>
        <v>2776877</v>
      </c>
      <c r="C2554" s="2" t="s">
        <v>569</v>
      </c>
      <c r="D2554" s="2" t="str">
        <f t="shared" si="38"/>
        <v>Error?</v>
      </c>
    </row>
    <row r="2555" spans="1:4" x14ac:dyDescent="0.2">
      <c r="A2555" s="5">
        <v>2494</v>
      </c>
      <c r="B2555" s="1890">
        <f>'Acct Summary 7-8'!C8</f>
        <v>11086444</v>
      </c>
      <c r="C2555" s="2" t="s">
        <v>569</v>
      </c>
      <c r="D2555" s="2" t="str">
        <f t="shared" si="38"/>
        <v>Error?</v>
      </c>
    </row>
    <row r="2556" spans="1:4" x14ac:dyDescent="0.2">
      <c r="A2556" s="5">
        <v>2495</v>
      </c>
      <c r="B2556" s="1890">
        <f>'Acct Summary 7-8'!C12</f>
        <v>7621801</v>
      </c>
      <c r="C2556" s="2" t="s">
        <v>569</v>
      </c>
      <c r="D2556" s="2" t="str">
        <f t="shared" si="38"/>
        <v>Error?</v>
      </c>
    </row>
    <row r="2557" spans="1:4" x14ac:dyDescent="0.2">
      <c r="A2557" s="5">
        <v>2496</v>
      </c>
      <c r="B2557" s="1890">
        <f>'Acct Summary 7-8'!C13</f>
        <v>2622052</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2171086</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12414939</v>
      </c>
      <c r="C2561" s="2" t="s">
        <v>569</v>
      </c>
      <c r="D2561" s="2" t="str">
        <f t="shared" si="39"/>
        <v>Error?</v>
      </c>
    </row>
    <row r="2562" spans="1:4" x14ac:dyDescent="0.2">
      <c r="A2562" s="5">
        <v>2501</v>
      </c>
      <c r="B2562" s="1890">
        <f>'Acct Summary 7-8'!C20</f>
        <v>-1328495</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87103</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87103</v>
      </c>
      <c r="C2573" s="2" t="s">
        <v>569</v>
      </c>
      <c r="D2573" s="2" t="str">
        <f t="shared" si="39"/>
        <v>Error?</v>
      </c>
    </row>
    <row r="2574" spans="1:4" x14ac:dyDescent="0.2">
      <c r="A2574" s="5">
        <v>2513</v>
      </c>
      <c r="B2574" s="1890">
        <f>'Acct Summary 7-8'!D20</f>
        <v>-87103</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1997</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455</v>
      </c>
      <c r="C2789" s="2" t="s">
        <v>569</v>
      </c>
      <c r="D2789" s="2" t="str">
        <f t="shared" si="42"/>
        <v>Error?</v>
      </c>
    </row>
    <row r="2790" spans="1:4" x14ac:dyDescent="0.2">
      <c r="A2790" s="5">
        <v>2729</v>
      </c>
      <c r="B2790" s="1890">
        <f>'Expenditures 15-22'!E102</f>
        <v>455</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955353</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1180</v>
      </c>
      <c r="D2914" s="2" t="str">
        <f t="shared" si="44"/>
        <v>Error?</v>
      </c>
    </row>
    <row r="2915" spans="1:4" x14ac:dyDescent="0.2">
      <c r="A2915" s="10">
        <v>2854</v>
      </c>
      <c r="B2915" s="1890"/>
      <c r="D2915" s="2" t="str">
        <f t="shared" si="44"/>
        <v>OK</v>
      </c>
    </row>
    <row r="2916" spans="1:4" x14ac:dyDescent="0.2">
      <c r="A2916" s="5">
        <v>2855</v>
      </c>
      <c r="B2916" s="1890">
        <f>'Assets-Liab 5-6'!L34</f>
        <v>1180</v>
      </c>
      <c r="C2916" s="2" t="s">
        <v>569</v>
      </c>
      <c r="D2916" s="2" t="str">
        <f t="shared" si="44"/>
        <v>Error?</v>
      </c>
    </row>
    <row r="2917" spans="1:4" x14ac:dyDescent="0.2">
      <c r="A2917" s="5">
        <v>2856</v>
      </c>
      <c r="B2917" s="1890">
        <f>'Assets-Liab 5-6'!L41</f>
        <v>955353</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455</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997686</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1172945</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998141</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1172945</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1997</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105126</v>
      </c>
      <c r="D3055" s="2" t="str">
        <f t="shared" si="46"/>
        <v>Error?</v>
      </c>
    </row>
    <row r="3056" spans="1:4" x14ac:dyDescent="0.2">
      <c r="A3056" s="5">
        <v>2995</v>
      </c>
      <c r="B3056" s="1890">
        <f>'Expenditures 15-22'!D10</f>
        <v>24669</v>
      </c>
      <c r="D3056" s="2" t="str">
        <f t="shared" si="46"/>
        <v>Error?</v>
      </c>
    </row>
    <row r="3057" spans="1:4" x14ac:dyDescent="0.2">
      <c r="A3057" s="5">
        <v>2996</v>
      </c>
      <c r="B3057" s="1890">
        <f>'Expenditures 15-22'!E10</f>
        <v>4076</v>
      </c>
      <c r="D3057" s="2" t="str">
        <f t="shared" si="46"/>
        <v>Error?</v>
      </c>
    </row>
    <row r="3058" spans="1:4" x14ac:dyDescent="0.2">
      <c r="A3058" s="5">
        <v>2997</v>
      </c>
      <c r="B3058" s="1890">
        <f>'Expenditures 15-22'!F10</f>
        <v>1736</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135607</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954173</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87103</v>
      </c>
      <c r="C3231" s="2" t="s">
        <v>569</v>
      </c>
      <c r="D3231" s="2" t="str">
        <f t="shared" si="49"/>
        <v>Error?</v>
      </c>
    </row>
    <row r="3232" spans="1:4" x14ac:dyDescent="0.2">
      <c r="A3232" s="5">
        <v>3171</v>
      </c>
      <c r="B3232" s="1890">
        <f>'Acct Summary 7-8'!C77</f>
        <v>-87103</v>
      </c>
      <c r="C3232" s="2" t="s">
        <v>569</v>
      </c>
      <c r="D3232" s="2" t="str">
        <f t="shared" si="49"/>
        <v>Error?</v>
      </c>
    </row>
    <row r="3233" spans="1:4" x14ac:dyDescent="0.2">
      <c r="A3233" s="5">
        <v>3172</v>
      </c>
      <c r="B3233" s="1890">
        <f>'Acct Summary 7-8'!C78</f>
        <v>-1415598</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87103</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87103</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5188252</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1836303</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111156</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312585</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15839</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7465340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172945</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911217</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955353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1997</v>
      </c>
      <c r="E3521" s="4" t="s">
        <v>134</v>
      </c>
    </row>
    <row r="3522" spans="1:5" x14ac:dyDescent="0.2">
      <c r="A3522" s="10">
        <v>3461</v>
      </c>
      <c r="B3522" s="1890"/>
      <c r="D3522" s="4" t="s">
        <v>1997</v>
      </c>
      <c r="E3522" s="4" t="s">
        <v>134</v>
      </c>
    </row>
    <row r="3523" spans="1:5" x14ac:dyDescent="0.2">
      <c r="A3523" s="10">
        <v>3462</v>
      </c>
      <c r="B3523" s="1890"/>
      <c r="D3523" s="4" t="s">
        <v>1997</v>
      </c>
      <c r="E3523" s="4" t="s">
        <v>134</v>
      </c>
    </row>
    <row r="3524" spans="1:5" x14ac:dyDescent="0.2">
      <c r="A3524" s="10">
        <v>3463</v>
      </c>
      <c r="B3524" s="1890"/>
      <c r="D3524" s="4" t="s">
        <v>1997</v>
      </c>
      <c r="E3524" s="4" t="s">
        <v>134</v>
      </c>
    </row>
    <row r="3525" spans="1:5" x14ac:dyDescent="0.2">
      <c r="A3525" s="10">
        <v>3464</v>
      </c>
      <c r="B3525" s="1890"/>
      <c r="D3525" s="4" t="s">
        <v>1997</v>
      </c>
      <c r="E3525" s="4" t="s">
        <v>134</v>
      </c>
    </row>
    <row r="3526" spans="1:5" x14ac:dyDescent="0.2">
      <c r="A3526" s="10">
        <v>3465</v>
      </c>
      <c r="B3526" s="1890"/>
      <c r="D3526" s="4" t="s">
        <v>1997</v>
      </c>
      <c r="E3526" s="4" t="s">
        <v>134</v>
      </c>
    </row>
    <row r="3527" spans="1:5" x14ac:dyDescent="0.2">
      <c r="A3527" s="10">
        <v>3466</v>
      </c>
      <c r="B3527" s="1890"/>
      <c r="D3527" s="4" t="s">
        <v>1997</v>
      </c>
      <c r="E3527" s="4" t="s">
        <v>134</v>
      </c>
    </row>
    <row r="3528" spans="1:5" x14ac:dyDescent="0.2">
      <c r="A3528" s="10">
        <v>3467</v>
      </c>
      <c r="B3528" s="1890"/>
      <c r="D3528" s="4" t="s">
        <v>1997</v>
      </c>
      <c r="E3528" s="4" t="s">
        <v>134</v>
      </c>
    </row>
    <row r="3529" spans="1:5" x14ac:dyDescent="0.2">
      <c r="A3529" s="10">
        <v>3468</v>
      </c>
      <c r="B3529" s="1890"/>
      <c r="D3529" s="4" t="s">
        <v>1997</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4845183</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15931627</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4845183</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17260122</v>
      </c>
      <c r="C4136" s="2" t="s">
        <v>569</v>
      </c>
      <c r="D4136" s="2" t="str">
        <f t="shared" si="63"/>
        <v>Error?</v>
      </c>
    </row>
    <row r="4137" spans="1:4" x14ac:dyDescent="0.2">
      <c r="A4137" s="5">
        <v>4076</v>
      </c>
      <c r="B4137" s="1890">
        <f>'Acct Summary 7-8'!D19</f>
        <v>87103</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1899</v>
      </c>
    </row>
    <row r="4236" spans="1:5" x14ac:dyDescent="0.2">
      <c r="A4236" s="10">
        <v>4175</v>
      </c>
      <c r="B4236" s="1890"/>
      <c r="D4236" s="2" t="str">
        <f t="shared" si="65"/>
        <v>OK</v>
      </c>
      <c r="E4236" s="4" t="s">
        <v>1899</v>
      </c>
    </row>
    <row r="4237" spans="1:5" x14ac:dyDescent="0.2">
      <c r="A4237" s="10">
        <v>4176</v>
      </c>
      <c r="B4237" s="1890"/>
      <c r="D4237" s="2" t="str">
        <f t="shared" si="65"/>
        <v>OK</v>
      </c>
      <c r="E4237" s="4" t="s">
        <v>1899</v>
      </c>
    </row>
    <row r="4238" spans="1:5" x14ac:dyDescent="0.2">
      <c r="A4238" s="10">
        <v>4177</v>
      </c>
      <c r="B4238" s="1890"/>
      <c r="D4238" s="2" t="str">
        <f t="shared" si="65"/>
        <v>OK</v>
      </c>
      <c r="E4238" s="4" t="s">
        <v>1899</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911217</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47069</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346481</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1899</v>
      </c>
    </row>
    <row r="4400" spans="1:5" x14ac:dyDescent="0.2">
      <c r="A4400" s="10">
        <v>4339</v>
      </c>
      <c r="B4400" s="1890"/>
      <c r="D4400" s="2" t="str">
        <f t="shared" si="67"/>
        <v>OK</v>
      </c>
      <c r="E4400" s="4" t="s">
        <v>1899</v>
      </c>
    </row>
    <row r="4401" spans="1:5" x14ac:dyDescent="0.2">
      <c r="A4401" s="10">
        <v>4340</v>
      </c>
      <c r="B4401" s="1890"/>
      <c r="D4401" s="2" t="str">
        <f t="shared" si="67"/>
        <v>OK</v>
      </c>
      <c r="E4401" s="4" t="s">
        <v>1899</v>
      </c>
    </row>
    <row r="4402" spans="1:5" x14ac:dyDescent="0.2">
      <c r="A4402" s="10">
        <v>4341</v>
      </c>
      <c r="B4402" s="1890"/>
      <c r="D4402" s="2" t="str">
        <f t="shared" si="67"/>
        <v>OK</v>
      </c>
      <c r="E4402" s="4" t="s">
        <v>1899</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87103</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87103</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6910399</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6910399</v>
      </c>
      <c r="C5087" s="2" t="s">
        <v>569</v>
      </c>
      <c r="D5087" s="2" t="str">
        <f t="shared" si="78"/>
        <v>Error?</v>
      </c>
    </row>
    <row r="5088" spans="1:4" x14ac:dyDescent="0.2">
      <c r="A5088" s="5">
        <v>5027</v>
      </c>
      <c r="B5088" s="1890">
        <f>'Revenues 9-14'!C65</f>
        <v>0</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0</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0</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294748</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28913</v>
      </c>
      <c r="D5119" s="2" t="str">
        <f t="shared" ref="D5119:D5182" si="79">IF(ISBLANK(B5119),"OK",IF(A5119-B5119=0,"OK","Error?"))</f>
        <v>Error?</v>
      </c>
    </row>
    <row r="5120" spans="1:4" x14ac:dyDescent="0.2">
      <c r="A5120" s="5">
        <v>5059</v>
      </c>
      <c r="B5120" s="1890">
        <f>'Revenues 9-14'!C108</f>
        <v>323661</v>
      </c>
      <c r="C5120" s="2" t="s">
        <v>569</v>
      </c>
      <c r="D5120" s="2" t="str">
        <f t="shared" si="79"/>
        <v>Error?</v>
      </c>
    </row>
    <row r="5121" spans="1:4" x14ac:dyDescent="0.2">
      <c r="A5121" s="5">
        <v>5060</v>
      </c>
      <c r="B5121" s="1890">
        <f>'Revenues 9-14'!C109</f>
        <v>7234060</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172945</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172945</v>
      </c>
      <c r="C5125" s="2" t="s">
        <v>569</v>
      </c>
      <c r="D5125" s="2" t="str">
        <f t="shared" si="79"/>
        <v>Error?</v>
      </c>
    </row>
    <row r="5126" spans="1:4" x14ac:dyDescent="0.2">
      <c r="A5126" s="5">
        <v>5065</v>
      </c>
      <c r="B5126" s="1890">
        <f>'Revenues 9-14'!C117</f>
        <v>891748</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891748</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10814</v>
      </c>
      <c r="D5177" s="2" t="str">
        <f t="shared" si="79"/>
        <v>Error?</v>
      </c>
    </row>
    <row r="5178" spans="1:4" x14ac:dyDescent="0.2">
      <c r="A5178" s="5">
        <v>5117</v>
      </c>
      <c r="B5178" s="1890">
        <f>'Revenues 9-14'!C155</f>
        <v>10814</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1899</v>
      </c>
    </row>
    <row r="5200" spans="1:5" x14ac:dyDescent="0.2">
      <c r="A5200" s="10">
        <v>5139</v>
      </c>
      <c r="B5200" s="1890"/>
      <c r="D5200" s="2" t="str">
        <f t="shared" si="80"/>
        <v>OK</v>
      </c>
      <c r="E5200" s="4" t="s">
        <v>1899</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10814</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902562</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1899</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62921</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2320406</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2383327</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1899</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2776877</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2776877</v>
      </c>
      <c r="C5326" s="2" t="s">
        <v>569</v>
      </c>
      <c r="D5326" s="2" t="str">
        <f t="shared" si="82"/>
        <v>Error?</v>
      </c>
    </row>
    <row r="5327" spans="1:5" x14ac:dyDescent="0.2">
      <c r="A5327" s="5">
        <v>5266</v>
      </c>
      <c r="B5327" s="1890">
        <f>'Revenues 9-14'!C268</f>
        <v>11086444</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1899</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1899</v>
      </c>
    </row>
    <row r="5631" spans="1:5" x14ac:dyDescent="0.2">
      <c r="A5631" s="10">
        <v>5570</v>
      </c>
      <c r="B5631" s="1890"/>
      <c r="D5631" s="2" t="str">
        <f t="shared" ref="D5631:D5694" si="87">IF(ISBLANK(B5631),"OK",IF(A5631-B5631=0,"OK","Error?"))</f>
        <v>OK</v>
      </c>
      <c r="E5631" s="4" t="s">
        <v>1899</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1899</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1899</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1899</v>
      </c>
    </row>
    <row r="5768" spans="1:5" x14ac:dyDescent="0.2">
      <c r="A5768" s="10">
        <v>5707</v>
      </c>
      <c r="B5768" s="1890"/>
      <c r="D5768" s="2" t="str">
        <f t="shared" si="89"/>
        <v>OK</v>
      </c>
      <c r="E5768" s="4" t="s">
        <v>1899</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1899</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1899</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-1415598</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-1.5535245720832689</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1898</v>
      </c>
    </row>
    <row r="6383" spans="1:6" x14ac:dyDescent="0.2">
      <c r="A6383" s="126">
        <v>6322</v>
      </c>
      <c r="B6383" s="1890"/>
      <c r="D6383" s="2" t="str">
        <f t="shared" si="98"/>
        <v>OK</v>
      </c>
      <c r="E6383" s="2" t="s">
        <v>189</v>
      </c>
      <c r="F6383" s="1" t="s">
        <v>1898</v>
      </c>
    </row>
    <row r="6384" spans="1:6" x14ac:dyDescent="0.2">
      <c r="A6384" s="126">
        <v>6323</v>
      </c>
      <c r="B6384" s="1890"/>
      <c r="D6384" s="2" t="str">
        <f t="shared" si="98"/>
        <v>OK</v>
      </c>
      <c r="E6384" s="2" t="s">
        <v>189</v>
      </c>
      <c r="F6384" s="1" t="s">
        <v>1898</v>
      </c>
    </row>
    <row r="6385" spans="1:6" x14ac:dyDescent="0.2">
      <c r="A6385" s="126">
        <v>6324</v>
      </c>
      <c r="B6385" s="1890"/>
      <c r="D6385" s="2" t="str">
        <f t="shared" si="98"/>
        <v>OK</v>
      </c>
      <c r="E6385" s="2" t="s">
        <v>189</v>
      </c>
      <c r="F6385" s="1" t="s">
        <v>1898</v>
      </c>
    </row>
    <row r="6386" spans="1:6" x14ac:dyDescent="0.2">
      <c r="A6386" s="126">
        <v>6325</v>
      </c>
      <c r="B6386" s="1890"/>
      <c r="D6386" s="2" t="str">
        <f t="shared" si="98"/>
        <v>OK</v>
      </c>
      <c r="E6386" s="2" t="s">
        <v>189</v>
      </c>
      <c r="F6386" s="1" t="s">
        <v>1898</v>
      </c>
    </row>
    <row r="6387" spans="1:6" x14ac:dyDescent="0.2">
      <c r="A6387" s="126">
        <v>6326</v>
      </c>
      <c r="B6387" s="1890"/>
      <c r="D6387" s="2" t="str">
        <f t="shared" si="98"/>
        <v>OK</v>
      </c>
      <c r="E6387" s="2" t="s">
        <v>189</v>
      </c>
      <c r="F6387" s="1" t="s">
        <v>1898</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1898</v>
      </c>
    </row>
    <row r="6411" spans="1:6" x14ac:dyDescent="0.2">
      <c r="A6411" s="126">
        <v>6350</v>
      </c>
      <c r="B6411" s="1890"/>
      <c r="D6411" s="2" t="str">
        <f t="shared" si="99"/>
        <v>OK</v>
      </c>
      <c r="E6411" s="2" t="s">
        <v>189</v>
      </c>
      <c r="F6411" s="1" t="s">
        <v>1898</v>
      </c>
    </row>
    <row r="6412" spans="1:6" x14ac:dyDescent="0.2">
      <c r="A6412" s="126">
        <v>6351</v>
      </c>
      <c r="B6412" s="1890"/>
      <c r="D6412" s="2" t="str">
        <f t="shared" si="99"/>
        <v>OK</v>
      </c>
      <c r="E6412" s="2" t="s">
        <v>189</v>
      </c>
      <c r="F6412" s="1" t="s">
        <v>1898</v>
      </c>
    </row>
    <row r="6413" spans="1:6" x14ac:dyDescent="0.2">
      <c r="A6413" s="126">
        <v>6352</v>
      </c>
      <c r="B6413" s="1890"/>
      <c r="D6413" s="2" t="str">
        <f t="shared" si="99"/>
        <v>OK</v>
      </c>
      <c r="E6413" s="2" t="s">
        <v>189</v>
      </c>
      <c r="F6413" s="1" t="s">
        <v>1898</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1994</v>
      </c>
    </row>
    <row r="6417" spans="1:5" x14ac:dyDescent="0.2">
      <c r="A6417" s="126">
        <v>6356</v>
      </c>
      <c r="B6417" s="1890"/>
      <c r="D6417" s="2" t="str">
        <f t="shared" si="99"/>
        <v>OK</v>
      </c>
      <c r="E6417" s="4" t="s">
        <v>1994</v>
      </c>
    </row>
    <row r="6418" spans="1:5" x14ac:dyDescent="0.2">
      <c r="A6418" s="126">
        <v>6357</v>
      </c>
      <c r="B6418" s="1890"/>
      <c r="D6418" s="2" t="str">
        <f t="shared" si="99"/>
        <v>OK</v>
      </c>
      <c r="E6418" s="4" t="s">
        <v>1994</v>
      </c>
    </row>
    <row r="6419" spans="1:5" x14ac:dyDescent="0.2">
      <c r="A6419" s="126">
        <v>6358</v>
      </c>
      <c r="B6419" s="1890"/>
      <c r="D6419" s="2" t="str">
        <f t="shared" si="99"/>
        <v>OK</v>
      </c>
      <c r="E6419" s="4" t="s">
        <v>1994</v>
      </c>
    </row>
    <row r="6420" spans="1:5" x14ac:dyDescent="0.2">
      <c r="A6420" s="126">
        <v>6359</v>
      </c>
      <c r="B6420" s="1890"/>
      <c r="D6420" s="2" t="str">
        <f t="shared" si="99"/>
        <v>OK</v>
      </c>
      <c r="E6420" s="4" t="s">
        <v>1994</v>
      </c>
    </row>
    <row r="6421" spans="1:5" x14ac:dyDescent="0.2">
      <c r="A6421" s="126">
        <v>6360</v>
      </c>
      <c r="B6421" s="1890"/>
      <c r="D6421" s="2" t="str">
        <f t="shared" si="99"/>
        <v>OK</v>
      </c>
      <c r="E6421" s="4" t="s">
        <v>1994</v>
      </c>
    </row>
    <row r="6422" spans="1:5" x14ac:dyDescent="0.2">
      <c r="A6422" s="126">
        <v>6361</v>
      </c>
      <c r="B6422" s="1890"/>
      <c r="D6422" s="2" t="str">
        <f t="shared" si="99"/>
        <v>OK</v>
      </c>
      <c r="E6422" s="4" t="s">
        <v>1994</v>
      </c>
    </row>
    <row r="6423" spans="1:5" x14ac:dyDescent="0.2">
      <c r="A6423" s="126">
        <v>6362</v>
      </c>
      <c r="B6423" s="1890"/>
      <c r="D6423" s="2" t="str">
        <f t="shared" si="99"/>
        <v>OK</v>
      </c>
      <c r="E6423" s="4" t="s">
        <v>1994</v>
      </c>
    </row>
    <row r="6424" spans="1:5" x14ac:dyDescent="0.2">
      <c r="A6424" s="126">
        <v>6363</v>
      </c>
      <c r="B6424" s="1890"/>
      <c r="D6424" s="2" t="str">
        <f t="shared" si="99"/>
        <v>OK</v>
      </c>
      <c r="E6424" s="4" t="s">
        <v>1994</v>
      </c>
    </row>
    <row r="6425" spans="1:5" x14ac:dyDescent="0.2">
      <c r="A6425" s="126">
        <v>6364</v>
      </c>
      <c r="B6425" s="1890"/>
      <c r="D6425" s="2" t="str">
        <f t="shared" si="99"/>
        <v>OK</v>
      </c>
      <c r="E6425" s="4" t="s">
        <v>1994</v>
      </c>
    </row>
    <row r="6426" spans="1:5" x14ac:dyDescent="0.2">
      <c r="A6426" s="126">
        <v>6365</v>
      </c>
      <c r="B6426" s="1890"/>
      <c r="D6426" s="2" t="str">
        <f t="shared" si="99"/>
        <v>OK</v>
      </c>
      <c r="E6426" s="4" t="s">
        <v>1994</v>
      </c>
    </row>
    <row r="6427" spans="1:5" x14ac:dyDescent="0.2">
      <c r="A6427" s="126">
        <v>6366</v>
      </c>
      <c r="B6427" s="1890"/>
      <c r="D6427" s="2" t="str">
        <f t="shared" si="99"/>
        <v>OK</v>
      </c>
      <c r="E6427" s="4" t="s">
        <v>1994</v>
      </c>
    </row>
    <row r="6428" spans="1:5" x14ac:dyDescent="0.2">
      <c r="A6428" s="126">
        <v>6367</v>
      </c>
      <c r="B6428" s="1890"/>
      <c r="D6428" s="2" t="str">
        <f t="shared" si="99"/>
        <v>OK</v>
      </c>
      <c r="E6428" s="4" t="s">
        <v>1994</v>
      </c>
    </row>
    <row r="6429" spans="1:5" x14ac:dyDescent="0.2">
      <c r="A6429" s="126">
        <v>6368</v>
      </c>
      <c r="B6429" s="1890"/>
      <c r="D6429" s="2" t="str">
        <f t="shared" si="99"/>
        <v>OK</v>
      </c>
      <c r="E6429" s="4" t="s">
        <v>1994</v>
      </c>
    </row>
    <row r="6430" spans="1:5" x14ac:dyDescent="0.2">
      <c r="A6430" s="126">
        <v>6369</v>
      </c>
      <c r="B6430" s="1890"/>
      <c r="D6430" s="2" t="str">
        <f t="shared" si="99"/>
        <v>OK</v>
      </c>
      <c r="E6430" s="4" t="s">
        <v>1994</v>
      </c>
    </row>
    <row r="6431" spans="1:5" x14ac:dyDescent="0.2">
      <c r="A6431" s="126">
        <v>6370</v>
      </c>
      <c r="B6431" s="1890"/>
      <c r="D6431" s="2" t="str">
        <f t="shared" si="99"/>
        <v>OK</v>
      </c>
      <c r="E6431" s="4" t="s">
        <v>1994</v>
      </c>
    </row>
    <row r="6432" spans="1:5" x14ac:dyDescent="0.2">
      <c r="A6432" s="126">
        <v>6371</v>
      </c>
      <c r="B6432" s="1890"/>
      <c r="D6432" s="2" t="str">
        <f t="shared" si="99"/>
        <v>OK</v>
      </c>
      <c r="E6432" s="4" t="s">
        <v>1994</v>
      </c>
    </row>
    <row r="6433" spans="1:5" x14ac:dyDescent="0.2">
      <c r="A6433" s="126">
        <v>6372</v>
      </c>
      <c r="B6433" s="1890"/>
      <c r="D6433" s="2" t="str">
        <f t="shared" si="99"/>
        <v>OK</v>
      </c>
      <c r="E6433" s="4" t="s">
        <v>1994</v>
      </c>
    </row>
    <row r="6434" spans="1:5" x14ac:dyDescent="0.2">
      <c r="A6434" s="126">
        <v>6373</v>
      </c>
      <c r="B6434" s="1890"/>
      <c r="D6434" s="2" t="str">
        <f t="shared" si="99"/>
        <v>OK</v>
      </c>
      <c r="E6434" s="4" t="s">
        <v>1994</v>
      </c>
    </row>
    <row r="6435" spans="1:5" x14ac:dyDescent="0.2">
      <c r="A6435" s="126">
        <v>6374</v>
      </c>
      <c r="B6435" s="1890"/>
      <c r="D6435" s="2" t="str">
        <f t="shared" si="99"/>
        <v>OK</v>
      </c>
      <c r="E6435" s="4" t="s">
        <v>1994</v>
      </c>
    </row>
    <row r="6436" spans="1:5" x14ac:dyDescent="0.2">
      <c r="A6436" s="126">
        <v>6375</v>
      </c>
      <c r="B6436" s="1890"/>
      <c r="D6436" s="2" t="str">
        <f t="shared" si="99"/>
        <v>OK</v>
      </c>
      <c r="E6436" s="4" t="s">
        <v>1994</v>
      </c>
    </row>
    <row r="6437" spans="1:5" x14ac:dyDescent="0.2">
      <c r="A6437" s="126">
        <v>6376</v>
      </c>
      <c r="B6437" s="1890"/>
      <c r="D6437" s="2" t="str">
        <f t="shared" si="99"/>
        <v>OK</v>
      </c>
      <c r="E6437" s="4" t="s">
        <v>1994</v>
      </c>
    </row>
    <row r="6438" spans="1:5" x14ac:dyDescent="0.2">
      <c r="A6438" s="126">
        <v>6377</v>
      </c>
      <c r="B6438" s="1890"/>
      <c r="D6438" s="2" t="str">
        <f t="shared" si="99"/>
        <v>OK</v>
      </c>
      <c r="E6438" s="4" t="s">
        <v>1994</v>
      </c>
    </row>
    <row r="6439" spans="1:5" x14ac:dyDescent="0.2">
      <c r="A6439" s="126">
        <v>6378</v>
      </c>
      <c r="B6439" s="1890"/>
      <c r="D6439" s="2" t="str">
        <f t="shared" si="99"/>
        <v>OK</v>
      </c>
      <c r="E6439" s="4" t="s">
        <v>1994</v>
      </c>
    </row>
    <row r="6440" spans="1:5" x14ac:dyDescent="0.2">
      <c r="A6440" s="126">
        <v>6379</v>
      </c>
      <c r="B6440" s="1890"/>
      <c r="D6440" s="2" t="str">
        <f t="shared" si="99"/>
        <v>OK</v>
      </c>
      <c r="E6440" s="4" t="s">
        <v>1994</v>
      </c>
    </row>
    <row r="6441" spans="1:5" x14ac:dyDescent="0.2">
      <c r="A6441" s="126">
        <v>6380</v>
      </c>
      <c r="B6441" s="1890"/>
      <c r="D6441" s="2" t="str">
        <f t="shared" si="99"/>
        <v>OK</v>
      </c>
      <c r="E6441" s="4" t="s">
        <v>1994</v>
      </c>
    </row>
    <row r="6442" spans="1:5" x14ac:dyDescent="0.2">
      <c r="A6442" s="126">
        <v>6381</v>
      </c>
      <c r="B6442" s="1890"/>
      <c r="D6442" s="2" t="str">
        <f t="shared" si="99"/>
        <v>OK</v>
      </c>
      <c r="E6442" s="4" t="s">
        <v>1994</v>
      </c>
    </row>
    <row r="6443" spans="1:5" x14ac:dyDescent="0.2">
      <c r="A6443" s="126">
        <v>6382</v>
      </c>
      <c r="B6443" s="1890"/>
      <c r="D6443" s="2" t="str">
        <f t="shared" si="99"/>
        <v>OK</v>
      </c>
      <c r="E6443" s="4" t="s">
        <v>1994</v>
      </c>
    </row>
    <row r="6444" spans="1:5" x14ac:dyDescent="0.2">
      <c r="A6444" s="126">
        <v>6383</v>
      </c>
      <c r="B6444" s="1890"/>
      <c r="D6444" s="2" t="str">
        <f t="shared" si="99"/>
        <v>OK</v>
      </c>
      <c r="E6444" s="4" t="s">
        <v>1994</v>
      </c>
    </row>
    <row r="6445" spans="1:5" x14ac:dyDescent="0.2">
      <c r="A6445" s="126">
        <v>6384</v>
      </c>
      <c r="B6445" s="1890"/>
      <c r="D6445" s="2" t="str">
        <f t="shared" si="99"/>
        <v>OK</v>
      </c>
      <c r="E6445" s="4" t="s">
        <v>1994</v>
      </c>
    </row>
    <row r="6446" spans="1:5" x14ac:dyDescent="0.2">
      <c r="A6446" s="126">
        <v>6385</v>
      </c>
      <c r="B6446" s="1890"/>
      <c r="D6446" s="2" t="str">
        <f t="shared" si="99"/>
        <v>OK</v>
      </c>
      <c r="E6446" s="4" t="s">
        <v>1994</v>
      </c>
    </row>
    <row r="6447" spans="1:5" x14ac:dyDescent="0.2">
      <c r="A6447" s="126">
        <v>6386</v>
      </c>
      <c r="B6447" s="1890"/>
      <c r="D6447" s="2" t="str">
        <f t="shared" si="99"/>
        <v>OK</v>
      </c>
      <c r="E6447" s="4" t="s">
        <v>1994</v>
      </c>
    </row>
    <row r="6448" spans="1:5" x14ac:dyDescent="0.2">
      <c r="A6448" s="126">
        <v>6387</v>
      </c>
      <c r="B6448" s="1890"/>
      <c r="D6448" s="2" t="str">
        <f t="shared" si="99"/>
        <v>OK</v>
      </c>
      <c r="E6448" s="4" t="s">
        <v>1994</v>
      </c>
    </row>
    <row r="6449" spans="1:5" x14ac:dyDescent="0.2">
      <c r="A6449" s="126">
        <v>6388</v>
      </c>
      <c r="B6449" s="1890"/>
      <c r="D6449" s="2" t="str">
        <f t="shared" si="99"/>
        <v>OK</v>
      </c>
      <c r="E6449" s="4" t="s">
        <v>1994</v>
      </c>
    </row>
    <row r="6450" spans="1:5" x14ac:dyDescent="0.2">
      <c r="A6450" s="126">
        <v>6389</v>
      </c>
      <c r="B6450" s="1890"/>
      <c r="D6450" s="2" t="str">
        <f t="shared" si="99"/>
        <v>OK</v>
      </c>
      <c r="E6450" s="4" t="s">
        <v>1994</v>
      </c>
    </row>
    <row r="6451" spans="1:5" x14ac:dyDescent="0.2">
      <c r="A6451" s="126">
        <v>6390</v>
      </c>
      <c r="B6451" s="1890"/>
      <c r="D6451" s="2" t="str">
        <f t="shared" si="99"/>
        <v>OK</v>
      </c>
      <c r="E6451" s="4" t="s">
        <v>1994</v>
      </c>
    </row>
    <row r="6452" spans="1:5" x14ac:dyDescent="0.2">
      <c r="A6452" s="126">
        <v>6391</v>
      </c>
      <c r="B6452" s="1890"/>
      <c r="D6452" s="2" t="str">
        <f t="shared" si="99"/>
        <v>OK</v>
      </c>
      <c r="E6452" s="4" t="s">
        <v>1994</v>
      </c>
    </row>
    <row r="6453" spans="1:5" x14ac:dyDescent="0.2">
      <c r="A6453" s="126">
        <v>6392</v>
      </c>
      <c r="B6453" s="1890"/>
      <c r="D6453" s="2" t="str">
        <f t="shared" si="99"/>
        <v>OK</v>
      </c>
      <c r="E6453" s="4" t="s">
        <v>1994</v>
      </c>
    </row>
    <row r="6454" spans="1:5" x14ac:dyDescent="0.2">
      <c r="A6454" s="126">
        <v>6393</v>
      </c>
      <c r="B6454" s="1890"/>
      <c r="D6454" s="2" t="str">
        <f t="shared" si="99"/>
        <v>OK</v>
      </c>
      <c r="E6454" s="4" t="s">
        <v>1994</v>
      </c>
    </row>
    <row r="6455" spans="1:5" x14ac:dyDescent="0.2">
      <c r="A6455" s="126">
        <v>6394</v>
      </c>
      <c r="B6455" s="1890"/>
      <c r="D6455" s="2" t="str">
        <f t="shared" si="99"/>
        <v>OK</v>
      </c>
      <c r="E6455" s="4" t="s">
        <v>1994</v>
      </c>
    </row>
    <row r="6456" spans="1:5" x14ac:dyDescent="0.2">
      <c r="A6456" s="126">
        <v>6395</v>
      </c>
      <c r="B6456" s="1890"/>
      <c r="D6456" s="2" t="str">
        <f t="shared" si="99"/>
        <v>OK</v>
      </c>
      <c r="E6456" s="4" t="s">
        <v>1994</v>
      </c>
    </row>
    <row r="6457" spans="1:5" x14ac:dyDescent="0.2">
      <c r="A6457" s="126">
        <v>6396</v>
      </c>
      <c r="B6457" s="1890"/>
      <c r="D6457" s="2" t="str">
        <f t="shared" si="99"/>
        <v>OK</v>
      </c>
      <c r="E6457" s="4" t="s">
        <v>1994</v>
      </c>
    </row>
    <row r="6458" spans="1:5" x14ac:dyDescent="0.2">
      <c r="A6458" s="126">
        <v>6397</v>
      </c>
      <c r="B6458" s="1890"/>
      <c r="D6458" s="2" t="str">
        <f t="shared" si="99"/>
        <v>OK</v>
      </c>
      <c r="E6458" s="4" t="s">
        <v>1994</v>
      </c>
    </row>
    <row r="6459" spans="1:5" x14ac:dyDescent="0.2">
      <c r="A6459" s="126">
        <v>6398</v>
      </c>
      <c r="B6459" s="1890"/>
      <c r="D6459" s="2" t="str">
        <f t="shared" si="99"/>
        <v>OK</v>
      </c>
      <c r="E6459" s="4" t="s">
        <v>1994</v>
      </c>
    </row>
    <row r="6460" spans="1:5" x14ac:dyDescent="0.2">
      <c r="A6460" s="126">
        <v>6399</v>
      </c>
      <c r="B6460" s="1890"/>
      <c r="D6460" s="2" t="str">
        <f t="shared" si="99"/>
        <v>OK</v>
      </c>
      <c r="E6460" s="4" t="s">
        <v>1994</v>
      </c>
    </row>
    <row r="6461" spans="1:5" x14ac:dyDescent="0.2">
      <c r="A6461" s="126">
        <v>6400</v>
      </c>
      <c r="B6461" s="1890"/>
      <c r="D6461" s="2" t="str">
        <f t="shared" si="99"/>
        <v>OK</v>
      </c>
      <c r="E6461" s="4" t="s">
        <v>1994</v>
      </c>
    </row>
    <row r="6462" spans="1:5" x14ac:dyDescent="0.2">
      <c r="A6462" s="126">
        <v>6401</v>
      </c>
      <c r="B6462" s="1890"/>
      <c r="D6462" s="2" t="str">
        <f t="shared" si="99"/>
        <v>OK</v>
      </c>
      <c r="E6462" s="4" t="s">
        <v>1994</v>
      </c>
    </row>
    <row r="6463" spans="1:5" x14ac:dyDescent="0.2">
      <c r="A6463" s="126">
        <v>6402</v>
      </c>
      <c r="B6463" s="1890"/>
      <c r="D6463" s="2" t="str">
        <f t="shared" ref="D6463:D6526" si="100">IF(ISBLANK(B6463),"OK",IF(A6463-B6463=0,"OK","Error?"))</f>
        <v>OK</v>
      </c>
      <c r="E6463" s="4" t="s">
        <v>1994</v>
      </c>
    </row>
    <row r="6464" spans="1:5" x14ac:dyDescent="0.2">
      <c r="A6464" s="126">
        <v>6403</v>
      </c>
      <c r="B6464" s="1890"/>
      <c r="D6464" s="2" t="str">
        <f t="shared" si="100"/>
        <v>OK</v>
      </c>
      <c r="E6464" s="4" t="s">
        <v>1994</v>
      </c>
    </row>
    <row r="6465" spans="1:5" x14ac:dyDescent="0.2">
      <c r="A6465" s="126">
        <v>6404</v>
      </c>
      <c r="B6465" s="1890"/>
      <c r="D6465" s="2" t="str">
        <f t="shared" si="100"/>
        <v>OK</v>
      </c>
      <c r="E6465" s="4" t="s">
        <v>1994</v>
      </c>
    </row>
    <row r="6466" spans="1:5" x14ac:dyDescent="0.2">
      <c r="A6466" s="126">
        <v>6405</v>
      </c>
      <c r="B6466" s="1890"/>
      <c r="D6466" s="2" t="str">
        <f t="shared" si="100"/>
        <v>OK</v>
      </c>
      <c r="E6466" s="4" t="s">
        <v>1994</v>
      </c>
    </row>
    <row r="6467" spans="1:5" x14ac:dyDescent="0.2">
      <c r="A6467" s="126">
        <v>6406</v>
      </c>
      <c r="B6467" s="1890"/>
      <c r="D6467" s="2" t="str">
        <f t="shared" si="100"/>
        <v>OK</v>
      </c>
      <c r="E6467" s="4" t="s">
        <v>1994</v>
      </c>
    </row>
    <row r="6468" spans="1:5" x14ac:dyDescent="0.2">
      <c r="A6468" s="126">
        <v>6407</v>
      </c>
      <c r="B6468" s="1890"/>
      <c r="D6468" s="2" t="str">
        <f t="shared" si="100"/>
        <v>OK</v>
      </c>
      <c r="E6468" s="4" t="s">
        <v>1994</v>
      </c>
    </row>
    <row r="6469" spans="1:5" x14ac:dyDescent="0.2">
      <c r="A6469" s="126">
        <v>6408</v>
      </c>
      <c r="B6469" s="1890"/>
      <c r="D6469" s="2" t="str">
        <f t="shared" si="100"/>
        <v>OK</v>
      </c>
      <c r="E6469" s="4" t="s">
        <v>1994</v>
      </c>
    </row>
    <row r="6470" spans="1:5" x14ac:dyDescent="0.2">
      <c r="A6470" s="126">
        <v>6409</v>
      </c>
      <c r="B6470" s="1890"/>
      <c r="D6470" s="2" t="str">
        <f t="shared" si="100"/>
        <v>OK</v>
      </c>
      <c r="E6470" s="4" t="s">
        <v>1994</v>
      </c>
    </row>
    <row r="6471" spans="1:5" x14ac:dyDescent="0.2">
      <c r="A6471" s="126">
        <v>6410</v>
      </c>
      <c r="B6471" s="1890"/>
      <c r="D6471" s="2" t="str">
        <f t="shared" si="100"/>
        <v>OK</v>
      </c>
      <c r="E6471" s="4" t="s">
        <v>1994</v>
      </c>
    </row>
    <row r="6472" spans="1:5" x14ac:dyDescent="0.2">
      <c r="A6472" s="126">
        <v>6411</v>
      </c>
      <c r="B6472" s="1890"/>
      <c r="D6472" s="2" t="str">
        <f t="shared" si="100"/>
        <v>OK</v>
      </c>
      <c r="E6472" s="4" t="s">
        <v>1994</v>
      </c>
    </row>
    <row r="6473" spans="1:5" x14ac:dyDescent="0.2">
      <c r="A6473" s="126">
        <v>6412</v>
      </c>
      <c r="B6473" s="1890"/>
      <c r="D6473" s="2" t="str">
        <f t="shared" si="100"/>
        <v>OK</v>
      </c>
      <c r="E6473" s="4" t="s">
        <v>1994</v>
      </c>
    </row>
    <row r="6474" spans="1:5" x14ac:dyDescent="0.2">
      <c r="A6474" s="126">
        <v>6413</v>
      </c>
      <c r="B6474" s="1890"/>
      <c r="D6474" s="2" t="str">
        <f t="shared" si="100"/>
        <v>OK</v>
      </c>
      <c r="E6474" s="4" t="s">
        <v>1994</v>
      </c>
    </row>
    <row r="6475" spans="1:5" x14ac:dyDescent="0.2">
      <c r="A6475" s="126">
        <v>6414</v>
      </c>
      <c r="B6475" s="1890"/>
      <c r="D6475" s="2" t="str">
        <f t="shared" si="100"/>
        <v>OK</v>
      </c>
      <c r="E6475" s="4" t="s">
        <v>1994</v>
      </c>
    </row>
    <row r="6476" spans="1:5" x14ac:dyDescent="0.2">
      <c r="A6476" s="126">
        <v>6415</v>
      </c>
      <c r="B6476" s="1890"/>
      <c r="D6476" s="2" t="str">
        <f t="shared" si="100"/>
        <v>OK</v>
      </c>
      <c r="E6476" s="4" t="s">
        <v>1994</v>
      </c>
    </row>
    <row r="6477" spans="1:5" x14ac:dyDescent="0.2">
      <c r="A6477" s="126">
        <v>6416</v>
      </c>
      <c r="B6477" s="1890"/>
      <c r="D6477" s="2" t="str">
        <f t="shared" si="100"/>
        <v>OK</v>
      </c>
      <c r="E6477" s="4" t="s">
        <v>1994</v>
      </c>
    </row>
    <row r="6478" spans="1:5" x14ac:dyDescent="0.2">
      <c r="A6478" s="126">
        <v>6417</v>
      </c>
      <c r="B6478" s="1890"/>
      <c r="D6478" s="2" t="str">
        <f t="shared" si="100"/>
        <v>OK</v>
      </c>
      <c r="E6478" s="4" t="s">
        <v>1994</v>
      </c>
    </row>
    <row r="6479" spans="1:5" x14ac:dyDescent="0.2">
      <c r="A6479" s="126">
        <v>6418</v>
      </c>
      <c r="B6479" s="1890"/>
      <c r="D6479" s="2" t="str">
        <f t="shared" si="100"/>
        <v>OK</v>
      </c>
      <c r="E6479" s="4" t="s">
        <v>1994</v>
      </c>
    </row>
    <row r="6480" spans="1:5" x14ac:dyDescent="0.2">
      <c r="A6480" s="126">
        <v>6419</v>
      </c>
      <c r="B6480" s="1890"/>
      <c r="D6480" s="2" t="str">
        <f t="shared" si="100"/>
        <v>OK</v>
      </c>
      <c r="E6480" s="4" t="s">
        <v>1994</v>
      </c>
    </row>
    <row r="6481" spans="1:5" x14ac:dyDescent="0.2">
      <c r="A6481" s="126">
        <v>6420</v>
      </c>
      <c r="B6481" s="1890"/>
      <c r="D6481" s="2" t="str">
        <f t="shared" si="100"/>
        <v>OK</v>
      </c>
      <c r="E6481" s="4" t="s">
        <v>1994</v>
      </c>
    </row>
    <row r="6482" spans="1:5" x14ac:dyDescent="0.2">
      <c r="A6482" s="126">
        <v>6421</v>
      </c>
      <c r="B6482" s="1890"/>
      <c r="D6482" s="2" t="str">
        <f t="shared" si="100"/>
        <v>OK</v>
      </c>
      <c r="E6482" s="4" t="s">
        <v>1994</v>
      </c>
    </row>
    <row r="6483" spans="1:5" x14ac:dyDescent="0.2">
      <c r="A6483" s="126">
        <v>6422</v>
      </c>
      <c r="B6483" s="1890"/>
      <c r="D6483" s="2" t="str">
        <f t="shared" si="100"/>
        <v>OK</v>
      </c>
      <c r="E6483" s="4" t="s">
        <v>1994</v>
      </c>
    </row>
    <row r="6484" spans="1:5" x14ac:dyDescent="0.2">
      <c r="A6484" s="126">
        <v>6423</v>
      </c>
      <c r="B6484" s="1890"/>
      <c r="D6484" s="2" t="str">
        <f t="shared" si="100"/>
        <v>OK</v>
      </c>
      <c r="E6484" s="4" t="s">
        <v>1994</v>
      </c>
    </row>
    <row r="6485" spans="1:5" x14ac:dyDescent="0.2">
      <c r="A6485" s="126">
        <v>6424</v>
      </c>
      <c r="B6485" s="1890"/>
      <c r="D6485" s="2" t="str">
        <f t="shared" si="100"/>
        <v>OK</v>
      </c>
      <c r="E6485" s="4" t="s">
        <v>1994</v>
      </c>
    </row>
    <row r="6486" spans="1:5" x14ac:dyDescent="0.2">
      <c r="A6486" s="126">
        <v>6425</v>
      </c>
      <c r="B6486" s="1890"/>
      <c r="D6486" s="2" t="str">
        <f t="shared" si="100"/>
        <v>OK</v>
      </c>
      <c r="E6486" s="4" t="s">
        <v>1994</v>
      </c>
    </row>
    <row r="6487" spans="1:5" x14ac:dyDescent="0.2">
      <c r="A6487" s="126">
        <v>6426</v>
      </c>
      <c r="B6487" s="1890"/>
      <c r="D6487" s="2" t="str">
        <f t="shared" si="100"/>
        <v>OK</v>
      </c>
      <c r="E6487" s="4" t="s">
        <v>1994</v>
      </c>
    </row>
    <row r="6488" spans="1:5" x14ac:dyDescent="0.2">
      <c r="A6488" s="126">
        <v>6427</v>
      </c>
      <c r="B6488" s="1890"/>
      <c r="D6488" s="2" t="str">
        <f t="shared" si="100"/>
        <v>OK</v>
      </c>
      <c r="E6488" s="4" t="s">
        <v>1994</v>
      </c>
    </row>
    <row r="6489" spans="1:5" x14ac:dyDescent="0.2">
      <c r="A6489" s="126">
        <v>6428</v>
      </c>
      <c r="B6489" s="1890"/>
      <c r="D6489" s="2" t="str">
        <f t="shared" si="100"/>
        <v>OK</v>
      </c>
      <c r="E6489" s="4" t="s">
        <v>1994</v>
      </c>
    </row>
    <row r="6490" spans="1:5" x14ac:dyDescent="0.2">
      <c r="A6490" s="126">
        <v>6429</v>
      </c>
      <c r="B6490" s="1890"/>
      <c r="D6490" s="2" t="str">
        <f t="shared" si="100"/>
        <v>OK</v>
      </c>
      <c r="E6490" s="4" t="s">
        <v>1994</v>
      </c>
    </row>
    <row r="6491" spans="1:5" x14ac:dyDescent="0.2">
      <c r="A6491" s="126">
        <v>6430</v>
      </c>
      <c r="B6491" s="1890"/>
      <c r="D6491" s="2" t="str">
        <f t="shared" si="100"/>
        <v>OK</v>
      </c>
      <c r="E6491" s="4" t="s">
        <v>1994</v>
      </c>
    </row>
    <row r="6492" spans="1:5" x14ac:dyDescent="0.2">
      <c r="A6492" s="126">
        <v>6431</v>
      </c>
      <c r="B6492" s="1890"/>
      <c r="D6492" s="2" t="str">
        <f t="shared" si="100"/>
        <v>OK</v>
      </c>
      <c r="E6492" s="4" t="s">
        <v>1994</v>
      </c>
    </row>
    <row r="6493" spans="1:5" x14ac:dyDescent="0.2">
      <c r="A6493" s="126">
        <v>6432</v>
      </c>
      <c r="B6493" s="1890"/>
      <c r="D6493" s="2" t="str">
        <f t="shared" si="100"/>
        <v>OK</v>
      </c>
      <c r="E6493" s="4" t="s">
        <v>1994</v>
      </c>
    </row>
    <row r="6494" spans="1:5" x14ac:dyDescent="0.2">
      <c r="A6494" s="126">
        <v>6433</v>
      </c>
      <c r="B6494" s="1890"/>
      <c r="D6494" s="2" t="str">
        <f t="shared" si="100"/>
        <v>OK</v>
      </c>
      <c r="E6494" s="4" t="s">
        <v>1994</v>
      </c>
    </row>
    <row r="6495" spans="1:5" x14ac:dyDescent="0.2">
      <c r="A6495" s="126">
        <v>6434</v>
      </c>
      <c r="B6495" s="1890"/>
      <c r="D6495" s="2" t="str">
        <f t="shared" si="100"/>
        <v>OK</v>
      </c>
      <c r="E6495" s="4" t="s">
        <v>1994</v>
      </c>
    </row>
    <row r="6496" spans="1:5" x14ac:dyDescent="0.2">
      <c r="A6496" s="126">
        <v>6435</v>
      </c>
      <c r="B6496" s="1890"/>
      <c r="D6496" s="2" t="str">
        <f t="shared" si="100"/>
        <v>OK</v>
      </c>
      <c r="E6496" s="4" t="s">
        <v>1994</v>
      </c>
    </row>
    <row r="6497" spans="1:5" x14ac:dyDescent="0.2">
      <c r="A6497" s="126">
        <v>6436</v>
      </c>
      <c r="B6497" s="1890"/>
      <c r="D6497" s="2" t="str">
        <f t="shared" si="100"/>
        <v>OK</v>
      </c>
      <c r="E6497" s="4" t="s">
        <v>1994</v>
      </c>
    </row>
    <row r="6498" spans="1:5" x14ac:dyDescent="0.2">
      <c r="A6498" s="126">
        <v>6437</v>
      </c>
      <c r="B6498" s="1890"/>
      <c r="D6498" s="2" t="str">
        <f t="shared" si="100"/>
        <v>OK</v>
      </c>
      <c r="E6498" s="4" t="s">
        <v>1994</v>
      </c>
    </row>
    <row r="6499" spans="1:5" x14ac:dyDescent="0.2">
      <c r="A6499" s="126">
        <v>6438</v>
      </c>
      <c r="B6499" s="1890"/>
      <c r="D6499" s="2" t="str">
        <f t="shared" si="100"/>
        <v>OK</v>
      </c>
      <c r="E6499" s="4" t="s">
        <v>1994</v>
      </c>
    </row>
    <row r="6500" spans="1:5" x14ac:dyDescent="0.2">
      <c r="A6500" s="126">
        <v>6439</v>
      </c>
      <c r="B6500" s="1890"/>
      <c r="D6500" s="2" t="str">
        <f t="shared" si="100"/>
        <v>OK</v>
      </c>
      <c r="E6500" s="4" t="s">
        <v>1994</v>
      </c>
    </row>
    <row r="6501" spans="1:5" x14ac:dyDescent="0.2">
      <c r="A6501" s="126">
        <v>6440</v>
      </c>
      <c r="B6501" s="1890"/>
      <c r="D6501" s="2" t="str">
        <f t="shared" si="100"/>
        <v>OK</v>
      </c>
      <c r="E6501" s="4" t="s">
        <v>1994</v>
      </c>
    </row>
    <row r="6502" spans="1:5" x14ac:dyDescent="0.2">
      <c r="A6502" s="126">
        <v>6441</v>
      </c>
      <c r="B6502" s="1890"/>
      <c r="D6502" s="2" t="str">
        <f t="shared" si="100"/>
        <v>OK</v>
      </c>
      <c r="E6502" s="4" t="s">
        <v>1994</v>
      </c>
    </row>
    <row r="6503" spans="1:5" x14ac:dyDescent="0.2">
      <c r="A6503" s="126">
        <v>6442</v>
      </c>
      <c r="B6503" s="1890"/>
      <c r="D6503" s="2" t="str">
        <f t="shared" si="100"/>
        <v>OK</v>
      </c>
      <c r="E6503" s="4" t="s">
        <v>1994</v>
      </c>
    </row>
    <row r="6504" spans="1:5" x14ac:dyDescent="0.2">
      <c r="A6504" s="126">
        <v>6443</v>
      </c>
      <c r="B6504" s="1890"/>
      <c r="D6504" s="2" t="str">
        <f t="shared" si="100"/>
        <v>OK</v>
      </c>
      <c r="E6504" s="4" t="s">
        <v>1994</v>
      </c>
    </row>
    <row r="6505" spans="1:5" x14ac:dyDescent="0.2">
      <c r="A6505" s="126">
        <v>6444</v>
      </c>
      <c r="B6505" s="1890"/>
      <c r="D6505" s="2" t="str">
        <f t="shared" si="100"/>
        <v>OK</v>
      </c>
      <c r="E6505" s="4" t="s">
        <v>1994</v>
      </c>
    </row>
    <row r="6506" spans="1:5" x14ac:dyDescent="0.2">
      <c r="A6506" s="126">
        <v>6445</v>
      </c>
      <c r="B6506" s="1890"/>
      <c r="D6506" s="2" t="str">
        <f t="shared" si="100"/>
        <v>OK</v>
      </c>
      <c r="E6506" s="4" t="s">
        <v>1994</v>
      </c>
    </row>
    <row r="6507" spans="1:5" x14ac:dyDescent="0.2">
      <c r="A6507" s="126">
        <v>6446</v>
      </c>
      <c r="B6507" s="1890"/>
      <c r="D6507" s="2" t="str">
        <f t="shared" si="100"/>
        <v>OK</v>
      </c>
      <c r="E6507" s="4" t="s">
        <v>1994</v>
      </c>
    </row>
    <row r="6508" spans="1:5" x14ac:dyDescent="0.2">
      <c r="A6508" s="126">
        <v>6447</v>
      </c>
      <c r="B6508" s="1890"/>
      <c r="D6508" s="2" t="str">
        <f t="shared" si="100"/>
        <v>OK</v>
      </c>
      <c r="E6508" s="4" t="s">
        <v>1994</v>
      </c>
    </row>
    <row r="6509" spans="1:5" x14ac:dyDescent="0.2">
      <c r="A6509" s="126">
        <v>6448</v>
      </c>
      <c r="B6509" s="1890"/>
      <c r="D6509" s="2" t="str">
        <f t="shared" si="100"/>
        <v>OK</v>
      </c>
      <c r="E6509" s="4" t="s">
        <v>1994</v>
      </c>
    </row>
    <row r="6510" spans="1:5" x14ac:dyDescent="0.2">
      <c r="A6510" s="126">
        <v>6449</v>
      </c>
      <c r="B6510" s="1890"/>
      <c r="D6510" s="2" t="str">
        <f t="shared" si="100"/>
        <v>OK</v>
      </c>
      <c r="E6510" s="4" t="s">
        <v>1994</v>
      </c>
    </row>
    <row r="6511" spans="1:5" x14ac:dyDescent="0.2">
      <c r="A6511" s="126">
        <v>6450</v>
      </c>
      <c r="B6511" s="1890"/>
      <c r="D6511" s="2" t="str">
        <f t="shared" si="100"/>
        <v>OK</v>
      </c>
      <c r="E6511" s="4" t="s">
        <v>1994</v>
      </c>
    </row>
    <row r="6512" spans="1:5" x14ac:dyDescent="0.2">
      <c r="A6512" s="126">
        <v>6451</v>
      </c>
      <c r="B6512" s="1890"/>
      <c r="D6512" s="2" t="str">
        <f t="shared" si="100"/>
        <v>OK</v>
      </c>
      <c r="E6512" s="4" t="s">
        <v>1994</v>
      </c>
    </row>
    <row r="6513" spans="1:5" x14ac:dyDescent="0.2">
      <c r="A6513" s="126">
        <v>6452</v>
      </c>
      <c r="B6513" s="1890"/>
      <c r="D6513" s="2" t="str">
        <f t="shared" si="100"/>
        <v>OK</v>
      </c>
      <c r="E6513" s="4" t="s">
        <v>1994</v>
      </c>
    </row>
    <row r="6514" spans="1:5" x14ac:dyDescent="0.2">
      <c r="A6514" s="126">
        <v>6453</v>
      </c>
      <c r="B6514" s="1890"/>
      <c r="D6514" s="2" t="str">
        <f t="shared" si="100"/>
        <v>OK</v>
      </c>
      <c r="E6514" s="4" t="s">
        <v>1994</v>
      </c>
    </row>
    <row r="6515" spans="1:5" x14ac:dyDescent="0.2">
      <c r="A6515" s="126">
        <v>6454</v>
      </c>
      <c r="B6515" s="1890"/>
      <c r="D6515" s="2" t="str">
        <f t="shared" si="100"/>
        <v>OK</v>
      </c>
      <c r="E6515" s="4" t="s">
        <v>1994</v>
      </c>
    </row>
    <row r="6516" spans="1:5" x14ac:dyDescent="0.2">
      <c r="A6516" s="126">
        <v>6455</v>
      </c>
      <c r="B6516" s="1890"/>
      <c r="D6516" s="2" t="str">
        <f t="shared" si="100"/>
        <v>OK</v>
      </c>
      <c r="E6516" s="4" t="s">
        <v>1994</v>
      </c>
    </row>
    <row r="6517" spans="1:5" x14ac:dyDescent="0.2">
      <c r="A6517" s="126">
        <v>6456</v>
      </c>
      <c r="B6517" s="1890"/>
      <c r="D6517" s="2" t="str">
        <f t="shared" si="100"/>
        <v>OK</v>
      </c>
      <c r="E6517" s="4" t="s">
        <v>1994</v>
      </c>
    </row>
    <row r="6518" spans="1:5" x14ac:dyDescent="0.2">
      <c r="A6518" s="126">
        <v>6457</v>
      </c>
      <c r="B6518" s="1890"/>
      <c r="D6518" s="2" t="str">
        <f t="shared" si="100"/>
        <v>OK</v>
      </c>
      <c r="E6518" s="4" t="s">
        <v>1994</v>
      </c>
    </row>
    <row r="6519" spans="1:5" x14ac:dyDescent="0.2">
      <c r="A6519" s="126">
        <v>6458</v>
      </c>
      <c r="B6519" s="1890"/>
      <c r="D6519" s="2" t="str">
        <f t="shared" si="100"/>
        <v>OK</v>
      </c>
      <c r="E6519" s="4" t="s">
        <v>1994</v>
      </c>
    </row>
    <row r="6520" spans="1:5" x14ac:dyDescent="0.2">
      <c r="A6520" s="126">
        <v>6459</v>
      </c>
      <c r="B6520" s="1890"/>
      <c r="D6520" s="2" t="str">
        <f t="shared" si="100"/>
        <v>OK</v>
      </c>
      <c r="E6520" s="4" t="s">
        <v>1994</v>
      </c>
    </row>
    <row r="6521" spans="1:5" x14ac:dyDescent="0.2">
      <c r="A6521" s="126">
        <v>6460</v>
      </c>
      <c r="B6521" s="1890"/>
      <c r="D6521" s="2" t="str">
        <f t="shared" si="100"/>
        <v>OK</v>
      </c>
      <c r="E6521" s="4" t="s">
        <v>1994</v>
      </c>
    </row>
    <row r="6522" spans="1:5" x14ac:dyDescent="0.2">
      <c r="A6522" s="126">
        <v>6461</v>
      </c>
      <c r="B6522" s="1890"/>
      <c r="D6522" s="2" t="str">
        <f t="shared" si="100"/>
        <v>OK</v>
      </c>
      <c r="E6522" s="4" t="s">
        <v>1994</v>
      </c>
    </row>
    <row r="6523" spans="1:5" x14ac:dyDescent="0.2">
      <c r="A6523" s="126">
        <v>6462</v>
      </c>
      <c r="B6523" s="1890"/>
      <c r="D6523" s="2" t="str">
        <f t="shared" si="100"/>
        <v>OK</v>
      </c>
      <c r="E6523" s="4" t="s">
        <v>1994</v>
      </c>
    </row>
    <row r="6524" spans="1:5" x14ac:dyDescent="0.2">
      <c r="A6524" s="126">
        <v>6463</v>
      </c>
      <c r="B6524" s="1890"/>
      <c r="D6524" s="2" t="str">
        <f t="shared" si="100"/>
        <v>OK</v>
      </c>
      <c r="E6524" s="4" t="s">
        <v>1994</v>
      </c>
    </row>
    <row r="6525" spans="1:5" x14ac:dyDescent="0.2">
      <c r="A6525" s="126">
        <v>6464</v>
      </c>
      <c r="B6525" s="1890"/>
      <c r="D6525" s="2" t="str">
        <f t="shared" si="100"/>
        <v>OK</v>
      </c>
      <c r="E6525" s="4" t="s">
        <v>1994</v>
      </c>
    </row>
    <row r="6526" spans="1:5" x14ac:dyDescent="0.2">
      <c r="A6526" s="126">
        <v>6465</v>
      </c>
      <c r="B6526" s="1890"/>
      <c r="D6526" s="2" t="str">
        <f t="shared" si="100"/>
        <v>OK</v>
      </c>
      <c r="E6526" s="4" t="s">
        <v>1994</v>
      </c>
    </row>
    <row r="6527" spans="1:5" x14ac:dyDescent="0.2">
      <c r="A6527" s="126">
        <v>6466</v>
      </c>
      <c r="B6527" s="1890"/>
      <c r="D6527" s="2" t="str">
        <f t="shared" ref="D6527:D6590" si="101">IF(ISBLANK(B6527),"OK",IF(A6527-B6527=0,"OK","Error?"))</f>
        <v>OK</v>
      </c>
      <c r="E6527" s="4" t="s">
        <v>1994</v>
      </c>
    </row>
    <row r="6528" spans="1:5" x14ac:dyDescent="0.2">
      <c r="A6528" s="126">
        <v>6467</v>
      </c>
      <c r="B6528" s="1890"/>
      <c r="D6528" s="2" t="str">
        <f t="shared" si="101"/>
        <v>OK</v>
      </c>
      <c r="E6528" s="4" t="s">
        <v>1994</v>
      </c>
    </row>
    <row r="6529" spans="1:5" x14ac:dyDescent="0.2">
      <c r="A6529" s="126">
        <v>6468</v>
      </c>
      <c r="B6529" s="1890"/>
      <c r="D6529" s="2" t="str">
        <f t="shared" si="101"/>
        <v>OK</v>
      </c>
      <c r="E6529" s="4" t="s">
        <v>1994</v>
      </c>
    </row>
    <row r="6530" spans="1:5" x14ac:dyDescent="0.2">
      <c r="A6530" s="126">
        <v>6469</v>
      </c>
      <c r="B6530" s="1890"/>
      <c r="D6530" s="2" t="str">
        <f t="shared" si="101"/>
        <v>OK</v>
      </c>
      <c r="E6530" s="4" t="s">
        <v>1994</v>
      </c>
    </row>
    <row r="6531" spans="1:5" x14ac:dyDescent="0.2">
      <c r="A6531" s="126">
        <v>6470</v>
      </c>
      <c r="B6531" s="1890"/>
      <c r="D6531" s="2" t="str">
        <f t="shared" si="101"/>
        <v>OK</v>
      </c>
      <c r="E6531" s="4" t="s">
        <v>1994</v>
      </c>
    </row>
    <row r="6532" spans="1:5" x14ac:dyDescent="0.2">
      <c r="A6532" s="126">
        <v>6471</v>
      </c>
      <c r="B6532" s="1890"/>
      <c r="D6532" s="2" t="str">
        <f t="shared" si="101"/>
        <v>OK</v>
      </c>
      <c r="E6532" s="4" t="s">
        <v>1994</v>
      </c>
    </row>
    <row r="6533" spans="1:5" x14ac:dyDescent="0.2">
      <c r="A6533" s="126">
        <v>6472</v>
      </c>
      <c r="B6533" s="1890"/>
      <c r="D6533" s="2" t="str">
        <f t="shared" si="101"/>
        <v>OK</v>
      </c>
      <c r="E6533" s="4" t="s">
        <v>1994</v>
      </c>
    </row>
    <row r="6534" spans="1:5" x14ac:dyDescent="0.2">
      <c r="A6534" s="126">
        <v>6473</v>
      </c>
      <c r="B6534" s="1890"/>
      <c r="D6534" s="2" t="str">
        <f t="shared" si="101"/>
        <v>OK</v>
      </c>
      <c r="E6534" s="4" t="s">
        <v>1994</v>
      </c>
    </row>
    <row r="6535" spans="1:5" x14ac:dyDescent="0.2">
      <c r="A6535" s="126">
        <v>6474</v>
      </c>
      <c r="B6535" s="1890"/>
      <c r="D6535" s="2" t="str">
        <f t="shared" si="101"/>
        <v>OK</v>
      </c>
      <c r="E6535" s="4" t="s">
        <v>1994</v>
      </c>
    </row>
    <row r="6536" spans="1:5" x14ac:dyDescent="0.2">
      <c r="A6536" s="126">
        <v>6475</v>
      </c>
      <c r="B6536" s="1890"/>
      <c r="D6536" s="2" t="str">
        <f t="shared" si="101"/>
        <v>OK</v>
      </c>
      <c r="E6536" s="4" t="s">
        <v>1994</v>
      </c>
    </row>
    <row r="6537" spans="1:5" x14ac:dyDescent="0.2">
      <c r="A6537" s="126">
        <v>6476</v>
      </c>
      <c r="B6537" s="1890"/>
      <c r="D6537" s="2" t="str">
        <f t="shared" si="101"/>
        <v>OK</v>
      </c>
      <c r="E6537" s="4" t="s">
        <v>1994</v>
      </c>
    </row>
    <row r="6538" spans="1:5" x14ac:dyDescent="0.2">
      <c r="A6538" s="126">
        <v>6477</v>
      </c>
      <c r="B6538" s="1890"/>
      <c r="D6538" s="2" t="str">
        <f t="shared" si="101"/>
        <v>OK</v>
      </c>
      <c r="E6538" s="4" t="s">
        <v>1994</v>
      </c>
    </row>
    <row r="6539" spans="1:5" x14ac:dyDescent="0.2">
      <c r="A6539" s="126">
        <v>6478</v>
      </c>
      <c r="B6539" s="1890"/>
      <c r="D6539" s="2" t="str">
        <f t="shared" si="101"/>
        <v>OK</v>
      </c>
      <c r="E6539" s="4" t="s">
        <v>1994</v>
      </c>
    </row>
    <row r="6540" spans="1:5" x14ac:dyDescent="0.2">
      <c r="A6540" s="126">
        <v>6479</v>
      </c>
      <c r="B6540" s="1890"/>
      <c r="D6540" s="2" t="str">
        <f t="shared" si="101"/>
        <v>OK</v>
      </c>
      <c r="E6540" s="4" t="s">
        <v>1994</v>
      </c>
    </row>
    <row r="6541" spans="1:5" x14ac:dyDescent="0.2">
      <c r="A6541" s="126">
        <v>6480</v>
      </c>
      <c r="B6541" s="1890"/>
      <c r="D6541" s="2" t="str">
        <f t="shared" si="101"/>
        <v>OK</v>
      </c>
      <c r="E6541" s="4" t="s">
        <v>1994</v>
      </c>
    </row>
    <row r="6542" spans="1:5" x14ac:dyDescent="0.2">
      <c r="A6542" s="126">
        <v>6481</v>
      </c>
      <c r="B6542" s="1890"/>
      <c r="D6542" s="2" t="str">
        <f t="shared" si="101"/>
        <v>OK</v>
      </c>
      <c r="E6542" s="4" t="s">
        <v>1994</v>
      </c>
    </row>
    <row r="6543" spans="1:5" x14ac:dyDescent="0.2">
      <c r="A6543" s="126">
        <v>6482</v>
      </c>
      <c r="B6543" s="1890"/>
      <c r="D6543" s="2" t="str">
        <f t="shared" si="101"/>
        <v>OK</v>
      </c>
      <c r="E6543" s="4" t="s">
        <v>1994</v>
      </c>
    </row>
    <row r="6544" spans="1:5" x14ac:dyDescent="0.2">
      <c r="A6544" s="126">
        <v>6483</v>
      </c>
      <c r="B6544" s="1890"/>
      <c r="D6544" s="2" t="str">
        <f t="shared" si="101"/>
        <v>OK</v>
      </c>
      <c r="E6544" s="4" t="s">
        <v>1994</v>
      </c>
    </row>
    <row r="6545" spans="1:5" x14ac:dyDescent="0.2">
      <c r="A6545" s="126">
        <v>6484</v>
      </c>
      <c r="B6545" s="1890"/>
      <c r="D6545" s="2" t="str">
        <f t="shared" si="101"/>
        <v>OK</v>
      </c>
      <c r="E6545" s="4" t="s">
        <v>1994</v>
      </c>
    </row>
    <row r="6546" spans="1:5" x14ac:dyDescent="0.2">
      <c r="A6546" s="126">
        <v>6485</v>
      </c>
      <c r="B6546" s="1890"/>
      <c r="D6546" s="2" t="str">
        <f t="shared" si="101"/>
        <v>OK</v>
      </c>
      <c r="E6546" s="4" t="s">
        <v>1994</v>
      </c>
    </row>
    <row r="6547" spans="1:5" x14ac:dyDescent="0.2">
      <c r="A6547" s="126">
        <v>6486</v>
      </c>
      <c r="B6547" s="1890"/>
      <c r="D6547" s="2" t="str">
        <f t="shared" si="101"/>
        <v>OK</v>
      </c>
      <c r="E6547" s="4" t="s">
        <v>1994</v>
      </c>
    </row>
    <row r="6548" spans="1:5" x14ac:dyDescent="0.2">
      <c r="A6548" s="126">
        <v>6487</v>
      </c>
      <c r="B6548" s="1890"/>
      <c r="D6548" s="2" t="str">
        <f t="shared" si="101"/>
        <v>OK</v>
      </c>
      <c r="E6548" s="4" t="s">
        <v>1994</v>
      </c>
    </row>
    <row r="6549" spans="1:5" x14ac:dyDescent="0.2">
      <c r="A6549" s="126">
        <v>6488</v>
      </c>
      <c r="B6549" s="1890"/>
      <c r="D6549" s="2" t="str">
        <f t="shared" si="101"/>
        <v>OK</v>
      </c>
      <c r="E6549" s="4" t="s">
        <v>1994</v>
      </c>
    </row>
    <row r="6550" spans="1:5" x14ac:dyDescent="0.2">
      <c r="A6550" s="126">
        <v>6489</v>
      </c>
      <c r="B6550" s="1890"/>
      <c r="D6550" s="2" t="str">
        <f t="shared" si="101"/>
        <v>OK</v>
      </c>
      <c r="E6550" s="4" t="s">
        <v>1994</v>
      </c>
    </row>
    <row r="6551" spans="1:5" x14ac:dyDescent="0.2">
      <c r="A6551" s="126">
        <v>6490</v>
      </c>
      <c r="B6551" s="1890"/>
      <c r="D6551" s="2" t="str">
        <f t="shared" si="101"/>
        <v>OK</v>
      </c>
      <c r="E6551" s="4" t="s">
        <v>1994</v>
      </c>
    </row>
    <row r="6552" spans="1:5" x14ac:dyDescent="0.2">
      <c r="A6552" s="126">
        <v>6491</v>
      </c>
      <c r="B6552" s="1890"/>
      <c r="D6552" s="2" t="str">
        <f t="shared" si="101"/>
        <v>OK</v>
      </c>
      <c r="E6552" s="4" t="s">
        <v>1994</v>
      </c>
    </row>
    <row r="6553" spans="1:5" x14ac:dyDescent="0.2">
      <c r="A6553" s="126">
        <v>6492</v>
      </c>
      <c r="B6553" s="1890"/>
      <c r="D6553" s="2" t="str">
        <f t="shared" si="101"/>
        <v>OK</v>
      </c>
      <c r="E6553" s="4" t="s">
        <v>1994</v>
      </c>
    </row>
    <row r="6554" spans="1:5" x14ac:dyDescent="0.2">
      <c r="A6554" s="126">
        <v>6493</v>
      </c>
      <c r="B6554" s="1890"/>
      <c r="D6554" s="2" t="str">
        <f t="shared" si="101"/>
        <v>OK</v>
      </c>
      <c r="E6554" s="4" t="s">
        <v>1994</v>
      </c>
    </row>
    <row r="6555" spans="1:5" x14ac:dyDescent="0.2">
      <c r="A6555" s="126">
        <v>6494</v>
      </c>
      <c r="B6555" s="1890"/>
      <c r="D6555" s="2" t="str">
        <f t="shared" si="101"/>
        <v>OK</v>
      </c>
      <c r="E6555" s="4" t="s">
        <v>1994</v>
      </c>
    </row>
    <row r="6556" spans="1:5" x14ac:dyDescent="0.2">
      <c r="A6556" s="126">
        <v>6495</v>
      </c>
      <c r="B6556" s="1890"/>
      <c r="D6556" s="2" t="str">
        <f t="shared" si="101"/>
        <v>OK</v>
      </c>
      <c r="E6556" s="4" t="s">
        <v>1994</v>
      </c>
    </row>
    <row r="6557" spans="1:5" x14ac:dyDescent="0.2">
      <c r="A6557" s="126">
        <v>6496</v>
      </c>
      <c r="B6557" s="1890"/>
      <c r="D6557" s="2" t="str">
        <f t="shared" si="101"/>
        <v>OK</v>
      </c>
      <c r="E6557" s="4" t="s">
        <v>1994</v>
      </c>
    </row>
    <row r="6558" spans="1:5" x14ac:dyDescent="0.2">
      <c r="A6558" s="126">
        <v>6497</v>
      </c>
      <c r="B6558" s="1890"/>
      <c r="D6558" s="2" t="str">
        <f t="shared" si="101"/>
        <v>OK</v>
      </c>
      <c r="E6558" s="4" t="s">
        <v>1994</v>
      </c>
    </row>
    <row r="6559" spans="1:5" x14ac:dyDescent="0.2">
      <c r="A6559" s="126">
        <v>6498</v>
      </c>
      <c r="B6559" s="1890"/>
      <c r="D6559" s="2" t="str">
        <f t="shared" si="101"/>
        <v>OK</v>
      </c>
      <c r="E6559" s="4" t="s">
        <v>1994</v>
      </c>
    </row>
    <row r="6560" spans="1:5" x14ac:dyDescent="0.2">
      <c r="A6560" s="126">
        <v>6499</v>
      </c>
      <c r="B6560" s="1890"/>
      <c r="D6560" s="2" t="str">
        <f t="shared" si="101"/>
        <v>OK</v>
      </c>
      <c r="E6560" s="4" t="s">
        <v>1994</v>
      </c>
    </row>
    <row r="6561" spans="1:5" x14ac:dyDescent="0.2">
      <c r="A6561" s="126">
        <v>6500</v>
      </c>
      <c r="B6561" s="1890"/>
      <c r="D6561" s="2" t="str">
        <f t="shared" si="101"/>
        <v>OK</v>
      </c>
      <c r="E6561" s="4" t="s">
        <v>1994</v>
      </c>
    </row>
    <row r="6562" spans="1:5" x14ac:dyDescent="0.2">
      <c r="A6562" s="126">
        <v>6501</v>
      </c>
      <c r="B6562" s="1890"/>
      <c r="D6562" s="2" t="str">
        <f t="shared" si="101"/>
        <v>OK</v>
      </c>
      <c r="E6562" s="4" t="s">
        <v>1994</v>
      </c>
    </row>
    <row r="6563" spans="1:5" x14ac:dyDescent="0.2">
      <c r="A6563" s="126">
        <v>6502</v>
      </c>
      <c r="B6563" s="1890"/>
      <c r="D6563" s="2" t="str">
        <f t="shared" si="101"/>
        <v>OK</v>
      </c>
      <c r="E6563" s="4" t="s">
        <v>1994</v>
      </c>
    </row>
    <row r="6564" spans="1:5" x14ac:dyDescent="0.2">
      <c r="A6564" s="126">
        <v>6503</v>
      </c>
      <c r="B6564" s="1890"/>
      <c r="D6564" s="2" t="str">
        <f t="shared" si="101"/>
        <v>OK</v>
      </c>
      <c r="E6564" s="4" t="s">
        <v>1994</v>
      </c>
    </row>
    <row r="6565" spans="1:5" x14ac:dyDescent="0.2">
      <c r="A6565" s="126">
        <v>6504</v>
      </c>
      <c r="B6565" s="1890"/>
      <c r="D6565" s="2" t="str">
        <f t="shared" si="101"/>
        <v>OK</v>
      </c>
      <c r="E6565" s="4" t="s">
        <v>1994</v>
      </c>
    </row>
    <row r="6566" spans="1:5" x14ac:dyDescent="0.2">
      <c r="A6566" s="126">
        <v>6505</v>
      </c>
      <c r="B6566" s="1890"/>
      <c r="D6566" s="2" t="str">
        <f t="shared" si="101"/>
        <v>OK</v>
      </c>
      <c r="E6566" s="4" t="s">
        <v>1994</v>
      </c>
    </row>
    <row r="6567" spans="1:5" x14ac:dyDescent="0.2">
      <c r="A6567" s="126">
        <v>6506</v>
      </c>
      <c r="B6567" s="1890"/>
      <c r="D6567" s="2" t="str">
        <f t="shared" si="101"/>
        <v>OK</v>
      </c>
      <c r="E6567" s="4" t="s">
        <v>1994</v>
      </c>
    </row>
    <row r="6568" spans="1:5" x14ac:dyDescent="0.2">
      <c r="A6568" s="126">
        <v>6507</v>
      </c>
      <c r="B6568" s="1890"/>
      <c r="D6568" s="2" t="str">
        <f t="shared" si="101"/>
        <v>OK</v>
      </c>
      <c r="E6568" s="4" t="s">
        <v>1994</v>
      </c>
    </row>
    <row r="6569" spans="1:5" x14ac:dyDescent="0.2">
      <c r="A6569" s="126">
        <v>6508</v>
      </c>
      <c r="B6569" s="1890"/>
      <c r="D6569" s="2" t="str">
        <f t="shared" si="101"/>
        <v>OK</v>
      </c>
      <c r="E6569" s="4" t="s">
        <v>1994</v>
      </c>
    </row>
    <row r="6570" spans="1:5" x14ac:dyDescent="0.2">
      <c r="A6570" s="126">
        <v>6509</v>
      </c>
      <c r="B6570" s="1890"/>
      <c r="D6570" s="2" t="str">
        <f t="shared" si="101"/>
        <v>OK</v>
      </c>
      <c r="E6570" s="4" t="s">
        <v>1994</v>
      </c>
    </row>
    <row r="6571" spans="1:5" x14ac:dyDescent="0.2">
      <c r="A6571" s="126">
        <v>6510</v>
      </c>
      <c r="B6571" s="1890"/>
      <c r="D6571" s="2" t="str">
        <f t="shared" si="101"/>
        <v>OK</v>
      </c>
      <c r="E6571" s="4" t="s">
        <v>1994</v>
      </c>
    </row>
    <row r="6572" spans="1:5" x14ac:dyDescent="0.2">
      <c r="A6572" s="126">
        <v>6511</v>
      </c>
      <c r="B6572" s="1890"/>
      <c r="D6572" s="2" t="str">
        <f t="shared" si="101"/>
        <v>OK</v>
      </c>
      <c r="E6572" s="4" t="s">
        <v>1994</v>
      </c>
    </row>
    <row r="6573" spans="1:5" x14ac:dyDescent="0.2">
      <c r="A6573" s="126">
        <v>6512</v>
      </c>
      <c r="B6573" s="1890"/>
      <c r="D6573" s="2" t="str">
        <f t="shared" si="101"/>
        <v>OK</v>
      </c>
      <c r="E6573" s="4" t="s">
        <v>1994</v>
      </c>
    </row>
    <row r="6574" spans="1:5" x14ac:dyDescent="0.2">
      <c r="A6574" s="126">
        <v>6513</v>
      </c>
      <c r="B6574" s="1890"/>
      <c r="D6574" s="2" t="str">
        <f t="shared" si="101"/>
        <v>OK</v>
      </c>
      <c r="E6574" s="4" t="s">
        <v>1994</v>
      </c>
    </row>
    <row r="6575" spans="1:5" x14ac:dyDescent="0.2">
      <c r="A6575" s="126">
        <v>6514</v>
      </c>
      <c r="B6575" s="1890"/>
      <c r="D6575" s="2" t="str">
        <f t="shared" si="101"/>
        <v>OK</v>
      </c>
      <c r="E6575" s="4" t="s">
        <v>1994</v>
      </c>
    </row>
    <row r="6576" spans="1:5" x14ac:dyDescent="0.2">
      <c r="A6576" s="126">
        <v>6515</v>
      </c>
      <c r="B6576" s="1890"/>
      <c r="D6576" s="2" t="str">
        <f t="shared" si="101"/>
        <v>OK</v>
      </c>
      <c r="E6576" s="4" t="s">
        <v>1994</v>
      </c>
    </row>
    <row r="6577" spans="1:5" x14ac:dyDescent="0.2">
      <c r="A6577" s="126">
        <v>6516</v>
      </c>
      <c r="B6577" s="1890"/>
      <c r="D6577" s="2" t="str">
        <f t="shared" si="101"/>
        <v>OK</v>
      </c>
      <c r="E6577" s="4" t="s">
        <v>1994</v>
      </c>
    </row>
    <row r="6578" spans="1:5" x14ac:dyDescent="0.2">
      <c r="A6578" s="126">
        <v>6517</v>
      </c>
      <c r="B6578" s="1890"/>
      <c r="D6578" s="2" t="str">
        <f t="shared" si="101"/>
        <v>OK</v>
      </c>
      <c r="E6578" s="4" t="s">
        <v>1994</v>
      </c>
    </row>
    <row r="6579" spans="1:5" x14ac:dyDescent="0.2">
      <c r="A6579" s="126">
        <v>6518</v>
      </c>
      <c r="B6579" s="1890"/>
      <c r="D6579" s="2" t="str">
        <f t="shared" si="101"/>
        <v>OK</v>
      </c>
      <c r="E6579" s="4" t="s">
        <v>1994</v>
      </c>
    </row>
    <row r="6580" spans="1:5" x14ac:dyDescent="0.2">
      <c r="A6580" s="126">
        <v>6519</v>
      </c>
      <c r="B6580" s="1890"/>
      <c r="D6580" s="2" t="str">
        <f t="shared" si="101"/>
        <v>OK</v>
      </c>
      <c r="E6580" s="4" t="s">
        <v>1994</v>
      </c>
    </row>
    <row r="6581" spans="1:5" x14ac:dyDescent="0.2">
      <c r="A6581" s="126">
        <v>6520</v>
      </c>
      <c r="B6581" s="1890"/>
      <c r="D6581" s="2" t="str">
        <f t="shared" si="101"/>
        <v>OK</v>
      </c>
      <c r="E6581" s="4" t="s">
        <v>1994</v>
      </c>
    </row>
    <row r="6582" spans="1:5" x14ac:dyDescent="0.2">
      <c r="A6582" s="126">
        <v>6521</v>
      </c>
      <c r="B6582" s="1890"/>
      <c r="D6582" s="2" t="str">
        <f t="shared" si="101"/>
        <v>OK</v>
      </c>
      <c r="E6582" s="4" t="s">
        <v>1994</v>
      </c>
    </row>
    <row r="6583" spans="1:5" x14ac:dyDescent="0.2">
      <c r="A6583" s="126">
        <v>6522</v>
      </c>
      <c r="B6583" s="1890"/>
      <c r="D6583" s="2" t="str">
        <f t="shared" si="101"/>
        <v>OK</v>
      </c>
      <c r="E6583" s="4" t="s">
        <v>1994</v>
      </c>
    </row>
    <row r="6584" spans="1:5" x14ac:dyDescent="0.2">
      <c r="A6584" s="126">
        <v>6523</v>
      </c>
      <c r="B6584" s="1890"/>
      <c r="D6584" s="2" t="str">
        <f t="shared" si="101"/>
        <v>OK</v>
      </c>
      <c r="E6584" s="4" t="s">
        <v>1994</v>
      </c>
    </row>
    <row r="6585" spans="1:5" x14ac:dyDescent="0.2">
      <c r="A6585" s="126">
        <v>6524</v>
      </c>
      <c r="B6585" s="1890"/>
      <c r="D6585" s="2" t="str">
        <f t="shared" si="101"/>
        <v>OK</v>
      </c>
      <c r="E6585" s="4" t="s">
        <v>1994</v>
      </c>
    </row>
    <row r="6586" spans="1:5" x14ac:dyDescent="0.2">
      <c r="A6586" s="126">
        <v>6525</v>
      </c>
      <c r="B6586" s="1890"/>
      <c r="D6586" s="2" t="str">
        <f t="shared" si="101"/>
        <v>OK</v>
      </c>
      <c r="E6586" s="4" t="s">
        <v>1994</v>
      </c>
    </row>
    <row r="6587" spans="1:5" x14ac:dyDescent="0.2">
      <c r="A6587" s="126">
        <v>6526</v>
      </c>
      <c r="B6587" s="1890"/>
      <c r="D6587" s="2" t="str">
        <f t="shared" si="101"/>
        <v>OK</v>
      </c>
      <c r="E6587" s="4" t="s">
        <v>1994</v>
      </c>
    </row>
    <row r="6588" spans="1:5" x14ac:dyDescent="0.2">
      <c r="A6588" s="126">
        <v>6527</v>
      </c>
      <c r="B6588" s="1890"/>
      <c r="D6588" s="2" t="str">
        <f t="shared" si="101"/>
        <v>OK</v>
      </c>
      <c r="E6588" s="4" t="s">
        <v>1994</v>
      </c>
    </row>
    <row r="6589" spans="1:5" x14ac:dyDescent="0.2">
      <c r="A6589" s="126">
        <v>6528</v>
      </c>
      <c r="B6589" s="1890"/>
      <c r="D6589" s="2" t="str">
        <f t="shared" si="101"/>
        <v>OK</v>
      </c>
      <c r="E6589" s="4" t="s">
        <v>1994</v>
      </c>
    </row>
    <row r="6590" spans="1:5" x14ac:dyDescent="0.2">
      <c r="A6590" s="126">
        <v>6529</v>
      </c>
      <c r="B6590" s="1890"/>
      <c r="D6590" s="2" t="str">
        <f t="shared" si="101"/>
        <v>OK</v>
      </c>
      <c r="E6590" s="4" t="s">
        <v>1994</v>
      </c>
    </row>
    <row r="6591" spans="1:5" x14ac:dyDescent="0.2">
      <c r="A6591" s="126">
        <v>6530</v>
      </c>
      <c r="B6591" s="1890"/>
      <c r="D6591" s="2" t="str">
        <f t="shared" ref="D6591:D6654" si="102">IF(ISBLANK(B6591),"OK",IF(A6591-B6591=0,"OK","Error?"))</f>
        <v>OK</v>
      </c>
      <c r="E6591" s="4" t="s">
        <v>1994</v>
      </c>
    </row>
    <row r="6592" spans="1:5" x14ac:dyDescent="0.2">
      <c r="A6592" s="126">
        <v>6531</v>
      </c>
      <c r="B6592" s="1890"/>
      <c r="D6592" s="2" t="str">
        <f t="shared" si="102"/>
        <v>OK</v>
      </c>
      <c r="E6592" s="4" t="s">
        <v>1994</v>
      </c>
    </row>
    <row r="6593" spans="1:5" x14ac:dyDescent="0.2">
      <c r="A6593" s="126">
        <v>6532</v>
      </c>
      <c r="B6593" s="1890"/>
      <c r="D6593" s="2" t="str">
        <f t="shared" si="102"/>
        <v>OK</v>
      </c>
      <c r="E6593" s="4" t="s">
        <v>1994</v>
      </c>
    </row>
    <row r="6594" spans="1:5" x14ac:dyDescent="0.2">
      <c r="A6594" s="126">
        <v>6533</v>
      </c>
      <c r="B6594" s="1890"/>
      <c r="D6594" s="2" t="str">
        <f t="shared" si="102"/>
        <v>OK</v>
      </c>
      <c r="E6594" s="4" t="s">
        <v>1994</v>
      </c>
    </row>
    <row r="6595" spans="1:5" x14ac:dyDescent="0.2">
      <c r="A6595" s="126">
        <v>6534</v>
      </c>
      <c r="B6595" s="1890"/>
      <c r="D6595" s="2" t="str">
        <f t="shared" si="102"/>
        <v>OK</v>
      </c>
      <c r="E6595" s="4" t="s">
        <v>1994</v>
      </c>
    </row>
    <row r="6596" spans="1:5" x14ac:dyDescent="0.2">
      <c r="A6596" s="126">
        <v>6535</v>
      </c>
      <c r="B6596" s="1890"/>
      <c r="D6596" s="2" t="str">
        <f t="shared" si="102"/>
        <v>OK</v>
      </c>
      <c r="E6596" s="4" t="s">
        <v>1994</v>
      </c>
    </row>
    <row r="6597" spans="1:5" x14ac:dyDescent="0.2">
      <c r="A6597" s="126">
        <v>6536</v>
      </c>
      <c r="B6597" s="1890"/>
      <c r="D6597" s="2" t="str">
        <f t="shared" si="102"/>
        <v>OK</v>
      </c>
      <c r="E6597" s="4" t="s">
        <v>1994</v>
      </c>
    </row>
    <row r="6598" spans="1:5" x14ac:dyDescent="0.2">
      <c r="A6598" s="126">
        <v>6537</v>
      </c>
      <c r="B6598" s="1890"/>
      <c r="D6598" s="2" t="str">
        <f t="shared" si="102"/>
        <v>OK</v>
      </c>
      <c r="E6598" s="4" t="s">
        <v>1994</v>
      </c>
    </row>
    <row r="6599" spans="1:5" x14ac:dyDescent="0.2">
      <c r="A6599" s="126">
        <v>6538</v>
      </c>
      <c r="B6599" s="1890"/>
      <c r="D6599" s="2" t="str">
        <f t="shared" si="102"/>
        <v>OK</v>
      </c>
      <c r="E6599" s="4" t="s">
        <v>1994</v>
      </c>
    </row>
    <row r="6600" spans="1:5" x14ac:dyDescent="0.2">
      <c r="A6600" s="126">
        <v>6539</v>
      </c>
      <c r="B6600" s="1890"/>
      <c r="D6600" s="2" t="str">
        <f t="shared" si="102"/>
        <v>OK</v>
      </c>
      <c r="E6600" s="4" t="s">
        <v>1994</v>
      </c>
    </row>
    <row r="6601" spans="1:5" x14ac:dyDescent="0.2">
      <c r="A6601" s="126">
        <v>6540</v>
      </c>
      <c r="B6601" s="1890"/>
      <c r="D6601" s="2" t="str">
        <f t="shared" si="102"/>
        <v>OK</v>
      </c>
      <c r="E6601" s="4" t="s">
        <v>1994</v>
      </c>
    </row>
    <row r="6602" spans="1:5" x14ac:dyDescent="0.2">
      <c r="A6602" s="126">
        <v>6541</v>
      </c>
      <c r="B6602" s="1890"/>
      <c r="D6602" s="2" t="str">
        <f t="shared" si="102"/>
        <v>OK</v>
      </c>
      <c r="E6602" s="4" t="s">
        <v>1994</v>
      </c>
    </row>
    <row r="6603" spans="1:5" x14ac:dyDescent="0.2">
      <c r="A6603" s="126">
        <v>6542</v>
      </c>
      <c r="B6603" s="1890"/>
      <c r="D6603" s="2" t="str">
        <f t="shared" si="102"/>
        <v>OK</v>
      </c>
      <c r="E6603" s="4" t="s">
        <v>1994</v>
      </c>
    </row>
    <row r="6604" spans="1:5" x14ac:dyDescent="0.2">
      <c r="A6604" s="126">
        <v>6543</v>
      </c>
      <c r="B6604" s="1890"/>
      <c r="D6604" s="2" t="str">
        <f t="shared" si="102"/>
        <v>OK</v>
      </c>
      <c r="E6604" s="4" t="s">
        <v>1994</v>
      </c>
    </row>
    <row r="6605" spans="1:5" x14ac:dyDescent="0.2">
      <c r="A6605" s="126">
        <v>6544</v>
      </c>
      <c r="B6605" s="1890"/>
      <c r="D6605" s="2" t="str">
        <f t="shared" si="102"/>
        <v>OK</v>
      </c>
      <c r="E6605" s="4" t="s">
        <v>1994</v>
      </c>
    </row>
    <row r="6606" spans="1:5" x14ac:dyDescent="0.2">
      <c r="A6606" s="126">
        <v>6545</v>
      </c>
      <c r="B6606" s="1890"/>
      <c r="D6606" s="2" t="str">
        <f t="shared" si="102"/>
        <v>OK</v>
      </c>
      <c r="E6606" s="4" t="s">
        <v>1994</v>
      </c>
    </row>
    <row r="6607" spans="1:5" x14ac:dyDescent="0.2">
      <c r="A6607" s="126">
        <v>6546</v>
      </c>
      <c r="B6607" s="1890"/>
      <c r="D6607" s="2" t="str">
        <f t="shared" si="102"/>
        <v>OK</v>
      </c>
      <c r="E6607" s="4" t="s">
        <v>1994</v>
      </c>
    </row>
    <row r="6608" spans="1:5" x14ac:dyDescent="0.2">
      <c r="A6608" s="126">
        <v>6547</v>
      </c>
      <c r="B6608" s="1890"/>
      <c r="D6608" s="2" t="str">
        <f t="shared" si="102"/>
        <v>OK</v>
      </c>
      <c r="E6608" s="4" t="s">
        <v>1994</v>
      </c>
    </row>
    <row r="6609" spans="1:5" x14ac:dyDescent="0.2">
      <c r="A6609" s="126">
        <v>6548</v>
      </c>
      <c r="B6609" s="1890"/>
      <c r="D6609" s="2" t="str">
        <f t="shared" si="102"/>
        <v>OK</v>
      </c>
      <c r="E6609" s="4" t="s">
        <v>1994</v>
      </c>
    </row>
    <row r="6610" spans="1:5" x14ac:dyDescent="0.2">
      <c r="A6610" s="126">
        <v>6549</v>
      </c>
      <c r="B6610" s="1890"/>
      <c r="D6610" s="2" t="str">
        <f t="shared" si="102"/>
        <v>OK</v>
      </c>
      <c r="E6610" s="4" t="s">
        <v>1994</v>
      </c>
    </row>
    <row r="6611" spans="1:5" x14ac:dyDescent="0.2">
      <c r="A6611" s="126">
        <v>6550</v>
      </c>
      <c r="B6611" s="1890"/>
      <c r="D6611" s="2" t="str">
        <f t="shared" si="102"/>
        <v>OK</v>
      </c>
      <c r="E6611" s="4" t="s">
        <v>1994</v>
      </c>
    </row>
    <row r="6612" spans="1:5" x14ac:dyDescent="0.2">
      <c r="A6612" s="126">
        <v>6551</v>
      </c>
      <c r="B6612" s="1890"/>
      <c r="D6612" s="2" t="str">
        <f t="shared" si="102"/>
        <v>OK</v>
      </c>
      <c r="E6612" s="4" t="s">
        <v>1994</v>
      </c>
    </row>
    <row r="6613" spans="1:5" x14ac:dyDescent="0.2">
      <c r="A6613" s="126">
        <v>6552</v>
      </c>
      <c r="B6613" s="1890"/>
      <c r="D6613" s="2" t="str">
        <f t="shared" si="102"/>
        <v>OK</v>
      </c>
      <c r="E6613" s="4" t="s">
        <v>1994</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1898</v>
      </c>
    </row>
    <row r="6842" spans="1:5" x14ac:dyDescent="0.2">
      <c r="A6842" s="126">
        <v>6781</v>
      </c>
      <c r="B6842" s="1890"/>
      <c r="D6842" s="2" t="str">
        <f t="shared" si="105"/>
        <v>OK</v>
      </c>
      <c r="E6842" s="1" t="s">
        <v>1898</v>
      </c>
    </row>
    <row r="6843" spans="1:5" x14ac:dyDescent="0.2">
      <c r="A6843" s="126">
        <v>6782</v>
      </c>
      <c r="B6843" s="1890"/>
      <c r="D6843" s="2" t="str">
        <f t="shared" si="105"/>
        <v>OK</v>
      </c>
      <c r="E6843" s="1" t="s">
        <v>1898</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1205</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1205</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1205</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1205</v>
      </c>
      <c r="D7624" s="2" t="str">
        <f t="shared" si="124"/>
        <v>Error?</v>
      </c>
      <c r="E7624" s="2" t="s">
        <v>19</v>
      </c>
    </row>
    <row r="7625" spans="1:5" x14ac:dyDescent="0.2">
      <c r="A7625">
        <f t="shared" si="123"/>
        <v>7564</v>
      </c>
      <c r="B7625" s="1890">
        <f>'Cap Outlay Deprec 26'!I17</f>
        <v>120.5</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94933.5</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1995</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1995</v>
      </c>
    </row>
    <row r="7641" spans="1:6" x14ac:dyDescent="0.2">
      <c r="A7641" s="126">
        <f t="shared" si="125"/>
        <v>7580</v>
      </c>
      <c r="B7641" s="1891"/>
      <c r="D7641" s="2" t="str">
        <f t="shared" si="124"/>
        <v>OK</v>
      </c>
      <c r="E7641" s="4" t="s">
        <v>1995</v>
      </c>
    </row>
    <row r="7642" spans="1:6" x14ac:dyDescent="0.2">
      <c r="A7642" s="126">
        <f t="shared" si="125"/>
        <v>7581</v>
      </c>
      <c r="B7642" s="1891"/>
      <c r="D7642" s="2" t="str">
        <f t="shared" si="124"/>
        <v>OK</v>
      </c>
      <c r="E7642" s="4" t="s">
        <v>1995</v>
      </c>
    </row>
    <row r="7643" spans="1:6" x14ac:dyDescent="0.2">
      <c r="A7643" s="126">
        <f t="shared" si="125"/>
        <v>7582</v>
      </c>
      <c r="B7643" s="1891"/>
      <c r="D7643" s="2" t="str">
        <f t="shared" si="124"/>
        <v>OK</v>
      </c>
      <c r="E7643" s="4" t="s">
        <v>1995</v>
      </c>
    </row>
    <row r="7644" spans="1:6" x14ac:dyDescent="0.2">
      <c r="A7644" s="126">
        <f t="shared" si="125"/>
        <v>7583</v>
      </c>
      <c r="B7644" s="1891"/>
      <c r="D7644" s="2" t="str">
        <f t="shared" si="124"/>
        <v>OK</v>
      </c>
      <c r="E7644" s="4" t="s">
        <v>1995</v>
      </c>
    </row>
    <row r="7645" spans="1:6" x14ac:dyDescent="0.2">
      <c r="A7645" s="126">
        <f t="shared" si="125"/>
        <v>7584</v>
      </c>
      <c r="B7645" s="1891"/>
      <c r="D7645" s="2" t="str">
        <f t="shared" si="124"/>
        <v>OK</v>
      </c>
      <c r="E7645" s="4" t="s">
        <v>1995</v>
      </c>
    </row>
    <row r="7646" spans="1:6" x14ac:dyDescent="0.2">
      <c r="A7646" s="126">
        <f t="shared" si="125"/>
        <v>7585</v>
      </c>
      <c r="B7646" s="1891"/>
      <c r="D7646" s="2" t="str">
        <f t="shared" si="124"/>
        <v>OK</v>
      </c>
      <c r="E7646" s="4" t="s">
        <v>1995</v>
      </c>
    </row>
    <row r="7647" spans="1:6" x14ac:dyDescent="0.2">
      <c r="A7647" s="126">
        <f t="shared" si="125"/>
        <v>7586</v>
      </c>
      <c r="B7647" s="1891"/>
      <c r="D7647" s="2" t="str">
        <f t="shared" si="124"/>
        <v>OK</v>
      </c>
      <c r="E7647" s="4" t="s">
        <v>1995</v>
      </c>
    </row>
    <row r="7648" spans="1:6" x14ac:dyDescent="0.2">
      <c r="A7648" s="126">
        <f t="shared" si="125"/>
        <v>7587</v>
      </c>
      <c r="B7648" s="1891"/>
      <c r="D7648" s="2" t="str">
        <f t="shared" si="124"/>
        <v>OK</v>
      </c>
      <c r="E7648" s="4" t="s">
        <v>1995</v>
      </c>
    </row>
    <row r="7649" spans="1:5" x14ac:dyDescent="0.2">
      <c r="A7649" s="126">
        <f t="shared" si="125"/>
        <v>7588</v>
      </c>
      <c r="B7649" s="1891"/>
      <c r="D7649" s="2" t="str">
        <f t="shared" si="124"/>
        <v>OK</v>
      </c>
      <c r="E7649" s="4" t="s">
        <v>1995</v>
      </c>
    </row>
    <row r="7650" spans="1:5" x14ac:dyDescent="0.2">
      <c r="A7650" s="126">
        <f t="shared" si="125"/>
        <v>7589</v>
      </c>
      <c r="B7650" s="1891"/>
      <c r="D7650" s="2" t="str">
        <f t="shared" si="124"/>
        <v>OK</v>
      </c>
      <c r="E7650" s="4" t="s">
        <v>1995</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1997</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1826</v>
      </c>
    </row>
    <row r="7775" spans="1:5" x14ac:dyDescent="0.2">
      <c r="A7775">
        <v>7714</v>
      </c>
      <c r="B7775" s="1890">
        <f>'Expenditures 15-22'!H133</f>
        <v>0</v>
      </c>
      <c r="D7775" s="2" t="str">
        <f t="shared" si="127"/>
        <v>Error?</v>
      </c>
      <c r="E7775" s="4" t="s">
        <v>1826</v>
      </c>
    </row>
    <row r="7776" spans="1:5" x14ac:dyDescent="0.2">
      <c r="A7776">
        <v>7715</v>
      </c>
      <c r="B7776" s="1890">
        <f>'Expenditures 15-22'!K133</f>
        <v>0</v>
      </c>
      <c r="D7776" s="2" t="str">
        <f t="shared" si="127"/>
        <v>Error?</v>
      </c>
      <c r="E7776" s="4" t="s">
        <v>1826</v>
      </c>
    </row>
    <row r="7777" spans="1:5" x14ac:dyDescent="0.2">
      <c r="A7777">
        <v>7716</v>
      </c>
      <c r="B7777" s="1890">
        <f>'Expenditures 15-22'!H157</f>
        <v>0</v>
      </c>
      <c r="D7777" s="2" t="str">
        <f t="shared" si="127"/>
        <v>Error?</v>
      </c>
      <c r="E7777" s="4" t="s">
        <v>1826</v>
      </c>
    </row>
    <row r="7778" spans="1:5" x14ac:dyDescent="0.2">
      <c r="A7778">
        <v>7717</v>
      </c>
      <c r="B7778" s="1890">
        <f>'Expenditures 15-22'!K157</f>
        <v>0</v>
      </c>
      <c r="D7778" s="2" t="str">
        <f t="shared" si="127"/>
        <v>Error?</v>
      </c>
      <c r="E7778" s="4" t="s">
        <v>1826</v>
      </c>
    </row>
    <row r="7779" spans="1:5" x14ac:dyDescent="0.2">
      <c r="A7779">
        <v>7718</v>
      </c>
      <c r="B7779" s="1890">
        <f>'Expenditures 15-22'!H158</f>
        <v>0</v>
      </c>
      <c r="D7779" s="2" t="str">
        <f t="shared" si="127"/>
        <v>Error?</v>
      </c>
      <c r="E7779" s="4" t="s">
        <v>1826</v>
      </c>
    </row>
    <row r="7780" spans="1:5" x14ac:dyDescent="0.2">
      <c r="A7780">
        <v>7719</v>
      </c>
      <c r="B7780" s="1890">
        <f>'Expenditures 15-22'!K158</f>
        <v>0</v>
      </c>
      <c r="D7780" s="2" t="str">
        <f t="shared" si="127"/>
        <v>Error?</v>
      </c>
      <c r="E7780" s="4" t="s">
        <v>1826</v>
      </c>
    </row>
    <row r="7781" spans="1:5" x14ac:dyDescent="0.2">
      <c r="A7781">
        <v>7720</v>
      </c>
      <c r="B7781" s="1890">
        <f>'Expenditures 15-22'!H159</f>
        <v>0</v>
      </c>
      <c r="D7781" s="2" t="str">
        <f t="shared" si="127"/>
        <v>Error?</v>
      </c>
      <c r="E7781" s="4" t="s">
        <v>1826</v>
      </c>
    </row>
    <row r="7782" spans="1:5" x14ac:dyDescent="0.2">
      <c r="A7782">
        <v>7721</v>
      </c>
      <c r="B7782" s="1890">
        <f>'Expenditures 15-22'!K159</f>
        <v>0</v>
      </c>
      <c r="D7782" s="2" t="str">
        <f t="shared" si="127"/>
        <v>Error?</v>
      </c>
      <c r="E7782" s="4" t="s">
        <v>1826</v>
      </c>
    </row>
    <row r="7783" spans="1:5" x14ac:dyDescent="0.2">
      <c r="A7783">
        <v>7722</v>
      </c>
      <c r="B7783" s="1890">
        <f>'Expenditures 15-22'!D282</f>
        <v>0</v>
      </c>
      <c r="D7783" s="2" t="str">
        <f t="shared" si="127"/>
        <v>Error?</v>
      </c>
      <c r="E7783" s="4" t="s">
        <v>1826</v>
      </c>
    </row>
    <row r="7784" spans="1:5" x14ac:dyDescent="0.2">
      <c r="A7784">
        <v>7723</v>
      </c>
      <c r="B7784" s="1890">
        <f>'Expenditures 15-22'!K282</f>
        <v>0</v>
      </c>
      <c r="D7784" s="2" t="str">
        <f t="shared" si="127"/>
        <v>Error?</v>
      </c>
      <c r="E7784" s="4" t="s">
        <v>1826</v>
      </c>
    </row>
    <row r="7785" spans="1:5" x14ac:dyDescent="0.2">
      <c r="A7785">
        <v>7724</v>
      </c>
      <c r="B7785" s="1890">
        <f>'Expenditures 15-22'!H332</f>
        <v>0</v>
      </c>
      <c r="D7785" s="2" t="str">
        <f t="shared" si="127"/>
        <v>Error?</v>
      </c>
      <c r="E7785" s="4" t="s">
        <v>1826</v>
      </c>
    </row>
    <row r="7786" spans="1:5" x14ac:dyDescent="0.2">
      <c r="A7786">
        <v>7725</v>
      </c>
      <c r="B7786" s="1890">
        <f>'Expenditures 15-22'!K332</f>
        <v>0</v>
      </c>
      <c r="D7786" s="2" t="str">
        <f t="shared" si="127"/>
        <v>Error?</v>
      </c>
      <c r="E7786" s="4" t="s">
        <v>1826</v>
      </c>
    </row>
    <row r="7787" spans="1:5" x14ac:dyDescent="0.2">
      <c r="A7787">
        <v>7726</v>
      </c>
      <c r="B7787" s="1890">
        <f>'Expenditures 15-22'!H333</f>
        <v>0</v>
      </c>
      <c r="D7787" s="2" t="str">
        <f t="shared" si="127"/>
        <v>Error?</v>
      </c>
      <c r="E7787" s="4" t="s">
        <v>1826</v>
      </c>
    </row>
    <row r="7788" spans="1:5" x14ac:dyDescent="0.2">
      <c r="A7788">
        <v>7727</v>
      </c>
      <c r="B7788" s="1890">
        <f>'Expenditures 15-22'!K333</f>
        <v>0</v>
      </c>
      <c r="D7788" s="2" t="str">
        <f t="shared" si="127"/>
        <v>Error?</v>
      </c>
      <c r="E7788" s="4" t="s">
        <v>1826</v>
      </c>
    </row>
    <row r="7789" spans="1:5" x14ac:dyDescent="0.2">
      <c r="A7789">
        <v>7728</v>
      </c>
      <c r="B7789" s="1890">
        <f>'Expenditures 15-22'!H334</f>
        <v>0</v>
      </c>
      <c r="D7789" s="2" t="str">
        <f t="shared" si="127"/>
        <v>Error?</v>
      </c>
      <c r="E7789" s="4" t="s">
        <v>1826</v>
      </c>
    </row>
    <row r="7790" spans="1:5" x14ac:dyDescent="0.2">
      <c r="A7790">
        <v>7729</v>
      </c>
      <c r="B7790" s="1890">
        <f>'Expenditures 15-22'!K334</f>
        <v>0</v>
      </c>
      <c r="D7790" s="2" t="str">
        <f t="shared" si="127"/>
        <v>Error?</v>
      </c>
      <c r="E7790" s="4" t="s">
        <v>1826</v>
      </c>
    </row>
    <row r="7791" spans="1:5" x14ac:dyDescent="0.2">
      <c r="A7791">
        <v>7730</v>
      </c>
      <c r="B7791" s="1890">
        <f>'Expenditures 15-22'!H354</f>
        <v>0</v>
      </c>
      <c r="D7791" s="2" t="str">
        <f t="shared" si="127"/>
        <v>Error?</v>
      </c>
      <c r="E7791" s="4" t="s">
        <v>1826</v>
      </c>
    </row>
    <row r="7792" spans="1:5" x14ac:dyDescent="0.2">
      <c r="A7792">
        <v>7731</v>
      </c>
      <c r="B7792" s="1890">
        <f>'Expenditures 15-22'!K354</f>
        <v>0</v>
      </c>
      <c r="D7792" s="2" t="str">
        <f t="shared" si="127"/>
        <v>Error?</v>
      </c>
      <c r="E7792" s="4" t="s">
        <v>1826</v>
      </c>
    </row>
    <row r="7793" spans="1:5" x14ac:dyDescent="0.2">
      <c r="A7793">
        <v>7732</v>
      </c>
      <c r="B7793" s="1890">
        <f>'Expenditures 15-22'!H355</f>
        <v>0</v>
      </c>
      <c r="D7793" s="2" t="str">
        <f t="shared" si="127"/>
        <v>Error?</v>
      </c>
      <c r="E7793" s="4" t="s">
        <v>1826</v>
      </c>
    </row>
    <row r="7794" spans="1:5" x14ac:dyDescent="0.2">
      <c r="A7794">
        <v>7733</v>
      </c>
      <c r="B7794" s="1890">
        <f>'Expenditures 15-22'!K355</f>
        <v>0</v>
      </c>
      <c r="D7794" s="2" t="str">
        <f t="shared" si="127"/>
        <v>Error?</v>
      </c>
      <c r="E7794" s="4" t="s">
        <v>1826</v>
      </c>
    </row>
    <row r="7795" spans="1:5" x14ac:dyDescent="0.2">
      <c r="A7795">
        <v>7734</v>
      </c>
      <c r="B7795" s="1890">
        <f>'Expenditures 15-22'!E138</f>
        <v>0</v>
      </c>
      <c r="D7795" s="2" t="str">
        <f t="shared" si="127"/>
        <v>Error?</v>
      </c>
      <c r="E7795" s="4" t="s">
        <v>1826</v>
      </c>
    </row>
    <row r="7796" spans="1:5" x14ac:dyDescent="0.2">
      <c r="A7796">
        <v>7735</v>
      </c>
      <c r="B7796" s="1890">
        <f>'Acct Summary 7-8'!J15</f>
        <v>0</v>
      </c>
      <c r="D7796" s="2" t="str">
        <f t="shared" si="127"/>
        <v>Error?</v>
      </c>
      <c r="E7796" s="4" t="s">
        <v>1826</v>
      </c>
    </row>
    <row r="7797" spans="1:5" x14ac:dyDescent="0.2">
      <c r="A7797" s="126">
        <v>7736</v>
      </c>
      <c r="B7797" s="1890"/>
      <c r="D7797" s="2" t="str">
        <f t="shared" si="127"/>
        <v>OK</v>
      </c>
      <c r="E7797" s="4" t="s">
        <v>1979</v>
      </c>
    </row>
    <row r="7798" spans="1:5" x14ac:dyDescent="0.2">
      <c r="A7798" s="126">
        <v>7737</v>
      </c>
      <c r="B7798" s="1890"/>
      <c r="D7798" s="2" t="str">
        <f t="shared" si="127"/>
        <v>OK</v>
      </c>
      <c r="E7798" s="4" t="s">
        <v>1979</v>
      </c>
    </row>
    <row r="7799" spans="1:5" x14ac:dyDescent="0.2">
      <c r="A7799" s="126">
        <v>7738</v>
      </c>
      <c r="B7799" s="1890"/>
      <c r="D7799" s="2" t="str">
        <f t="shared" si="127"/>
        <v>OK</v>
      </c>
      <c r="E7799" s="4" t="s">
        <v>1979</v>
      </c>
    </row>
    <row r="7800" spans="1:5" x14ac:dyDescent="0.2">
      <c r="A7800">
        <v>7739</v>
      </c>
      <c r="B7800" s="1890">
        <f>'Rest Tax Levies-Tort Im 25'!K23</f>
        <v>0</v>
      </c>
      <c r="D7800" s="2" t="str">
        <f t="shared" si="127"/>
        <v>Error?</v>
      </c>
      <c r="E7800" s="4" t="s">
        <v>1966</v>
      </c>
    </row>
    <row r="7801" spans="1:5" x14ac:dyDescent="0.2">
      <c r="A7801">
        <v>7740</v>
      </c>
      <c r="B7801" s="1890">
        <f>'Revenues 9-14'!C120</f>
        <v>0</v>
      </c>
      <c r="D7801" s="2" t="str">
        <f t="shared" si="127"/>
        <v>Error?</v>
      </c>
      <c r="E7801" s="4" t="s">
        <v>1900</v>
      </c>
    </row>
    <row r="7802" spans="1:5" x14ac:dyDescent="0.2">
      <c r="A7802">
        <v>7741</v>
      </c>
      <c r="B7802" s="1890">
        <f>'Revenues 9-14'!D120</f>
        <v>0</v>
      </c>
      <c r="D7802" s="2" t="str">
        <f t="shared" si="127"/>
        <v>Error?</v>
      </c>
      <c r="E7802" s="4" t="s">
        <v>1900</v>
      </c>
    </row>
    <row r="7803" spans="1:5" x14ac:dyDescent="0.2">
      <c r="A7803">
        <v>7742</v>
      </c>
      <c r="B7803" s="1890">
        <f>'Revenues 9-14'!E120</f>
        <v>0</v>
      </c>
      <c r="D7803" s="2" t="str">
        <f t="shared" si="127"/>
        <v>Error?</v>
      </c>
      <c r="E7803" s="4" t="s">
        <v>1900</v>
      </c>
    </row>
    <row r="7804" spans="1:5" x14ac:dyDescent="0.2">
      <c r="A7804">
        <v>7743</v>
      </c>
      <c r="B7804" s="1890">
        <f>'Revenues 9-14'!F120</f>
        <v>0</v>
      </c>
      <c r="D7804" s="2" t="str">
        <f t="shared" si="127"/>
        <v>Error?</v>
      </c>
      <c r="E7804" s="4" t="s">
        <v>1900</v>
      </c>
    </row>
    <row r="7805" spans="1:5" x14ac:dyDescent="0.2">
      <c r="A7805">
        <v>7744</v>
      </c>
      <c r="B7805" s="1890">
        <f>'Revenues 9-14'!G120</f>
        <v>0</v>
      </c>
      <c r="D7805" s="2" t="str">
        <f t="shared" si="127"/>
        <v>Error?</v>
      </c>
      <c r="E7805" s="4" t="s">
        <v>1900</v>
      </c>
    </row>
    <row r="7806" spans="1:5" x14ac:dyDescent="0.2">
      <c r="A7806">
        <v>7745</v>
      </c>
      <c r="B7806" s="1890">
        <f>'Revenues 9-14'!H120</f>
        <v>0</v>
      </c>
      <c r="D7806" s="2" t="str">
        <f t="shared" si="127"/>
        <v>Error?</v>
      </c>
      <c r="E7806" s="4" t="s">
        <v>1900</v>
      </c>
    </row>
    <row r="7807" spans="1:5" x14ac:dyDescent="0.2">
      <c r="A7807">
        <v>7746</v>
      </c>
      <c r="B7807" s="1890">
        <f>'Revenues 9-14'!J120</f>
        <v>0</v>
      </c>
      <c r="D7807" s="2" t="str">
        <f t="shared" ref="D7807:D7821" si="128">IF(ISBLANK(B7807),"OK",IF(A7807-B7807=0,"OK","Error?"))</f>
        <v>Error?</v>
      </c>
      <c r="E7807" s="4" t="s">
        <v>1900</v>
      </c>
    </row>
    <row r="7808" spans="1:5" x14ac:dyDescent="0.2">
      <c r="A7808">
        <v>7747</v>
      </c>
      <c r="B7808" s="1890">
        <f>'Revenues 9-14'!K120</f>
        <v>0</v>
      </c>
      <c r="D7808" s="2" t="str">
        <f t="shared" si="128"/>
        <v>Error?</v>
      </c>
      <c r="E7808" s="4" t="s">
        <v>1900</v>
      </c>
    </row>
    <row r="7809" spans="1:5" x14ac:dyDescent="0.2">
      <c r="A7809">
        <v>7748</v>
      </c>
      <c r="B7809" s="1890">
        <f>'Revenues 9-14'!C261</f>
        <v>0</v>
      </c>
      <c r="D7809" s="2" t="str">
        <f t="shared" si="128"/>
        <v>Error?</v>
      </c>
      <c r="E7809" s="4" t="s">
        <v>1901</v>
      </c>
    </row>
    <row r="7810" spans="1:5" x14ac:dyDescent="0.2">
      <c r="A7810">
        <v>7749</v>
      </c>
      <c r="B7810" s="1890">
        <f>'Revenues 9-14'!D261</f>
        <v>0</v>
      </c>
      <c r="D7810" s="2" t="str">
        <f t="shared" si="128"/>
        <v>Error?</v>
      </c>
      <c r="E7810" s="4" t="s">
        <v>1901</v>
      </c>
    </row>
    <row r="7811" spans="1:5" x14ac:dyDescent="0.2">
      <c r="A7811">
        <v>7750</v>
      </c>
      <c r="B7811" s="1890">
        <f>'Revenues 9-14'!F261</f>
        <v>0</v>
      </c>
      <c r="D7811" s="2" t="str">
        <f t="shared" si="128"/>
        <v>Error?</v>
      </c>
      <c r="E7811" s="4" t="s">
        <v>1901</v>
      </c>
    </row>
    <row r="7812" spans="1:5" x14ac:dyDescent="0.2">
      <c r="A7812">
        <v>7751</v>
      </c>
      <c r="B7812" s="1890">
        <f>'Revenues 9-14'!G261</f>
        <v>0</v>
      </c>
      <c r="D7812" s="2" t="str">
        <f t="shared" si="128"/>
        <v>Error?</v>
      </c>
      <c r="E7812" s="4" t="s">
        <v>1901</v>
      </c>
    </row>
    <row r="7813" spans="1:5" x14ac:dyDescent="0.2">
      <c r="A7813">
        <v>7752</v>
      </c>
      <c r="B7813" s="1890">
        <f>'Revenues 9-14'!C262</f>
        <v>0</v>
      </c>
      <c r="D7813" s="2" t="str">
        <f t="shared" si="128"/>
        <v>Error?</v>
      </c>
      <c r="E7813" s="4" t="s">
        <v>1902</v>
      </c>
    </row>
    <row r="7814" spans="1:5" x14ac:dyDescent="0.2">
      <c r="A7814">
        <v>7753</v>
      </c>
      <c r="B7814" s="1890">
        <f>'Revenues 9-14'!D262</f>
        <v>0</v>
      </c>
      <c r="D7814" s="2" t="str">
        <f t="shared" si="128"/>
        <v>Error?</v>
      </c>
      <c r="E7814" s="4" t="s">
        <v>1902</v>
      </c>
    </row>
    <row r="7815" spans="1:5" x14ac:dyDescent="0.2">
      <c r="A7815">
        <v>7754</v>
      </c>
      <c r="B7815" s="1890">
        <f>'Revenues 9-14'!F262</f>
        <v>0</v>
      </c>
      <c r="D7815" s="2" t="str">
        <f t="shared" si="128"/>
        <v>Error?</v>
      </c>
      <c r="E7815" s="4" t="s">
        <v>1902</v>
      </c>
    </row>
    <row r="7816" spans="1:5" x14ac:dyDescent="0.2">
      <c r="A7816">
        <v>7755</v>
      </c>
      <c r="B7816" s="1890">
        <f>'Revenues 9-14'!G262</f>
        <v>0</v>
      </c>
      <c r="D7816" s="2" t="str">
        <f t="shared" si="128"/>
        <v>Error?</v>
      </c>
      <c r="E7816" s="4" t="s">
        <v>1902</v>
      </c>
    </row>
    <row r="7817" spans="1:5" x14ac:dyDescent="0.2">
      <c r="A7817">
        <v>7756</v>
      </c>
      <c r="B7817" s="1890">
        <f>'Short-Term Long-Term Debt 24'!C49</f>
        <v>0</v>
      </c>
      <c r="D7817" s="2" t="str">
        <f t="shared" si="128"/>
        <v>Error?</v>
      </c>
      <c r="E7817" s="4" t="s">
        <v>1966</v>
      </c>
    </row>
    <row r="7818" spans="1:5" x14ac:dyDescent="0.2">
      <c r="A7818">
        <v>7757</v>
      </c>
      <c r="B7818" s="1890">
        <f>'PCTC-OEPP 27-28'!F172</f>
        <v>0</v>
      </c>
      <c r="D7818" s="2" t="str">
        <f t="shared" si="128"/>
        <v>Error?</v>
      </c>
      <c r="E7818" s="4" t="s">
        <v>1980</v>
      </c>
    </row>
    <row r="7819" spans="1:5" x14ac:dyDescent="0.2">
      <c r="A7819">
        <v>7758</v>
      </c>
      <c r="B7819" s="1890">
        <f>'PCTC-OEPP 27-28'!F173</f>
        <v>0</v>
      </c>
      <c r="D7819" s="2" t="str">
        <f t="shared" si="128"/>
        <v>Error?</v>
      </c>
      <c r="E7819" s="4" t="s">
        <v>1980</v>
      </c>
    </row>
    <row r="7820" spans="1:5" x14ac:dyDescent="0.2">
      <c r="A7820">
        <v>7759</v>
      </c>
      <c r="B7820" s="1890">
        <f>'ICR Computation 30'!E40</f>
        <v>-69821</v>
      </c>
      <c r="D7820" s="2" t="str">
        <f t="shared" si="128"/>
        <v>Error?</v>
      </c>
    </row>
    <row r="7821" spans="1:5" x14ac:dyDescent="0.2">
      <c r="A7821">
        <v>7760</v>
      </c>
      <c r="B7821" s="1890">
        <f>'ICR Computation 30'!G40</f>
        <v>-69821</v>
      </c>
      <c r="D7821" s="2" t="str">
        <f t="shared" si="128"/>
        <v>Error?</v>
      </c>
    </row>
    <row r="7822" spans="1:5" x14ac:dyDescent="0.2">
      <c r="A7822" s="1">
        <v>7761</v>
      </c>
      <c r="B7822" s="1890">
        <f>'PCTC-OEPP 27-28'!F14</f>
        <v>12502042</v>
      </c>
      <c r="D7822" s="4" t="s">
        <v>1997</v>
      </c>
      <c r="E7822" s="4" t="s">
        <v>1998</v>
      </c>
    </row>
    <row r="7823" spans="1:5" x14ac:dyDescent="0.2">
      <c r="A7823" s="1">
        <v>7762</v>
      </c>
      <c r="B7823" s="1890">
        <f>'PCTC-OEPP 27-28'!F30</f>
        <v>0</v>
      </c>
      <c r="D7823" s="4" t="s">
        <v>1997</v>
      </c>
      <c r="E7823" s="4" t="s">
        <v>1998</v>
      </c>
    </row>
    <row r="7824" spans="1:5" x14ac:dyDescent="0.2">
      <c r="A7824" s="1">
        <v>7763</v>
      </c>
      <c r="B7824" s="1890">
        <f>'PCTC-OEPP 27-28'!F31</f>
        <v>0</v>
      </c>
      <c r="D7824" s="4" t="s">
        <v>1997</v>
      </c>
      <c r="E7824" s="4" t="s">
        <v>1998</v>
      </c>
    </row>
    <row r="7825" spans="1:5" x14ac:dyDescent="0.2">
      <c r="A7825" s="1">
        <v>7764</v>
      </c>
      <c r="B7825" s="1890">
        <f>'PCTC-OEPP 27-28'!F32</f>
        <v>0</v>
      </c>
      <c r="D7825" s="2" t="str">
        <f t="shared" ref="D7825:D7887" si="129">IF(ISBLANK(B7825),"OK",IF(A7825-B7825=0,"OK","Error?"))</f>
        <v>Error?</v>
      </c>
      <c r="E7825" s="4" t="s">
        <v>1998</v>
      </c>
    </row>
    <row r="7826" spans="1:5" x14ac:dyDescent="0.2">
      <c r="A7826">
        <v>7765</v>
      </c>
      <c r="B7826" s="1890">
        <f>'PCTC-OEPP 27-28'!F34</f>
        <v>0</v>
      </c>
      <c r="D7826" s="2" t="str">
        <f t="shared" si="129"/>
        <v>Error?</v>
      </c>
      <c r="E7826" s="4" t="s">
        <v>1998</v>
      </c>
    </row>
    <row r="7827" spans="1:5" x14ac:dyDescent="0.2">
      <c r="A7827">
        <v>7766</v>
      </c>
      <c r="B7827" s="1890">
        <f>'PCTC-OEPP 27-28'!F35</f>
        <v>0</v>
      </c>
      <c r="D7827" s="2" t="str">
        <f t="shared" si="129"/>
        <v>Error?</v>
      </c>
      <c r="E7827" s="4" t="s">
        <v>1998</v>
      </c>
    </row>
    <row r="7828" spans="1:5" x14ac:dyDescent="0.2">
      <c r="A7828">
        <v>7767</v>
      </c>
      <c r="B7828" s="1890">
        <f>'PCTC-OEPP 27-28'!F36</f>
        <v>0</v>
      </c>
      <c r="D7828" s="2" t="str">
        <f t="shared" si="129"/>
        <v>Error?</v>
      </c>
      <c r="E7828" s="4" t="s">
        <v>1998</v>
      </c>
    </row>
    <row r="7829" spans="1:5" x14ac:dyDescent="0.2">
      <c r="A7829">
        <v>7768</v>
      </c>
      <c r="B7829" s="1890">
        <f>'PCTC-OEPP 27-28'!F37</f>
        <v>0</v>
      </c>
      <c r="D7829" s="2" t="str">
        <f t="shared" si="129"/>
        <v>Error?</v>
      </c>
      <c r="E7829" s="4" t="s">
        <v>1998</v>
      </c>
    </row>
    <row r="7830" spans="1:5" x14ac:dyDescent="0.2">
      <c r="A7830">
        <v>7769</v>
      </c>
      <c r="B7830" s="1890">
        <f>'PCTC-OEPP 27-28'!F38</f>
        <v>0</v>
      </c>
      <c r="D7830" s="2" t="str">
        <f t="shared" si="129"/>
        <v>Error?</v>
      </c>
      <c r="E7830" s="4" t="s">
        <v>1998</v>
      </c>
    </row>
    <row r="7831" spans="1:5" x14ac:dyDescent="0.2">
      <c r="A7831">
        <v>7770</v>
      </c>
      <c r="B7831" s="1890">
        <f>'PCTC-OEPP 27-28'!F52</f>
        <v>0</v>
      </c>
      <c r="D7831" s="2" t="str">
        <f t="shared" si="129"/>
        <v>Error?</v>
      </c>
      <c r="E7831" s="4" t="s">
        <v>1998</v>
      </c>
    </row>
    <row r="7832" spans="1:5" x14ac:dyDescent="0.2">
      <c r="A7832">
        <v>7771</v>
      </c>
      <c r="B7832" s="1890">
        <f>'PCTC-OEPP 27-28'!F56</f>
        <v>0</v>
      </c>
      <c r="D7832" s="2" t="str">
        <f t="shared" si="129"/>
        <v>Error?</v>
      </c>
      <c r="E7832" s="4" t="s">
        <v>1998</v>
      </c>
    </row>
    <row r="7833" spans="1:5" x14ac:dyDescent="0.2">
      <c r="A7833">
        <v>7772</v>
      </c>
      <c r="B7833" s="1890">
        <f>'PCTC-OEPP 27-28'!F62</f>
        <v>0</v>
      </c>
      <c r="D7833" s="2" t="str">
        <f t="shared" si="129"/>
        <v>Error?</v>
      </c>
      <c r="E7833" s="4" t="s">
        <v>1998</v>
      </c>
    </row>
    <row r="7834" spans="1:5" x14ac:dyDescent="0.2">
      <c r="A7834">
        <v>7773</v>
      </c>
      <c r="B7834" s="1890">
        <f>'PCTC-OEPP 27-28'!F77</f>
        <v>2266287</v>
      </c>
      <c r="D7834" s="2" t="str">
        <f t="shared" si="129"/>
        <v>Error?</v>
      </c>
      <c r="E7834" s="4" t="s">
        <v>1998</v>
      </c>
    </row>
    <row r="7835" spans="1:5" x14ac:dyDescent="0.2">
      <c r="A7835">
        <v>7774</v>
      </c>
      <c r="B7835" s="1890">
        <f>'PCTC-OEPP 27-28'!F78</f>
        <v>10235755</v>
      </c>
      <c r="D7835" s="2" t="str">
        <f t="shared" si="129"/>
        <v>Error?</v>
      </c>
      <c r="E7835" s="4" t="s">
        <v>1998</v>
      </c>
    </row>
    <row r="7836" spans="1:5" x14ac:dyDescent="0.2">
      <c r="A7836" s="126">
        <v>7775</v>
      </c>
      <c r="B7836" s="1890"/>
      <c r="D7836" s="2" t="str">
        <f t="shared" si="129"/>
        <v>OK</v>
      </c>
      <c r="E7836" s="4" t="s">
        <v>2000</v>
      </c>
    </row>
    <row r="7837" spans="1:5" x14ac:dyDescent="0.2">
      <c r="A7837">
        <v>7776</v>
      </c>
      <c r="B7837" s="1890" t="str">
        <f>'PCTC-OEPP 27-28'!F80</f>
        <v xml:space="preserve"> Complete Line 79</v>
      </c>
      <c r="D7837" s="2" t="e">
        <f t="shared" si="129"/>
        <v>#VALUE!</v>
      </c>
      <c r="E7837" s="4" t="s">
        <v>1998</v>
      </c>
    </row>
    <row r="7838" spans="1:5" x14ac:dyDescent="0.2">
      <c r="A7838">
        <v>7777</v>
      </c>
      <c r="B7838" s="1890">
        <f>'PCTC-OEPP 27-28'!F96</f>
        <v>0</v>
      </c>
      <c r="D7838" s="2" t="str">
        <f t="shared" si="129"/>
        <v>Error?</v>
      </c>
      <c r="E7838" s="4" t="s">
        <v>1998</v>
      </c>
    </row>
    <row r="7839" spans="1:5" x14ac:dyDescent="0.2">
      <c r="A7839">
        <v>7778</v>
      </c>
      <c r="B7839" s="1890">
        <f>'PCTC-OEPP 27-28'!F102</f>
        <v>0</v>
      </c>
      <c r="D7839" s="2" t="str">
        <f t="shared" si="129"/>
        <v>Error?</v>
      </c>
      <c r="E7839" s="4" t="s">
        <v>1998</v>
      </c>
    </row>
    <row r="7840" spans="1:5" x14ac:dyDescent="0.2">
      <c r="A7840">
        <v>7779</v>
      </c>
      <c r="B7840" s="1890">
        <f>'PCTC-OEPP 27-28'!F103</f>
        <v>294748</v>
      </c>
      <c r="D7840" s="2" t="str">
        <f t="shared" si="129"/>
        <v>Error?</v>
      </c>
      <c r="E7840" s="4" t="s">
        <v>1998</v>
      </c>
    </row>
    <row r="7841" spans="1:5" x14ac:dyDescent="0.2">
      <c r="A7841">
        <v>7780</v>
      </c>
      <c r="B7841" s="1890">
        <f>'PCTC-OEPP 27-28'!F104</f>
        <v>0</v>
      </c>
      <c r="D7841" s="2" t="str">
        <f t="shared" si="129"/>
        <v>Error?</v>
      </c>
      <c r="E7841" s="4" t="s">
        <v>1998</v>
      </c>
    </row>
    <row r="7842" spans="1:5" x14ac:dyDescent="0.2">
      <c r="A7842">
        <v>7781</v>
      </c>
      <c r="B7842" s="1890">
        <f>'PCTC-OEPP 27-28'!F106</f>
        <v>0</v>
      </c>
      <c r="D7842" s="2" t="str">
        <f t="shared" si="129"/>
        <v>Error?</v>
      </c>
      <c r="E7842" s="4" t="s">
        <v>1998</v>
      </c>
    </row>
    <row r="7843" spans="1:5" x14ac:dyDescent="0.2">
      <c r="A7843">
        <v>7782</v>
      </c>
      <c r="B7843" s="1890">
        <f>'PCTC-OEPP 27-28'!F107</f>
        <v>0</v>
      </c>
      <c r="D7843" s="2" t="str">
        <f t="shared" si="129"/>
        <v>Error?</v>
      </c>
      <c r="E7843" s="4" t="s">
        <v>1998</v>
      </c>
    </row>
    <row r="7844" spans="1:5" x14ac:dyDescent="0.2">
      <c r="A7844">
        <v>7783</v>
      </c>
      <c r="B7844" s="1890">
        <f>'PCTC-OEPP 27-28'!F108</f>
        <v>0</v>
      </c>
      <c r="D7844" s="2" t="str">
        <f t="shared" si="129"/>
        <v>Error?</v>
      </c>
      <c r="E7844" s="4" t="s">
        <v>1998</v>
      </c>
    </row>
    <row r="7845" spans="1:5" x14ac:dyDescent="0.2">
      <c r="A7845">
        <v>7784</v>
      </c>
      <c r="B7845" s="1890">
        <f>'PCTC-OEPP 27-28'!F110</f>
        <v>0</v>
      </c>
      <c r="D7845" s="2" t="str">
        <f t="shared" si="129"/>
        <v>Error?</v>
      </c>
      <c r="E7845" s="4" t="s">
        <v>1998</v>
      </c>
    </row>
    <row r="7846" spans="1:5" x14ac:dyDescent="0.2">
      <c r="A7846">
        <v>7785</v>
      </c>
      <c r="B7846" s="1890">
        <f>'PCTC-OEPP 27-28'!F111</f>
        <v>0</v>
      </c>
      <c r="D7846" s="2" t="str">
        <f t="shared" si="129"/>
        <v>Error?</v>
      </c>
      <c r="E7846" s="4" t="s">
        <v>1998</v>
      </c>
    </row>
    <row r="7847" spans="1:5" x14ac:dyDescent="0.2">
      <c r="A7847">
        <v>7786</v>
      </c>
      <c r="B7847" s="1890">
        <f>'PCTC-OEPP 27-28'!F112</f>
        <v>10814</v>
      </c>
      <c r="D7847" s="2" t="str">
        <f t="shared" si="129"/>
        <v>Error?</v>
      </c>
      <c r="E7847" s="4" t="s">
        <v>1998</v>
      </c>
    </row>
    <row r="7848" spans="1:5" x14ac:dyDescent="0.2">
      <c r="A7848">
        <v>7787</v>
      </c>
      <c r="B7848" s="1890">
        <f>'PCTC-OEPP 27-28'!F114</f>
        <v>0</v>
      </c>
      <c r="D7848" s="2" t="str">
        <f t="shared" si="129"/>
        <v>Error?</v>
      </c>
      <c r="E7848" s="4" t="s">
        <v>1998</v>
      </c>
    </row>
    <row r="7849" spans="1:5" x14ac:dyDescent="0.2">
      <c r="A7849">
        <v>7788</v>
      </c>
      <c r="B7849" s="1890">
        <f>'PCTC-OEPP 27-28'!F115</f>
        <v>0</v>
      </c>
      <c r="D7849" s="2" t="str">
        <f t="shared" si="129"/>
        <v>Error?</v>
      </c>
      <c r="E7849" s="4" t="s">
        <v>1998</v>
      </c>
    </row>
    <row r="7850" spans="1:5" x14ac:dyDescent="0.2">
      <c r="A7850">
        <v>7789</v>
      </c>
      <c r="B7850" s="1890">
        <f>'PCTC-OEPP 27-28'!F116</f>
        <v>0</v>
      </c>
      <c r="D7850" s="2" t="str">
        <f t="shared" si="129"/>
        <v>Error?</v>
      </c>
      <c r="E7850" s="4" t="s">
        <v>1998</v>
      </c>
    </row>
    <row r="7851" spans="1:5" x14ac:dyDescent="0.2">
      <c r="A7851">
        <v>7790</v>
      </c>
      <c r="B7851" s="1890">
        <f>'PCTC-OEPP 27-28'!F117</f>
        <v>0</v>
      </c>
      <c r="D7851" s="2" t="str">
        <f t="shared" si="129"/>
        <v>Error?</v>
      </c>
      <c r="E7851" s="4" t="s">
        <v>1998</v>
      </c>
    </row>
    <row r="7852" spans="1:5" x14ac:dyDescent="0.2">
      <c r="A7852">
        <v>7791</v>
      </c>
      <c r="B7852" s="1890">
        <f>'PCTC-OEPP 27-28'!F118</f>
        <v>0</v>
      </c>
      <c r="D7852" s="2" t="str">
        <f t="shared" si="129"/>
        <v>Error?</v>
      </c>
      <c r="E7852" s="4" t="s">
        <v>1998</v>
      </c>
    </row>
    <row r="7853" spans="1:5" x14ac:dyDescent="0.2">
      <c r="A7853">
        <v>7792</v>
      </c>
      <c r="B7853" s="1890">
        <f>'PCTC-OEPP 27-28'!F119</f>
        <v>0</v>
      </c>
      <c r="D7853" s="2" t="str">
        <f t="shared" si="129"/>
        <v>Error?</v>
      </c>
      <c r="E7853" s="4" t="s">
        <v>1998</v>
      </c>
    </row>
    <row r="7854" spans="1:5" x14ac:dyDescent="0.2">
      <c r="A7854">
        <v>7793</v>
      </c>
      <c r="B7854" s="1890">
        <f>'PCTC-OEPP 27-28'!F120</f>
        <v>0</v>
      </c>
      <c r="D7854" s="2" t="str">
        <f t="shared" si="129"/>
        <v>Error?</v>
      </c>
      <c r="E7854" s="4" t="s">
        <v>1998</v>
      </c>
    </row>
    <row r="7855" spans="1:5" x14ac:dyDescent="0.2">
      <c r="A7855">
        <v>7794</v>
      </c>
      <c r="B7855" s="1890">
        <f>'PCTC-OEPP 27-28'!F122</f>
        <v>0</v>
      </c>
      <c r="D7855" s="2" t="str">
        <f t="shared" si="129"/>
        <v>Error?</v>
      </c>
      <c r="E7855" s="4" t="s">
        <v>1998</v>
      </c>
    </row>
    <row r="7856" spans="1:5" x14ac:dyDescent="0.2">
      <c r="A7856">
        <v>7795</v>
      </c>
      <c r="B7856" s="1890">
        <f>'PCTC-OEPP 27-28'!F124</f>
        <v>0</v>
      </c>
      <c r="D7856" s="2" t="str">
        <f t="shared" si="129"/>
        <v>Error?</v>
      </c>
      <c r="E7856" s="4" t="s">
        <v>1998</v>
      </c>
    </row>
    <row r="7857" spans="1:5" x14ac:dyDescent="0.2">
      <c r="A7857">
        <v>7796</v>
      </c>
      <c r="B7857" s="1890">
        <f>'PCTC-OEPP 27-28'!F125</f>
        <v>0</v>
      </c>
      <c r="D7857" s="2" t="str">
        <f t="shared" si="129"/>
        <v>Error?</v>
      </c>
      <c r="E7857" s="4" t="s">
        <v>1998</v>
      </c>
    </row>
    <row r="7858" spans="1:5" x14ac:dyDescent="0.2">
      <c r="A7858">
        <v>7797</v>
      </c>
      <c r="B7858" s="1890">
        <f>'PCTC-OEPP 27-28'!F126</f>
        <v>0</v>
      </c>
      <c r="D7858" s="2" t="str">
        <f t="shared" si="129"/>
        <v>Error?</v>
      </c>
      <c r="E7858" s="4" t="s">
        <v>1998</v>
      </c>
    </row>
    <row r="7859" spans="1:5" x14ac:dyDescent="0.2">
      <c r="A7859">
        <v>7798</v>
      </c>
      <c r="B7859" s="1890">
        <f>'PCTC-OEPP 27-28'!F127</f>
        <v>0</v>
      </c>
      <c r="D7859" s="2" t="str">
        <f t="shared" si="129"/>
        <v>Error?</v>
      </c>
      <c r="E7859" s="4" t="s">
        <v>1998</v>
      </c>
    </row>
    <row r="7860" spans="1:5" x14ac:dyDescent="0.2">
      <c r="A7860">
        <v>7799</v>
      </c>
      <c r="B7860" s="1890">
        <f>'PCTC-OEPP 27-28'!F128</f>
        <v>0</v>
      </c>
      <c r="D7860" s="2" t="str">
        <f t="shared" si="129"/>
        <v>Error?</v>
      </c>
      <c r="E7860" s="4" t="s">
        <v>1998</v>
      </c>
    </row>
    <row r="7861" spans="1:5" x14ac:dyDescent="0.2">
      <c r="A7861">
        <v>7800</v>
      </c>
      <c r="B7861" s="1890">
        <f>'PCTC-OEPP 27-28'!F129</f>
        <v>2320406</v>
      </c>
      <c r="D7861" s="2" t="str">
        <f t="shared" si="129"/>
        <v>Error?</v>
      </c>
      <c r="E7861" s="4" t="s">
        <v>1998</v>
      </c>
    </row>
    <row r="7862" spans="1:5" x14ac:dyDescent="0.2">
      <c r="A7862">
        <v>7801</v>
      </c>
      <c r="B7862" s="1890">
        <f>'PCTC-OEPP 27-28'!F130</f>
        <v>0</v>
      </c>
      <c r="D7862" s="2" t="str">
        <f t="shared" si="129"/>
        <v>Error?</v>
      </c>
      <c r="E7862" s="4" t="s">
        <v>1998</v>
      </c>
    </row>
    <row r="7863" spans="1:5" x14ac:dyDescent="0.2">
      <c r="A7863">
        <v>7802</v>
      </c>
      <c r="B7863" s="1890">
        <f>'PCTC-OEPP 27-28'!F131</f>
        <v>0</v>
      </c>
      <c r="D7863" s="2" t="str">
        <f t="shared" si="129"/>
        <v>Error?</v>
      </c>
      <c r="E7863" s="4" t="s">
        <v>1998</v>
      </c>
    </row>
    <row r="7864" spans="1:5" x14ac:dyDescent="0.2">
      <c r="A7864">
        <v>7803</v>
      </c>
      <c r="B7864" s="1890">
        <f>'PCTC-OEPP 27-28'!F132</f>
        <v>0</v>
      </c>
      <c r="D7864" s="2" t="str">
        <f t="shared" si="129"/>
        <v>Error?</v>
      </c>
      <c r="E7864" s="4" t="s">
        <v>1998</v>
      </c>
    </row>
    <row r="7865" spans="1:5" x14ac:dyDescent="0.2">
      <c r="A7865">
        <v>7804</v>
      </c>
      <c r="B7865" s="1890">
        <f>'PCTC-OEPP 27-28'!F133</f>
        <v>0</v>
      </c>
      <c r="D7865" s="2" t="str">
        <f t="shared" si="129"/>
        <v>Error?</v>
      </c>
      <c r="E7865" s="4" t="s">
        <v>1998</v>
      </c>
    </row>
    <row r="7866" spans="1:5" x14ac:dyDescent="0.2">
      <c r="A7866">
        <v>7805</v>
      </c>
      <c r="B7866" s="1890">
        <f>'PCTC-OEPP 27-28'!F158</f>
        <v>0</v>
      </c>
      <c r="D7866" s="2" t="str">
        <f t="shared" si="129"/>
        <v>Error?</v>
      </c>
      <c r="E7866" s="4" t="s">
        <v>1998</v>
      </c>
    </row>
    <row r="7867" spans="1:5" x14ac:dyDescent="0.2">
      <c r="A7867">
        <v>7806</v>
      </c>
      <c r="B7867" s="1890">
        <f>'PCTC-OEPP 27-28'!F160</f>
        <v>0</v>
      </c>
      <c r="D7867" s="2" t="str">
        <f t="shared" si="129"/>
        <v>Error?</v>
      </c>
      <c r="E7867" s="4" t="s">
        <v>1998</v>
      </c>
    </row>
    <row r="7868" spans="1:5" x14ac:dyDescent="0.2">
      <c r="A7868">
        <v>7807</v>
      </c>
      <c r="B7868" s="1890">
        <f>'PCTC-OEPP 27-28'!F161</f>
        <v>0</v>
      </c>
      <c r="D7868" s="2" t="str">
        <f t="shared" si="129"/>
        <v>Error?</v>
      </c>
      <c r="E7868" s="4" t="s">
        <v>1998</v>
      </c>
    </row>
    <row r="7869" spans="1:5" x14ac:dyDescent="0.2">
      <c r="A7869">
        <v>7808</v>
      </c>
      <c r="B7869" s="1890">
        <f>'PCTC-OEPP 27-28'!F162</f>
        <v>0</v>
      </c>
      <c r="D7869" s="2" t="str">
        <f t="shared" si="129"/>
        <v>Error?</v>
      </c>
      <c r="E7869" s="4" t="s">
        <v>1998</v>
      </c>
    </row>
    <row r="7870" spans="1:5" x14ac:dyDescent="0.2">
      <c r="A7870">
        <v>7809</v>
      </c>
      <c r="B7870" s="1890">
        <f>'PCTC-OEPP 27-28'!F163</f>
        <v>0</v>
      </c>
      <c r="D7870" s="2" t="str">
        <f t="shared" si="129"/>
        <v>Error?</v>
      </c>
      <c r="E7870" s="4" t="s">
        <v>1998</v>
      </c>
    </row>
    <row r="7871" spans="1:5" x14ac:dyDescent="0.2">
      <c r="A7871">
        <v>7810</v>
      </c>
      <c r="B7871" s="1890">
        <f>'PCTC-OEPP 27-28'!F164</f>
        <v>0</v>
      </c>
      <c r="D7871" s="2" t="str">
        <f t="shared" si="129"/>
        <v>Error?</v>
      </c>
      <c r="E7871" s="4" t="s">
        <v>1998</v>
      </c>
    </row>
    <row r="7872" spans="1:5" x14ac:dyDescent="0.2">
      <c r="A7872">
        <v>7811</v>
      </c>
      <c r="B7872" s="1890">
        <f>'PCTC-OEPP 27-28'!F165</f>
        <v>0</v>
      </c>
      <c r="D7872" s="2" t="str">
        <f t="shared" si="129"/>
        <v>Error?</v>
      </c>
      <c r="E7872" s="4" t="s">
        <v>1998</v>
      </c>
    </row>
    <row r="7873" spans="1:5" x14ac:dyDescent="0.2">
      <c r="A7873">
        <v>7812</v>
      </c>
      <c r="B7873" s="1890">
        <f>'PCTC-OEPP 27-28'!F166</f>
        <v>0</v>
      </c>
      <c r="D7873" s="2" t="str">
        <f t="shared" si="129"/>
        <v>Error?</v>
      </c>
      <c r="E7873" s="4" t="s">
        <v>1998</v>
      </c>
    </row>
    <row r="7874" spans="1:5" x14ac:dyDescent="0.2">
      <c r="A7874">
        <v>7813</v>
      </c>
      <c r="B7874" s="1890">
        <f>'PCTC-OEPP 27-28'!F169</f>
        <v>47069</v>
      </c>
      <c r="D7874" s="2" t="str">
        <f t="shared" si="129"/>
        <v>Error?</v>
      </c>
      <c r="E7874" s="4" t="s">
        <v>1998</v>
      </c>
    </row>
    <row r="7875" spans="1:5" x14ac:dyDescent="0.2">
      <c r="A7875">
        <v>7814</v>
      </c>
      <c r="B7875" s="1890">
        <f>'PCTC-OEPP 27-28'!F170</f>
        <v>346481</v>
      </c>
      <c r="D7875" s="2" t="str">
        <f t="shared" si="129"/>
        <v>Error?</v>
      </c>
      <c r="E7875" s="4" t="s">
        <v>1998</v>
      </c>
    </row>
    <row r="7876" spans="1:5" x14ac:dyDescent="0.2">
      <c r="A7876">
        <v>7815</v>
      </c>
      <c r="B7876" s="1890">
        <f>'PCTC-OEPP 27-28'!F171</f>
        <v>0</v>
      </c>
      <c r="D7876" s="2" t="str">
        <f t="shared" si="129"/>
        <v>Error?</v>
      </c>
      <c r="E7876" s="4" t="s">
        <v>1998</v>
      </c>
    </row>
    <row r="7877" spans="1:5" x14ac:dyDescent="0.2">
      <c r="A7877">
        <v>7816</v>
      </c>
      <c r="B7877" s="1890">
        <f>'PCTC-OEPP 27-28'!F175</f>
        <v>3019518</v>
      </c>
      <c r="D7877" s="2" t="str">
        <f t="shared" si="129"/>
        <v>Error?</v>
      </c>
      <c r="E7877" s="4" t="s">
        <v>1998</v>
      </c>
    </row>
    <row r="7878" spans="1:5" x14ac:dyDescent="0.2">
      <c r="A7878">
        <v>7817</v>
      </c>
      <c r="B7878" s="1890">
        <f>'PCTC-OEPP 27-28'!F176</f>
        <v>7216237</v>
      </c>
      <c r="D7878" s="2" t="str">
        <f t="shared" si="129"/>
        <v>Error?</v>
      </c>
      <c r="E7878" s="4" t="s">
        <v>1998</v>
      </c>
    </row>
    <row r="7879" spans="1:5" x14ac:dyDescent="0.2">
      <c r="A7879">
        <v>7818</v>
      </c>
      <c r="B7879" s="1890">
        <f>'PCTC-OEPP 27-28'!F178</f>
        <v>7311170.5</v>
      </c>
      <c r="D7879" s="2" t="str">
        <f t="shared" si="129"/>
        <v>Error?</v>
      </c>
      <c r="E7879" s="4" t="s">
        <v>1998</v>
      </c>
    </row>
    <row r="7880" spans="1:5" x14ac:dyDescent="0.2">
      <c r="A7880">
        <v>7819</v>
      </c>
      <c r="B7880" s="1890"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5"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1" t="s">
        <v>1183</v>
      </c>
      <c r="B2" s="2611"/>
      <c r="C2" s="2611"/>
      <c r="D2" s="2611"/>
      <c r="E2" s="2611"/>
      <c r="F2" s="2611"/>
      <c r="G2" s="2611"/>
      <c r="H2" s="2611"/>
      <c r="I2" s="2611"/>
      <c r="J2" s="2611"/>
      <c r="K2" s="2611"/>
      <c r="L2" s="2611"/>
    </row>
    <row r="3" spans="1:29" ht="13.5" customHeight="1" x14ac:dyDescent="0.2">
      <c r="A3" s="2643" t="s">
        <v>1182</v>
      </c>
      <c r="B3" s="2643"/>
      <c r="C3" s="2643"/>
      <c r="D3" s="2643"/>
      <c r="E3" s="2643"/>
      <c r="F3" s="2643"/>
      <c r="G3" s="2643"/>
      <c r="H3" s="2643"/>
      <c r="I3" s="2643"/>
      <c r="J3" s="2643"/>
      <c r="K3" s="2643"/>
      <c r="L3" s="2643"/>
    </row>
    <row r="4" spans="1:29" ht="13.5" customHeight="1" x14ac:dyDescent="0.2">
      <c r="A4" s="2632" t="str">
        <f>"Year Ending June 30, "&amp;'AFR20'!E2</f>
        <v>Year Ending June 30, 2020</v>
      </c>
      <c r="B4" s="2633"/>
      <c r="C4" s="2633"/>
      <c r="D4" s="2633"/>
      <c r="E4" s="2633"/>
      <c r="F4" s="2633"/>
      <c r="G4" s="2633"/>
      <c r="H4" s="2633"/>
      <c r="I4" s="2633"/>
      <c r="J4" s="2633"/>
      <c r="K4" s="2633"/>
      <c r="L4" s="263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4" t="str">
        <f>COVER!A17</f>
        <v xml:space="preserve">   Grundy County Spec Ed Co-op</v>
      </c>
      <c r="B7" s="2635"/>
      <c r="C7" s="2635"/>
      <c r="D7" s="2636"/>
      <c r="E7" s="2637">
        <f>COVER!A13</f>
        <v>24032101061</v>
      </c>
      <c r="F7" s="2638"/>
      <c r="G7" s="2644" t="str">
        <f>COVER!T23</f>
        <v>066-004945</v>
      </c>
      <c r="H7" s="2645"/>
      <c r="I7" s="2645"/>
      <c r="J7" s="2645"/>
      <c r="K7" s="2645"/>
      <c r="L7" s="2646"/>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7"/>
      <c r="B9" s="2648"/>
      <c r="C9" s="2648"/>
      <c r="D9" s="2648"/>
      <c r="E9" s="2648"/>
      <c r="F9" s="2649"/>
      <c r="G9" s="2617" t="str">
        <f>COVER!T13</f>
        <v>GASSENSMITH &amp; MICHALESKO, LTD.</v>
      </c>
      <c r="H9" s="2650"/>
      <c r="I9" s="2650"/>
      <c r="J9" s="2650"/>
      <c r="K9" s="2650"/>
      <c r="L9" s="2651"/>
    </row>
    <row r="10" spans="1:29" ht="13.5" customHeight="1" x14ac:dyDescent="0.2">
      <c r="A10" s="2623" t="str">
        <f>COVER!A38</f>
        <v>Neil Sanburg</v>
      </c>
      <c r="B10" s="2624"/>
      <c r="C10" s="2624"/>
      <c r="D10" s="2624"/>
      <c r="E10" s="2624"/>
      <c r="F10" s="2625"/>
      <c r="G10" s="2617" t="str">
        <f>COVER!T17</f>
        <v>323 SPRINGFIELD AVE</v>
      </c>
      <c r="H10" s="2618"/>
      <c r="I10" s="2618"/>
      <c r="J10" s="2618"/>
      <c r="K10" s="2618"/>
      <c r="L10" s="2619"/>
    </row>
    <row r="11" spans="1:29" ht="13.5" customHeight="1" x14ac:dyDescent="0.2">
      <c r="A11" s="1008" t="s">
        <v>1505</v>
      </c>
      <c r="B11" s="1009"/>
      <c r="C11" s="1010"/>
      <c r="D11" s="1015"/>
      <c r="E11" s="1010"/>
      <c r="F11" s="1014"/>
      <c r="G11" s="2617" t="str">
        <f>COVER!T19</f>
        <v>JOLIET</v>
      </c>
      <c r="H11" s="2618"/>
      <c r="I11" s="2618"/>
      <c r="J11" s="2618"/>
      <c r="K11" s="2618"/>
      <c r="L11" s="2619"/>
    </row>
    <row r="12" spans="1:29" ht="13.5" customHeight="1" x14ac:dyDescent="0.2">
      <c r="A12" s="2626" t="s">
        <v>1504</v>
      </c>
      <c r="B12" s="2627"/>
      <c r="C12" s="2627"/>
      <c r="D12" s="2627"/>
      <c r="E12" s="2627"/>
      <c r="F12" s="2628"/>
      <c r="G12" s="2620"/>
      <c r="H12" s="2621"/>
      <c r="I12" s="2621"/>
      <c r="J12" s="2621"/>
      <c r="K12" s="2621"/>
      <c r="L12" s="2622"/>
    </row>
    <row r="13" spans="1:29" ht="13.5" customHeight="1" x14ac:dyDescent="0.2">
      <c r="A13" s="2617"/>
      <c r="B13" s="2618"/>
      <c r="C13" s="2618"/>
      <c r="D13" s="2618"/>
      <c r="E13" s="2618"/>
      <c r="F13" s="2619"/>
      <c r="G13" s="2612" t="s">
        <v>1506</v>
      </c>
      <c r="H13" s="2613"/>
      <c r="I13" s="2629">
        <f>COVER!T25</f>
        <v>0</v>
      </c>
      <c r="J13" s="2630"/>
      <c r="K13" s="2630"/>
      <c r="L13" s="2631"/>
    </row>
    <row r="14" spans="1:29" ht="13.5" customHeight="1" x14ac:dyDescent="0.2">
      <c r="A14" s="2617" t="str">
        <f>COVER!A19</f>
        <v>725 School Street</v>
      </c>
      <c r="B14" s="2618"/>
      <c r="C14" s="2618"/>
      <c r="D14" s="2618"/>
      <c r="E14" s="2618"/>
      <c r="F14" s="2619"/>
      <c r="G14" s="1019" t="s">
        <v>1177</v>
      </c>
      <c r="H14" s="1017"/>
      <c r="I14" s="1017"/>
      <c r="J14" s="1017"/>
      <c r="K14" s="1017"/>
      <c r="L14" s="1018"/>
    </row>
    <row r="15" spans="1:29" ht="13.5" customHeight="1" x14ac:dyDescent="0.2">
      <c r="A15" s="2617" t="str">
        <f>COVER!A21</f>
        <v>Morris</v>
      </c>
      <c r="B15" s="2618"/>
      <c r="C15" s="2618"/>
      <c r="D15" s="2618"/>
      <c r="E15" s="2618"/>
      <c r="F15" s="2619"/>
      <c r="G15" s="2614" t="str">
        <f>COVER!T15</f>
        <v>JOHN MICHALESKO</v>
      </c>
      <c r="H15" s="2615"/>
      <c r="I15" s="2615"/>
      <c r="J15" s="2615"/>
      <c r="K15" s="2615"/>
      <c r="L15" s="2616"/>
    </row>
    <row r="16" spans="1:29" ht="12.2" customHeight="1" x14ac:dyDescent="0.2">
      <c r="A16" s="2640">
        <f>COVER!A25</f>
        <v>60450</v>
      </c>
      <c r="B16" s="2641"/>
      <c r="C16" s="2641"/>
      <c r="D16" s="2641"/>
      <c r="E16" s="2641"/>
      <c r="F16" s="2642"/>
      <c r="G16" s="2652"/>
      <c r="H16" s="2653"/>
      <c r="I16" s="2653"/>
      <c r="J16" s="2653"/>
      <c r="K16" s="2653"/>
      <c r="L16" s="2654"/>
    </row>
    <row r="17" spans="1:13" ht="12.2" customHeight="1" x14ac:dyDescent="0.2">
      <c r="A17" s="2655"/>
      <c r="B17" s="2641"/>
      <c r="C17" s="2641"/>
      <c r="D17" s="2641"/>
      <c r="E17" s="2641"/>
      <c r="F17" s="2642"/>
      <c r="G17" s="1019" t="s">
        <v>1176</v>
      </c>
      <c r="H17" s="1017"/>
      <c r="I17" s="1017"/>
      <c r="J17" s="1017"/>
      <c r="K17" s="1021" t="s">
        <v>1175</v>
      </c>
      <c r="L17" s="1014"/>
      <c r="M17" s="1007"/>
    </row>
    <row r="18" spans="1:13" ht="12.2" customHeight="1" x14ac:dyDescent="0.2">
      <c r="A18" s="2623"/>
      <c r="B18" s="2624"/>
      <c r="C18" s="2624"/>
      <c r="D18" s="2624"/>
      <c r="E18" s="2624"/>
      <c r="F18" s="2625"/>
      <c r="G18" s="2634" t="str">
        <f>COVER!T21</f>
        <v>(815)744-6200</v>
      </c>
      <c r="H18" s="2635"/>
      <c r="I18" s="2635"/>
      <c r="J18" s="2635"/>
      <c r="K18" s="2634" t="str">
        <f>COVER!X21</f>
        <v>(815)744-3822</v>
      </c>
      <c r="L18" s="263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1809</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5"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6" t="str">
        <f>'Single Audit Cover'!A7</f>
        <v xml:space="preserve">   Grundy County Spec Ed Co-op</v>
      </c>
      <c r="B1" s="2657"/>
      <c r="C1" s="2657"/>
      <c r="D1" s="2657"/>
    </row>
    <row r="2" spans="1:11" s="1036" customFormat="1" ht="12.75" x14ac:dyDescent="0.2">
      <c r="A2" s="2658">
        <f>'Single Audit Cover'!E7</f>
        <v>24032101061</v>
      </c>
      <c r="B2" s="2659"/>
      <c r="C2" s="2659"/>
      <c r="D2" s="2659"/>
    </row>
    <row r="3" spans="1:11" s="1036" customFormat="1" ht="12.75" x14ac:dyDescent="0.2">
      <c r="A3" s="2656" t="s">
        <v>1499</v>
      </c>
      <c r="B3" s="2657"/>
      <c r="C3" s="2657"/>
      <c r="D3" s="2657"/>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1" t="str">
        <f>'Single Audit Cover'!A7</f>
        <v xml:space="preserve">   Grundy County Spec Ed Co-op</v>
      </c>
      <c r="B1" s="2661"/>
      <c r="C1" s="2661"/>
      <c r="D1" s="2661"/>
      <c r="E1" s="2661"/>
    </row>
    <row r="2" spans="1:5" x14ac:dyDescent="0.2">
      <c r="A2" s="2662">
        <f>'Single Audit Cover'!E7</f>
        <v>24032101061</v>
      </c>
      <c r="B2" s="2662"/>
      <c r="C2" s="2662"/>
      <c r="D2" s="2662"/>
      <c r="E2" s="2662"/>
    </row>
    <row r="3" spans="1:5" ht="4.5" customHeight="1" x14ac:dyDescent="0.2"/>
    <row r="4" spans="1:5" x14ac:dyDescent="0.2">
      <c r="A4" s="2661" t="s">
        <v>1236</v>
      </c>
      <c r="B4" s="2661"/>
      <c r="C4" s="2661"/>
      <c r="D4" s="2661"/>
      <c r="E4" s="2661"/>
    </row>
    <row r="5" spans="1:5" x14ac:dyDescent="0.2">
      <c r="A5" s="2664" t="str">
        <f>'Single Audit Cover'!A4</f>
        <v>Year Ending June 30, 2020</v>
      </c>
      <c r="B5" s="2664"/>
      <c r="C5" s="2664"/>
      <c r="D5" s="2664"/>
      <c r="E5" s="2664"/>
    </row>
    <row r="6" spans="1:5" x14ac:dyDescent="0.2">
      <c r="A6" s="2661" t="s">
        <v>1235</v>
      </c>
      <c r="B6" s="2661"/>
      <c r="C6" s="2661"/>
      <c r="D6" s="2661"/>
      <c r="E6" s="2661"/>
    </row>
    <row r="8" spans="1:5" x14ac:dyDescent="0.2">
      <c r="A8" s="1081" t="s">
        <v>1234</v>
      </c>
    </row>
    <row r="10" spans="1:5" x14ac:dyDescent="0.2">
      <c r="A10" s="1082" t="s">
        <v>1233</v>
      </c>
      <c r="B10" s="1083" t="s">
        <v>1232</v>
      </c>
      <c r="C10" s="1083"/>
      <c r="D10" s="1084">
        <f>SUM('Acct Summary 7-8'!C7:K7)</f>
        <v>2776877</v>
      </c>
    </row>
    <row r="11" spans="1:5" ht="18" customHeight="1" x14ac:dyDescent="0.2">
      <c r="A11" s="1082" t="s">
        <v>1231</v>
      </c>
      <c r="B11" s="1083"/>
      <c r="C11" s="1083"/>
    </row>
    <row r="12" spans="1:5" x14ac:dyDescent="0.2">
      <c r="A12" s="1082" t="s">
        <v>1230</v>
      </c>
      <c r="B12" s="1083" t="s">
        <v>1229</v>
      </c>
      <c r="C12" s="1083"/>
      <c r="D12" s="1085">
        <f>SUM('Revenues 9-14'!C112:D112,'Revenues 9-14'!F112:G112)</f>
        <v>172945</v>
      </c>
    </row>
    <row r="13" spans="1:5" x14ac:dyDescent="0.2">
      <c r="A13" s="1082" t="s">
        <v>1228</v>
      </c>
      <c r="B13" s="1083"/>
      <c r="C13" s="1083"/>
    </row>
    <row r="14" spans="1:5" x14ac:dyDescent="0.2">
      <c r="A14" s="1082" t="s">
        <v>2004</v>
      </c>
      <c r="B14" s="1083"/>
      <c r="C14" s="1083"/>
      <c r="D14" s="1085">
        <f>'ICR Computation 30'!E11</f>
        <v>0</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-346481</v>
      </c>
    </row>
    <row r="19" spans="1:4" ht="13.5" thickBot="1" x14ac:dyDescent="0.25">
      <c r="A19" s="1086" t="s">
        <v>1226</v>
      </c>
      <c r="D19" s="1087">
        <f>SUM(D10:D17)</f>
        <v>2603341</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3" t="s">
        <v>2088</v>
      </c>
      <c r="B24" s="2663"/>
      <c r="D24" s="1089">
        <v>-172945</v>
      </c>
    </row>
    <row r="25" spans="1:4" x14ac:dyDescent="0.2">
      <c r="A25" s="2660"/>
      <c r="B25" s="2660"/>
      <c r="D25" s="1089"/>
    </row>
    <row r="26" spans="1:4" x14ac:dyDescent="0.2">
      <c r="A26" s="2660"/>
      <c r="B26" s="2660"/>
      <c r="D26" s="1089"/>
    </row>
    <row r="27" spans="1:4" x14ac:dyDescent="0.2">
      <c r="A27" s="2660"/>
      <c r="B27" s="2660"/>
      <c r="D27" s="1089"/>
    </row>
    <row r="28" spans="1:4" x14ac:dyDescent="0.2">
      <c r="A28" s="2660"/>
      <c r="B28" s="2660"/>
      <c r="D28" s="1089"/>
    </row>
    <row r="29" spans="1:4" x14ac:dyDescent="0.2">
      <c r="A29" s="2660"/>
      <c r="B29" s="2660"/>
      <c r="D29" s="1089"/>
    </row>
    <row r="30" spans="1:4" x14ac:dyDescent="0.2">
      <c r="A30" s="2660"/>
      <c r="B30" s="2660"/>
      <c r="D30" s="1089"/>
    </row>
    <row r="32" spans="1:4" x14ac:dyDescent="0.2">
      <c r="A32" s="1081" t="s">
        <v>1224</v>
      </c>
      <c r="D32" s="1084">
        <f>SUM(D19:D30)</f>
        <v>2430396</v>
      </c>
    </row>
    <row r="33" spans="1:4" x14ac:dyDescent="0.2">
      <c r="D33" s="1090"/>
    </row>
    <row r="34" spans="1:4" x14ac:dyDescent="0.2">
      <c r="A34" s="295" t="s">
        <v>1223</v>
      </c>
    </row>
    <row r="35" spans="1:4" x14ac:dyDescent="0.2">
      <c r="A35" s="295" t="s">
        <v>1222</v>
      </c>
      <c r="B35" s="1079" t="s">
        <v>1221</v>
      </c>
      <c r="D35" s="1091">
        <f>+' SEFA'!F25</f>
        <v>2430396</v>
      </c>
    </row>
    <row r="37" spans="1:4" x14ac:dyDescent="0.2">
      <c r="A37" s="1081" t="s">
        <v>1220</v>
      </c>
    </row>
    <row r="39" spans="1:4" ht="13.35" customHeight="1" x14ac:dyDescent="0.2">
      <c r="A39" s="1088" t="s">
        <v>1219</v>
      </c>
    </row>
    <row r="40" spans="1:4" x14ac:dyDescent="0.2">
      <c r="A40" s="2660"/>
      <c r="B40" s="2660"/>
      <c r="D40" s="1089"/>
    </row>
    <row r="41" spans="1:4" x14ac:dyDescent="0.2">
      <c r="A41" s="2660"/>
      <c r="B41" s="2660"/>
      <c r="D41" s="1092"/>
    </row>
    <row r="42" spans="1:4" x14ac:dyDescent="0.2">
      <c r="A42" s="2660"/>
      <c r="B42" s="2660"/>
      <c r="D42" s="1092"/>
    </row>
    <row r="43" spans="1:4" x14ac:dyDescent="0.2">
      <c r="A43" s="2660"/>
      <c r="B43" s="2660"/>
      <c r="D43" s="1092"/>
    </row>
    <row r="44" spans="1:4" x14ac:dyDescent="0.2">
      <c r="A44" s="2660"/>
      <c r="B44" s="2660"/>
      <c r="D44" s="1092"/>
    </row>
    <row r="45" spans="1:4" x14ac:dyDescent="0.2">
      <c r="A45" s="2660"/>
      <c r="B45" s="2660"/>
      <c r="D45" s="1092"/>
    </row>
    <row r="47" spans="1:4" x14ac:dyDescent="0.2">
      <c r="B47" s="1093" t="s">
        <v>1218</v>
      </c>
      <c r="C47" s="1093"/>
      <c r="D47" s="1094">
        <f>SUM(D35:D45)</f>
        <v>2430396</v>
      </c>
    </row>
    <row r="49" spans="2:4" x14ac:dyDescent="0.2">
      <c r="B49" s="1093" t="s">
        <v>1217</v>
      </c>
      <c r="C49" s="1093"/>
      <c r="D49" s="1094">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3"/>
  <sheetViews>
    <sheetView showGridLines="0" zoomScaleNormal="100" workbookViewId="0">
      <selection activeCell="M19" sqref="M19"/>
    </sheetView>
  </sheetViews>
  <sheetFormatPr defaultColWidth="33.5703125" defaultRowHeight="12.75" x14ac:dyDescent="0.2"/>
  <cols>
    <col min="1" max="1" width="0.140625" style="295" customWidth="1"/>
    <col min="2" max="2" width="51.570312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3" t="str">
        <f>'Single Audit Cover'!A7</f>
        <v xml:space="preserve">   Grundy County Spec Ed Co-op</v>
      </c>
      <c r="C1" s="2665"/>
      <c r="D1" s="2665"/>
      <c r="E1" s="2665"/>
      <c r="F1" s="2665"/>
      <c r="G1" s="2665"/>
      <c r="H1" s="2665"/>
      <c r="I1" s="2665"/>
      <c r="J1" s="2665"/>
      <c r="K1" s="2665"/>
      <c r="L1" s="2665"/>
      <c r="M1" s="2665"/>
    </row>
    <row r="2" spans="2:14" ht="15" x14ac:dyDescent="0.2">
      <c r="B2" s="2666">
        <f>'Single Audit Cover'!E7</f>
        <v>24032101061</v>
      </c>
      <c r="C2" s="2666"/>
      <c r="D2" s="2666"/>
      <c r="E2" s="2666"/>
      <c r="F2" s="2666"/>
      <c r="G2" s="2666"/>
      <c r="H2" s="2666"/>
      <c r="I2" s="2666"/>
      <c r="J2" s="2666"/>
      <c r="K2" s="2666"/>
      <c r="L2" s="2666"/>
      <c r="M2" s="2666"/>
      <c r="N2" s="1123"/>
    </row>
    <row r="3" spans="2:14" ht="15" x14ac:dyDescent="0.2">
      <c r="B3" s="2667" t="s">
        <v>1210</v>
      </c>
      <c r="C3" s="2667"/>
      <c r="D3" s="2667"/>
      <c r="E3" s="2667"/>
      <c r="F3" s="2667"/>
      <c r="G3" s="2667"/>
      <c r="H3" s="2667"/>
      <c r="I3" s="2667"/>
      <c r="J3" s="2667"/>
      <c r="K3" s="2667"/>
      <c r="L3" s="2667"/>
      <c r="M3" s="2667"/>
      <c r="N3" s="1123"/>
    </row>
    <row r="4" spans="2:14" ht="15" x14ac:dyDescent="0.2">
      <c r="B4" s="2668" t="str">
        <f>'Single Audit Cover'!A4</f>
        <v>Year Ending June 30, 2020</v>
      </c>
      <c r="C4" s="2668"/>
      <c r="D4" s="2668"/>
      <c r="E4" s="2668"/>
      <c r="F4" s="2668"/>
      <c r="G4" s="2668"/>
      <c r="H4" s="2668"/>
      <c r="I4" s="2668"/>
      <c r="J4" s="2668"/>
      <c r="K4" s="2668"/>
      <c r="L4" s="2668"/>
      <c r="M4" s="2668"/>
      <c r="N4" s="1123"/>
    </row>
    <row r="5" spans="2:14" x14ac:dyDescent="0.2">
      <c r="H5" s="1983"/>
      <c r="J5" s="1983"/>
    </row>
    <row r="6" spans="2:14" x14ac:dyDescent="0.2">
      <c r="B6" s="1124"/>
      <c r="C6" s="1125"/>
      <c r="D6" s="1126" t="s">
        <v>1256</v>
      </c>
      <c r="E6" s="1127" t="s">
        <v>524</v>
      </c>
      <c r="F6" s="1128"/>
      <c r="G6" s="1129" t="s">
        <v>1711</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2072</v>
      </c>
      <c r="C11" s="1879"/>
      <c r="D11" s="1880"/>
      <c r="E11" s="1881"/>
      <c r="F11" s="1881"/>
      <c r="G11" s="1881"/>
      <c r="H11" s="1881"/>
      <c r="I11" s="1881"/>
      <c r="J11" s="1881"/>
      <c r="K11" s="1881"/>
      <c r="L11" s="1881"/>
      <c r="M11" s="1881"/>
    </row>
    <row r="12" spans="2:14" ht="20.100000000000001" customHeight="1" x14ac:dyDescent="0.2">
      <c r="B12" s="1158" t="s">
        <v>2073</v>
      </c>
      <c r="C12" s="1882"/>
      <c r="D12" s="1883"/>
      <c r="E12" s="1884"/>
      <c r="F12" s="1884"/>
      <c r="G12" s="1884"/>
      <c r="H12" s="1884"/>
      <c r="I12" s="1884"/>
      <c r="J12" s="1884"/>
      <c r="K12" s="1884"/>
      <c r="L12" s="1881"/>
      <c r="M12" s="1884"/>
    </row>
    <row r="13" spans="2:14" ht="20.100000000000001" customHeight="1" x14ac:dyDescent="0.2">
      <c r="B13" s="1158" t="s">
        <v>2074</v>
      </c>
      <c r="C13" s="1882"/>
      <c r="D13" s="1883"/>
      <c r="E13" s="1884"/>
      <c r="F13" s="1884"/>
      <c r="G13" s="1884"/>
      <c r="H13" s="1884"/>
      <c r="I13" s="1884"/>
      <c r="J13" s="1884"/>
      <c r="K13" s="1884"/>
      <c r="L13" s="1881"/>
      <c r="M13" s="1884"/>
    </row>
    <row r="14" spans="2:14" ht="20.100000000000001" customHeight="1" x14ac:dyDescent="0.2">
      <c r="B14" s="1158" t="s">
        <v>2080</v>
      </c>
      <c r="C14" s="1882" t="s">
        <v>2100</v>
      </c>
      <c r="D14" s="1883" t="s">
        <v>2083</v>
      </c>
      <c r="E14" s="2104">
        <v>0</v>
      </c>
      <c r="F14" s="2104">
        <v>1373749</v>
      </c>
      <c r="G14" s="2104">
        <v>0</v>
      </c>
      <c r="H14" s="2104">
        <v>0</v>
      </c>
      <c r="I14" s="2104">
        <v>2263744</v>
      </c>
      <c r="J14" s="2104">
        <v>997686</v>
      </c>
      <c r="K14" s="2104">
        <v>0</v>
      </c>
      <c r="L14" s="2105">
        <f t="shared" ref="L14:L23" si="0">+G14+I14+K14</f>
        <v>2263744</v>
      </c>
      <c r="M14" s="2104">
        <v>2484140</v>
      </c>
    </row>
    <row r="15" spans="2:14" ht="20.100000000000001" customHeight="1" x14ac:dyDescent="0.2">
      <c r="B15" s="1158" t="s">
        <v>2107</v>
      </c>
      <c r="C15" s="1882" t="s">
        <v>2100</v>
      </c>
      <c r="D15" s="1883" t="s">
        <v>2084</v>
      </c>
      <c r="E15" s="2104">
        <v>1688658</v>
      </c>
      <c r="F15" s="2104">
        <v>946657</v>
      </c>
      <c r="G15" s="2104">
        <v>2635351</v>
      </c>
      <c r="H15" s="2104">
        <v>1105927</v>
      </c>
      <c r="I15" s="2104">
        <v>0</v>
      </c>
      <c r="J15" s="2104">
        <v>0</v>
      </c>
      <c r="K15" s="2104">
        <v>0</v>
      </c>
      <c r="L15" s="2105">
        <f t="shared" si="0"/>
        <v>2635351</v>
      </c>
      <c r="M15" s="2104">
        <v>2808998</v>
      </c>
    </row>
    <row r="16" spans="2:14" ht="20.100000000000001" customHeight="1" x14ac:dyDescent="0.2">
      <c r="B16" s="1158" t="s">
        <v>2108</v>
      </c>
      <c r="C16" s="1882" t="s">
        <v>2109</v>
      </c>
      <c r="D16" s="1883" t="s">
        <v>2081</v>
      </c>
      <c r="E16" s="2104">
        <v>0</v>
      </c>
      <c r="F16" s="2104">
        <v>56976</v>
      </c>
      <c r="G16" s="2104">
        <v>0</v>
      </c>
      <c r="H16" s="2104">
        <v>0</v>
      </c>
      <c r="I16" s="2104">
        <v>89769</v>
      </c>
      <c r="J16" s="2104">
        <v>0</v>
      </c>
      <c r="K16" s="2104">
        <v>0</v>
      </c>
      <c r="L16" s="2105">
        <f t="shared" si="0"/>
        <v>89769</v>
      </c>
      <c r="M16" s="2104">
        <v>112071</v>
      </c>
    </row>
    <row r="17" spans="2:14" ht="20.100000000000001" customHeight="1" x14ac:dyDescent="0.2">
      <c r="B17" s="1158" t="s">
        <v>2079</v>
      </c>
      <c r="C17" s="1882" t="s">
        <v>2109</v>
      </c>
      <c r="D17" s="1883" t="s">
        <v>2082</v>
      </c>
      <c r="E17" s="2104">
        <v>29474</v>
      </c>
      <c r="F17" s="2104">
        <v>5945</v>
      </c>
      <c r="G17" s="2104">
        <v>35419</v>
      </c>
      <c r="H17" s="2104">
        <v>0</v>
      </c>
      <c r="I17" s="2104">
        <v>0</v>
      </c>
      <c r="J17" s="2104">
        <v>0</v>
      </c>
      <c r="K17" s="2104">
        <v>0</v>
      </c>
      <c r="L17" s="2105">
        <f t="shared" si="0"/>
        <v>35419</v>
      </c>
      <c r="M17" s="2104">
        <v>49139</v>
      </c>
    </row>
    <row r="18" spans="2:14" ht="20.100000000000001" customHeight="1" x14ac:dyDescent="0.2">
      <c r="B18" s="1158" t="s">
        <v>2075</v>
      </c>
      <c r="C18" s="1882"/>
      <c r="D18" s="1883"/>
      <c r="E18" s="2104">
        <f t="shared" ref="E18:L18" si="1">SUM(E14:E17)</f>
        <v>1718132</v>
      </c>
      <c r="F18" s="2104">
        <f t="shared" si="1"/>
        <v>2383327</v>
      </c>
      <c r="G18" s="2104">
        <f t="shared" si="1"/>
        <v>2670770</v>
      </c>
      <c r="H18" s="2104">
        <f t="shared" si="1"/>
        <v>1105927</v>
      </c>
      <c r="I18" s="2104">
        <f t="shared" si="1"/>
        <v>2353513</v>
      </c>
      <c r="J18" s="2104">
        <f t="shared" si="1"/>
        <v>997686</v>
      </c>
      <c r="K18" s="2104">
        <f t="shared" si="1"/>
        <v>0</v>
      </c>
      <c r="L18" s="2104">
        <f t="shared" si="1"/>
        <v>5024283</v>
      </c>
      <c r="M18" s="2104" t="s">
        <v>2087</v>
      </c>
    </row>
    <row r="19" spans="2:14" ht="20.100000000000001" customHeight="1" x14ac:dyDescent="0.2">
      <c r="B19" s="1158" t="s">
        <v>2076</v>
      </c>
      <c r="C19" s="1882"/>
      <c r="D19" s="1883"/>
      <c r="E19" s="2104"/>
      <c r="F19" s="2104"/>
      <c r="G19" s="2104"/>
      <c r="H19" s="2104"/>
      <c r="I19" s="2104"/>
      <c r="J19" s="2104"/>
      <c r="K19" s="2104"/>
      <c r="L19" s="2105">
        <f t="shared" si="0"/>
        <v>0</v>
      </c>
      <c r="M19" s="2104"/>
    </row>
    <row r="20" spans="2:14" ht="20.100000000000001" customHeight="1" x14ac:dyDescent="0.2">
      <c r="B20" s="1158" t="s">
        <v>2077</v>
      </c>
      <c r="C20" s="1882"/>
      <c r="D20" s="1883"/>
      <c r="E20" s="2104"/>
      <c r="F20" s="2104"/>
      <c r="G20" s="2104"/>
      <c r="H20" s="2104"/>
      <c r="I20" s="2104"/>
      <c r="J20" s="2104"/>
      <c r="K20" s="2104"/>
      <c r="L20" s="2105">
        <f t="shared" si="0"/>
        <v>0</v>
      </c>
      <c r="M20" s="2104"/>
    </row>
    <row r="21" spans="2:14" ht="20.100000000000001" customHeight="1" x14ac:dyDescent="0.2">
      <c r="B21" s="1158" t="s">
        <v>2078</v>
      </c>
      <c r="C21" s="1882">
        <v>93.778000000000006</v>
      </c>
      <c r="D21" s="1883" t="s">
        <v>2085</v>
      </c>
      <c r="E21" s="2104">
        <v>0</v>
      </c>
      <c r="F21" s="2104">
        <v>47069</v>
      </c>
      <c r="G21" s="2104">
        <v>0</v>
      </c>
      <c r="H21" s="2104">
        <v>0</v>
      </c>
      <c r="I21" s="2104">
        <v>47069</v>
      </c>
      <c r="J21" s="2104">
        <v>0</v>
      </c>
      <c r="K21" s="2104">
        <v>0</v>
      </c>
      <c r="L21" s="2105">
        <f t="shared" si="0"/>
        <v>47069</v>
      </c>
      <c r="M21" s="2104" t="s">
        <v>2087</v>
      </c>
    </row>
    <row r="22" spans="2:14" ht="20.100000000000001" customHeight="1" x14ac:dyDescent="0.2">
      <c r="B22" s="1158" t="s">
        <v>2078</v>
      </c>
      <c r="C22" s="1882">
        <v>93.778000000000006</v>
      </c>
      <c r="D22" s="1883" t="s">
        <v>2086</v>
      </c>
      <c r="E22" s="2104">
        <v>39999</v>
      </c>
      <c r="F22" s="2104">
        <v>0</v>
      </c>
      <c r="G22" s="2104">
        <v>56637</v>
      </c>
      <c r="H22" s="2104">
        <v>0</v>
      </c>
      <c r="I22" s="2104">
        <v>0</v>
      </c>
      <c r="J22" s="2104">
        <v>0</v>
      </c>
      <c r="K22" s="2104">
        <v>0</v>
      </c>
      <c r="L22" s="2105">
        <f t="shared" si="0"/>
        <v>56637</v>
      </c>
      <c r="M22" s="2104" t="s">
        <v>2087</v>
      </c>
    </row>
    <row r="23" spans="2:14" ht="20.100000000000001" customHeight="1" x14ac:dyDescent="0.2">
      <c r="B23" s="1158" t="s">
        <v>2136</v>
      </c>
      <c r="C23" s="1882"/>
      <c r="D23" s="1883"/>
      <c r="E23" s="2104">
        <f t="shared" ref="E23:K23" si="2">SUM(E21:E22)</f>
        <v>39999</v>
      </c>
      <c r="F23" s="2104">
        <f t="shared" si="2"/>
        <v>47069</v>
      </c>
      <c r="G23" s="2104">
        <f t="shared" si="2"/>
        <v>56637</v>
      </c>
      <c r="H23" s="2104">
        <f t="shared" si="2"/>
        <v>0</v>
      </c>
      <c r="I23" s="2104">
        <f t="shared" si="2"/>
        <v>47069</v>
      </c>
      <c r="J23" s="2104">
        <f t="shared" si="2"/>
        <v>0</v>
      </c>
      <c r="K23" s="2104">
        <f t="shared" si="2"/>
        <v>0</v>
      </c>
      <c r="L23" s="2105">
        <f t="shared" si="0"/>
        <v>103706</v>
      </c>
      <c r="M23" s="2104" t="s">
        <v>2087</v>
      </c>
    </row>
    <row r="24" spans="2:14" ht="20.100000000000001" customHeight="1" x14ac:dyDescent="0.2">
      <c r="B24" s="1158"/>
      <c r="C24" s="1882"/>
      <c r="D24" s="1883"/>
      <c r="E24" s="2104"/>
      <c r="F24" s="2104"/>
      <c r="G24" s="2104"/>
      <c r="H24" s="2104"/>
      <c r="I24" s="2104"/>
      <c r="J24" s="2104"/>
      <c r="K24" s="2104"/>
      <c r="L24" s="2105"/>
      <c r="M24" s="2104"/>
    </row>
    <row r="25" spans="2:14" ht="20.100000000000001" customHeight="1" x14ac:dyDescent="0.2">
      <c r="B25" s="1158" t="s">
        <v>1153</v>
      </c>
      <c r="C25" s="1882"/>
      <c r="D25" s="1883"/>
      <c r="E25" s="2104">
        <f t="shared" ref="E25:L25" si="3">+E23+E18</f>
        <v>1758131</v>
      </c>
      <c r="F25" s="2104">
        <f t="shared" si="3"/>
        <v>2430396</v>
      </c>
      <c r="G25" s="2104">
        <f t="shared" si="3"/>
        <v>2727407</v>
      </c>
      <c r="H25" s="2104">
        <f t="shared" si="3"/>
        <v>1105927</v>
      </c>
      <c r="I25" s="2104">
        <f t="shared" si="3"/>
        <v>2400582</v>
      </c>
      <c r="J25" s="2104">
        <f t="shared" si="3"/>
        <v>997686</v>
      </c>
      <c r="K25" s="2104">
        <f t="shared" si="3"/>
        <v>0</v>
      </c>
      <c r="L25" s="2104">
        <f t="shared" si="3"/>
        <v>5127989</v>
      </c>
      <c r="M25" s="2104" t="s">
        <v>2087</v>
      </c>
    </row>
    <row r="26" spans="2:14" ht="20.100000000000001" customHeight="1" x14ac:dyDescent="0.2">
      <c r="B26" s="1158"/>
      <c r="C26" s="1882"/>
      <c r="D26" s="1883"/>
      <c r="E26" s="2104"/>
      <c r="F26" s="2104"/>
      <c r="G26" s="2104"/>
      <c r="H26" s="2104"/>
      <c r="I26" s="2104"/>
      <c r="J26" s="2104"/>
      <c r="K26" s="2104"/>
      <c r="L26" s="2105"/>
      <c r="M26" s="2104"/>
    </row>
    <row r="27" spans="2:14" ht="20.100000000000001" customHeight="1" x14ac:dyDescent="0.2">
      <c r="B27" s="1158"/>
      <c r="C27" s="1882"/>
      <c r="D27" s="1883"/>
      <c r="E27" s="1884"/>
      <c r="F27" s="1884"/>
      <c r="G27" s="1884"/>
      <c r="H27" s="1884"/>
      <c r="I27" s="1884"/>
      <c r="J27" s="1884"/>
      <c r="K27" s="1884"/>
      <c r="L27" s="1881"/>
      <c r="M27" s="1884"/>
    </row>
    <row r="28" spans="2:14" ht="20.100000000000001" customHeight="1" x14ac:dyDescent="0.2">
      <c r="B28" s="1158"/>
      <c r="C28" s="1882"/>
      <c r="D28" s="1883"/>
      <c r="E28" s="1884"/>
      <c r="F28" s="1884"/>
      <c r="G28" s="1884"/>
      <c r="H28" s="1884"/>
      <c r="I28" s="1884"/>
      <c r="J28" s="1884"/>
      <c r="K28" s="1884"/>
      <c r="L28" s="1881"/>
      <c r="M28" s="1884"/>
      <c r="N28" s="1159"/>
    </row>
    <row r="29" spans="2:14" ht="12.75" customHeight="1" x14ac:dyDescent="0.2">
      <c r="B29" s="1160"/>
      <c r="C29" s="1161"/>
      <c r="D29" s="1162"/>
      <c r="E29" s="1163"/>
      <c r="F29" s="1163"/>
      <c r="G29" s="1163"/>
      <c r="H29" s="1163"/>
      <c r="I29" s="1163"/>
      <c r="J29" s="1163"/>
      <c r="K29" s="1163"/>
      <c r="L29" s="1163"/>
      <c r="M29" s="1163"/>
      <c r="N29" s="1159"/>
    </row>
    <row r="30" spans="2:14" x14ac:dyDescent="0.2">
      <c r="B30" s="1078"/>
      <c r="C30" s="1164"/>
      <c r="D30" s="1165"/>
      <c r="E30" s="1078"/>
      <c r="F30" s="1078"/>
      <c r="G30" s="1071"/>
      <c r="H30" s="1071"/>
      <c r="I30" s="1071"/>
      <c r="J30" s="1071"/>
      <c r="K30" s="1071"/>
      <c r="L30" s="1071"/>
      <c r="M30" s="1078"/>
      <c r="N30" s="1159"/>
    </row>
    <row r="31" spans="2:14" ht="13.5" customHeight="1" x14ac:dyDescent="0.2">
      <c r="B31" s="1103" t="s">
        <v>1714</v>
      </c>
      <c r="C31" s="1164"/>
      <c r="D31" s="1165"/>
      <c r="E31" s="1078"/>
      <c r="F31" s="1078"/>
      <c r="G31" s="1071"/>
      <c r="H31" s="1071"/>
      <c r="I31" s="1071"/>
      <c r="J31" s="1071"/>
      <c r="K31" s="1071"/>
      <c r="L31" s="1071"/>
      <c r="M31" s="1078"/>
      <c r="N31" s="1159"/>
    </row>
    <row r="32" spans="2:14" ht="8.25" customHeight="1" x14ac:dyDescent="0.2">
      <c r="B32" s="1103"/>
      <c r="C32" s="1164"/>
      <c r="D32" s="1165"/>
      <c r="E32" s="1078"/>
      <c r="F32" s="1078"/>
      <c r="G32" s="1071"/>
      <c r="H32" s="1071"/>
      <c r="I32" s="1071"/>
      <c r="J32" s="1071"/>
      <c r="K32" s="1071"/>
      <c r="L32" s="1071"/>
      <c r="M32" s="1078"/>
      <c r="N32" s="1159"/>
    </row>
    <row r="33" spans="2:13" x14ac:dyDescent="0.2">
      <c r="B33" s="1166" t="s">
        <v>1812</v>
      </c>
      <c r="C33" s="1167"/>
      <c r="D33" s="1168"/>
      <c r="E33" s="1169"/>
      <c r="F33" s="1169"/>
      <c r="G33" s="1169"/>
      <c r="H33" s="1169"/>
      <c r="I33" s="295"/>
      <c r="J33" s="295"/>
    </row>
    <row r="34" spans="2:13" x14ac:dyDescent="0.2">
      <c r="B34" s="1098"/>
      <c r="C34" s="1170"/>
      <c r="D34" s="1171"/>
      <c r="E34" s="1099"/>
      <c r="F34" s="1099"/>
      <c r="G34" s="295"/>
      <c r="H34" s="295"/>
      <c r="I34" s="295"/>
      <c r="J34" s="295"/>
    </row>
    <row r="35" spans="2:13" ht="13.5" customHeight="1" x14ac:dyDescent="0.2">
      <c r="B35" s="1097" t="s">
        <v>1237</v>
      </c>
      <c r="G35" s="295"/>
      <c r="H35" s="295"/>
      <c r="I35" s="295"/>
      <c r="J35" s="295"/>
    </row>
    <row r="36" spans="2:13" ht="13.5" customHeight="1" x14ac:dyDescent="0.2">
      <c r="B36" s="1174"/>
      <c r="C36" s="1175"/>
      <c r="D36" s="1176"/>
      <c r="E36" s="1118"/>
      <c r="F36" s="1118"/>
      <c r="G36" s="1118"/>
      <c r="H36" s="1118"/>
      <c r="I36" s="1118"/>
      <c r="J36" s="1118"/>
      <c r="K36" s="1177"/>
      <c r="L36" s="1177"/>
      <c r="M36" s="1118"/>
    </row>
    <row r="37" spans="2:13" ht="9.6" customHeight="1" x14ac:dyDescent="0.2">
      <c r="B37" s="1178"/>
      <c r="G37" s="295"/>
      <c r="H37" s="295"/>
      <c r="I37" s="295"/>
      <c r="J37" s="295"/>
    </row>
    <row r="38" spans="2:13" ht="11.25" customHeight="1" x14ac:dyDescent="0.2">
      <c r="B38" s="1179" t="s">
        <v>1715</v>
      </c>
      <c r="C38" s="1180"/>
      <c r="D38" s="1180"/>
      <c r="E38" s="1180"/>
      <c r="F38" s="1180"/>
      <c r="G38" s="1180"/>
      <c r="H38" s="1180"/>
      <c r="I38" s="1181"/>
      <c r="J38" s="1181"/>
      <c r="K38" s="1181"/>
      <c r="L38" s="1181"/>
      <c r="M38" s="1181"/>
    </row>
    <row r="39" spans="2:13" ht="11.25" customHeight="1" x14ac:dyDescent="0.2">
      <c r="B39" s="1182" t="s">
        <v>1570</v>
      </c>
      <c r="C39" s="1181"/>
      <c r="D39" s="1181"/>
      <c r="E39" s="1181"/>
      <c r="F39" s="1181"/>
      <c r="G39" s="1181"/>
      <c r="H39" s="1181"/>
      <c r="I39" s="1181"/>
      <c r="J39" s="1181"/>
      <c r="K39" s="1181"/>
      <c r="L39" s="1181"/>
      <c r="M39" s="1181"/>
    </row>
    <row r="40" spans="2:13" ht="3.95" customHeight="1" x14ac:dyDescent="0.2">
      <c r="B40" s="1182"/>
      <c r="C40" s="1181"/>
      <c r="D40" s="1181"/>
      <c r="E40" s="1181"/>
      <c r="F40" s="1181"/>
      <c r="G40" s="1181"/>
      <c r="H40" s="1181"/>
      <c r="I40" s="1181"/>
      <c r="J40" s="1181"/>
      <c r="K40" s="1181"/>
      <c r="L40" s="1181"/>
      <c r="M40" s="1181"/>
    </row>
    <row r="41" spans="2:13" ht="11.25" customHeight="1" x14ac:dyDescent="0.2">
      <c r="B41" s="1179" t="s">
        <v>1716</v>
      </c>
      <c r="C41" s="1181"/>
      <c r="D41" s="1181"/>
      <c r="E41" s="1181"/>
      <c r="F41" s="1181"/>
      <c r="G41" s="1181"/>
      <c r="H41" s="1181"/>
      <c r="I41" s="1181"/>
      <c r="J41" s="1181"/>
      <c r="K41" s="1181"/>
      <c r="L41" s="1181"/>
      <c r="M41" s="1181"/>
    </row>
    <row r="42" spans="2:13" ht="11.25" customHeight="1" x14ac:dyDescent="0.2">
      <c r="B42" s="1121" t="s">
        <v>1571</v>
      </c>
      <c r="C42" s="1183"/>
      <c r="D42" s="1184"/>
      <c r="E42" s="1121"/>
      <c r="F42" s="1121"/>
      <c r="G42" s="1121"/>
      <c r="H42" s="1121"/>
      <c r="I42" s="1121"/>
      <c r="J42" s="1121"/>
      <c r="K42" s="1185"/>
      <c r="L42" s="1185"/>
      <c r="M42" s="1121"/>
    </row>
    <row r="43" spans="2:13" ht="3.95" customHeight="1" x14ac:dyDescent="0.2">
      <c r="B43" s="1121"/>
      <c r="C43" s="1183"/>
      <c r="D43" s="1184"/>
      <c r="E43" s="1121"/>
      <c r="F43" s="1121"/>
      <c r="G43" s="1121"/>
      <c r="H43" s="1121"/>
      <c r="I43" s="1121"/>
      <c r="J43" s="1121"/>
      <c r="K43" s="1185"/>
      <c r="L43" s="1185"/>
      <c r="M43" s="1121"/>
    </row>
    <row r="44" spans="2:13" ht="11.25" customHeight="1" x14ac:dyDescent="0.2">
      <c r="B44" s="1186" t="s">
        <v>1717</v>
      </c>
      <c r="C44" s="1183"/>
      <c r="D44" s="1184"/>
      <c r="E44" s="1121"/>
      <c r="F44" s="1121"/>
      <c r="G44" s="1121"/>
      <c r="H44" s="1121"/>
      <c r="I44" s="1121"/>
      <c r="J44" s="1121"/>
      <c r="K44" s="1185"/>
      <c r="L44" s="1185"/>
      <c r="M44" s="1121"/>
    </row>
    <row r="45" spans="2:13" ht="3.95" customHeight="1" x14ac:dyDescent="0.2">
      <c r="B45" s="1186"/>
      <c r="C45" s="1183"/>
      <c r="D45" s="1184"/>
      <c r="E45" s="1121"/>
      <c r="F45" s="1121"/>
      <c r="G45" s="1121"/>
      <c r="H45" s="1121"/>
      <c r="I45" s="1121"/>
      <c r="J45" s="1121"/>
      <c r="K45" s="1185"/>
      <c r="L45" s="1185"/>
      <c r="M45" s="1121"/>
    </row>
    <row r="46" spans="2:13" ht="11.25" customHeight="1" x14ac:dyDescent="0.2">
      <c r="B46" s="1187" t="s">
        <v>1718</v>
      </c>
      <c r="C46" s="1183"/>
      <c r="D46" s="1184"/>
      <c r="E46" s="1121"/>
      <c r="F46" s="1121"/>
      <c r="G46" s="1121"/>
      <c r="H46" s="1121"/>
      <c r="I46" s="1121"/>
      <c r="J46" s="1121"/>
      <c r="K46" s="1185"/>
      <c r="L46" s="1185"/>
      <c r="M46" s="1121"/>
    </row>
    <row r="47" spans="2:13" ht="11.25" customHeight="1" x14ac:dyDescent="0.2">
      <c r="B47" s="1121" t="s">
        <v>1572</v>
      </c>
      <c r="G47" s="295"/>
      <c r="H47" s="295"/>
      <c r="I47" s="295"/>
      <c r="J47" s="295"/>
    </row>
    <row r="48" spans="2:13" ht="11.1" customHeight="1" x14ac:dyDescent="0.2">
      <c r="B48" s="1121"/>
      <c r="G48" s="295"/>
      <c r="H48" s="295"/>
      <c r="I48" s="295"/>
      <c r="J48" s="295"/>
    </row>
    <row r="49" spans="2:13" ht="11.1" customHeight="1" x14ac:dyDescent="0.2">
      <c r="B49" s="1121"/>
      <c r="G49" s="295"/>
      <c r="H49" s="295"/>
      <c r="I49" s="295"/>
      <c r="J49" s="295"/>
    </row>
    <row r="50" spans="2:13" ht="13.5" customHeight="1" x14ac:dyDescent="0.2">
      <c r="M50" s="1188"/>
    </row>
    <row r="51" spans="2:13" ht="13.5" customHeight="1" x14ac:dyDescent="0.2">
      <c r="M51" s="1188"/>
    </row>
    <row r="52" spans="2:13" ht="13.5" customHeight="1" x14ac:dyDescent="0.2">
      <c r="M52" s="1188"/>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ignoredErrors>
    <ignoredError sqref="E19:L20 L14:L17 E18:K18 E23:L25 F21 L21 E22 L22 G22 I21" unlockedFormula="1"/>
    <ignoredError sqref="L18"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A4" sqref="A4:L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6" t="s">
        <v>1160</v>
      </c>
      <c r="B2" s="2226"/>
      <c r="C2" s="2226"/>
      <c r="D2" s="2226"/>
      <c r="E2" s="2226"/>
      <c r="F2" s="2226"/>
      <c r="G2" s="2226"/>
      <c r="H2" s="2226"/>
      <c r="I2" s="2226"/>
      <c r="J2" s="222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0" t="s">
        <v>1619</v>
      </c>
      <c r="B35" s="2241"/>
      <c r="C35" s="2241"/>
      <c r="D35" s="2241"/>
      <c r="E35" s="2242"/>
      <c r="F35" s="2242"/>
      <c r="G35" s="2242"/>
      <c r="H35" s="2242"/>
      <c r="I35" s="224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0" t="s">
        <v>310</v>
      </c>
      <c r="B47" s="2243"/>
      <c r="C47" s="2243"/>
      <c r="D47" s="2243"/>
      <c r="E47" s="2244"/>
      <c r="F47" s="2244"/>
      <c r="G47" s="2244"/>
      <c r="H47" s="2244"/>
      <c r="I47" s="224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2062</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7"/>
      <c r="C57" s="2248"/>
      <c r="D57" s="2248"/>
      <c r="E57" s="2248"/>
      <c r="F57" s="2248"/>
      <c r="G57" s="2248"/>
      <c r="H57" s="2248"/>
      <c r="I57" s="2248"/>
      <c r="J57" s="2249"/>
    </row>
    <row r="58" spans="1:10" s="176" customFormat="1" x14ac:dyDescent="0.2">
      <c r="A58" s="248"/>
      <c r="B58" s="2250"/>
      <c r="C58" s="2251"/>
      <c r="D58" s="2251"/>
      <c r="E58" s="2251"/>
      <c r="F58" s="2251"/>
      <c r="G58" s="2251"/>
      <c r="H58" s="2251"/>
      <c r="I58" s="2251"/>
      <c r="J58" s="2252"/>
    </row>
    <row r="59" spans="1:10" s="176" customFormat="1" x14ac:dyDescent="0.2">
      <c r="A59" s="248"/>
      <c r="B59" s="2250"/>
      <c r="C59" s="2251"/>
      <c r="D59" s="2251"/>
      <c r="E59" s="2251"/>
      <c r="F59" s="2251"/>
      <c r="G59" s="2251"/>
      <c r="H59" s="2251"/>
      <c r="I59" s="2251"/>
      <c r="J59" s="2252"/>
    </row>
    <row r="60" spans="1:10" s="176" customFormat="1" x14ac:dyDescent="0.2">
      <c r="A60" s="248"/>
      <c r="B60" s="2250"/>
      <c r="C60" s="2251"/>
      <c r="D60" s="2251"/>
      <c r="E60" s="2251"/>
      <c r="F60" s="2251"/>
      <c r="G60" s="2251"/>
      <c r="H60" s="2251"/>
      <c r="I60" s="2251"/>
      <c r="J60" s="2252"/>
    </row>
    <row r="61" spans="1:10" s="176" customFormat="1" x14ac:dyDescent="0.2">
      <c r="A61" s="248"/>
      <c r="B61" s="2250"/>
      <c r="C61" s="2251"/>
      <c r="D61" s="2251"/>
      <c r="E61" s="2251"/>
      <c r="F61" s="2251"/>
      <c r="G61" s="2251"/>
      <c r="H61" s="2251"/>
      <c r="I61" s="2251"/>
      <c r="J61" s="2252"/>
    </row>
    <row r="62" spans="1:10" s="176" customFormat="1" x14ac:dyDescent="0.2">
      <c r="A62" s="248"/>
      <c r="B62" s="2250"/>
      <c r="C62" s="2251"/>
      <c r="D62" s="2251"/>
      <c r="E62" s="2251"/>
      <c r="F62" s="2251"/>
      <c r="G62" s="2251"/>
      <c r="H62" s="2251"/>
      <c r="I62" s="2251"/>
      <c r="J62" s="2252"/>
    </row>
    <row r="63" spans="1:10" s="176" customFormat="1" x14ac:dyDescent="0.2">
      <c r="A63" s="248"/>
      <c r="B63" s="2250"/>
      <c r="C63" s="2251"/>
      <c r="D63" s="2251"/>
      <c r="E63" s="2251"/>
      <c r="F63" s="2251"/>
      <c r="G63" s="2251"/>
      <c r="H63" s="2251"/>
      <c r="I63" s="2251"/>
      <c r="J63" s="2252"/>
    </row>
    <row r="64" spans="1:10" s="176" customFormat="1" x14ac:dyDescent="0.2">
      <c r="A64" s="248"/>
      <c r="B64" s="2250"/>
      <c r="C64" s="2251"/>
      <c r="D64" s="2251"/>
      <c r="E64" s="2251"/>
      <c r="F64" s="2251"/>
      <c r="G64" s="2251"/>
      <c r="H64" s="2251"/>
      <c r="I64" s="2251"/>
      <c r="J64" s="2252"/>
    </row>
    <row r="65" spans="1:11" s="176" customFormat="1" x14ac:dyDescent="0.2">
      <c r="A65" s="248"/>
      <c r="B65" s="2250"/>
      <c r="C65" s="2251"/>
      <c r="D65" s="2251"/>
      <c r="E65" s="2251"/>
      <c r="F65" s="2251"/>
      <c r="G65" s="2251"/>
      <c r="H65" s="2251"/>
      <c r="I65" s="2251"/>
      <c r="J65" s="2252"/>
    </row>
    <row r="66" spans="1:11" s="176" customFormat="1" x14ac:dyDescent="0.2">
      <c r="A66" s="248"/>
      <c r="B66" s="2250"/>
      <c r="C66" s="2251"/>
      <c r="D66" s="2251"/>
      <c r="E66" s="2251"/>
      <c r="F66" s="2251"/>
      <c r="G66" s="2251"/>
      <c r="H66" s="2251"/>
      <c r="I66" s="2251"/>
      <c r="J66" s="2252"/>
    </row>
    <row r="67" spans="1:11" s="176" customFormat="1" ht="9" customHeight="1" x14ac:dyDescent="0.2">
      <c r="A67" s="249"/>
      <c r="B67" s="2253"/>
      <c r="C67" s="2254"/>
      <c r="D67" s="2254"/>
      <c r="E67" s="2254"/>
      <c r="F67" s="2254"/>
      <c r="G67" s="2254"/>
      <c r="H67" s="2254"/>
      <c r="I67" s="2254"/>
      <c r="J67" s="22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0" t="s">
        <v>1314</v>
      </c>
      <c r="B70" s="2243"/>
      <c r="C70" s="2243"/>
      <c r="D70" s="2243"/>
      <c r="E70" s="2244"/>
      <c r="F70" s="2244"/>
      <c r="G70" s="2244"/>
      <c r="H70" s="2244"/>
      <c r="I70" s="224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5" t="s">
        <v>1311</v>
      </c>
      <c r="B83" s="2245"/>
      <c r="C83" s="2245"/>
      <c r="D83" s="224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6" t="s">
        <v>1989</v>
      </c>
      <c r="B85" s="2256"/>
      <c r="C85" s="2256"/>
      <c r="D85" s="2257"/>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8" t="s">
        <v>1989</v>
      </c>
      <c r="B88" s="2259"/>
      <c r="C88" s="2259"/>
      <c r="D88" s="2260"/>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7"/>
      <c r="C102" s="2228"/>
      <c r="D102" s="2228"/>
      <c r="E102" s="2228"/>
      <c r="F102" s="2228"/>
      <c r="G102" s="2228"/>
      <c r="H102" s="2228"/>
      <c r="I102" s="2229"/>
    </row>
    <row r="103" spans="1:9" s="176" customFormat="1" ht="11.25" customHeight="1" x14ac:dyDescent="0.2">
      <c r="A103" s="294"/>
      <c r="B103" s="2230"/>
      <c r="C103" s="2231"/>
      <c r="D103" s="2231"/>
      <c r="E103" s="2231"/>
      <c r="F103" s="2231"/>
      <c r="G103" s="2231"/>
      <c r="H103" s="2231"/>
      <c r="I103" s="2232"/>
    </row>
    <row r="104" spans="1:9" s="176" customFormat="1" ht="11.25" customHeight="1" x14ac:dyDescent="0.2">
      <c r="A104" s="294"/>
      <c r="B104" s="2230"/>
      <c r="C104" s="2231"/>
      <c r="D104" s="2231"/>
      <c r="E104" s="2231"/>
      <c r="F104" s="2231"/>
      <c r="G104" s="2231"/>
      <c r="H104" s="2231"/>
      <c r="I104" s="2232"/>
    </row>
    <row r="105" spans="1:9" s="176" customFormat="1" x14ac:dyDescent="0.2">
      <c r="A105" s="294"/>
      <c r="B105" s="2230"/>
      <c r="C105" s="2231"/>
      <c r="D105" s="2231"/>
      <c r="E105" s="2231"/>
      <c r="F105" s="2231"/>
      <c r="G105" s="2231"/>
      <c r="H105" s="2231"/>
      <c r="I105" s="2232"/>
    </row>
    <row r="106" spans="1:9" s="176" customFormat="1" ht="11.25" customHeight="1" x14ac:dyDescent="0.2">
      <c r="A106" s="294"/>
      <c r="B106" s="2230"/>
      <c r="C106" s="2231"/>
      <c r="D106" s="2231"/>
      <c r="E106" s="2231"/>
      <c r="F106" s="2231"/>
      <c r="G106" s="2231"/>
      <c r="H106" s="2231"/>
      <c r="I106" s="2232"/>
    </row>
    <row r="107" spans="1:9" s="176" customFormat="1" ht="11.25" customHeight="1" x14ac:dyDescent="0.2">
      <c r="A107" s="294"/>
      <c r="B107" s="2230"/>
      <c r="C107" s="2231"/>
      <c r="D107" s="2231"/>
      <c r="E107" s="2231"/>
      <c r="F107" s="2231"/>
      <c r="G107" s="2231"/>
      <c r="H107" s="2231"/>
      <c r="I107" s="2232"/>
    </row>
    <row r="108" spans="1:9" s="176" customFormat="1" ht="11.25" customHeight="1" x14ac:dyDescent="0.2">
      <c r="A108" s="294"/>
      <c r="B108" s="2230"/>
      <c r="C108" s="2231"/>
      <c r="D108" s="2231"/>
      <c r="E108" s="2231"/>
      <c r="F108" s="2231"/>
      <c r="G108" s="2231"/>
      <c r="H108" s="2231"/>
      <c r="I108" s="2232"/>
    </row>
    <row r="109" spans="1:9" s="176" customFormat="1" ht="11.25" customHeight="1" x14ac:dyDescent="0.2">
      <c r="A109" s="294"/>
      <c r="B109" s="2230"/>
      <c r="C109" s="2231"/>
      <c r="D109" s="2231"/>
      <c r="E109" s="2231"/>
      <c r="F109" s="2231"/>
      <c r="G109" s="2231"/>
      <c r="H109" s="2231"/>
      <c r="I109" s="2232"/>
    </row>
    <row r="110" spans="1:9" s="176" customFormat="1" ht="11.25" customHeight="1" x14ac:dyDescent="0.2">
      <c r="A110" s="294"/>
      <c r="B110" s="2230"/>
      <c r="C110" s="2231"/>
      <c r="D110" s="2231"/>
      <c r="E110" s="2231"/>
      <c r="F110" s="2231"/>
      <c r="G110" s="2231"/>
      <c r="H110" s="2231"/>
      <c r="I110" s="2232"/>
    </row>
    <row r="111" spans="1:9" s="176" customFormat="1" ht="11.25" customHeight="1" x14ac:dyDescent="0.2">
      <c r="A111" s="294"/>
      <c r="B111" s="2230"/>
      <c r="C111" s="2231"/>
      <c r="D111" s="2231"/>
      <c r="E111" s="2231"/>
      <c r="F111" s="2231"/>
      <c r="G111" s="2231"/>
      <c r="H111" s="2231"/>
      <c r="I111" s="2232"/>
    </row>
    <row r="112" spans="1:9" s="176" customFormat="1" ht="11.25" customHeight="1" x14ac:dyDescent="0.2">
      <c r="A112" s="294"/>
      <c r="B112" s="2233"/>
      <c r="C112" s="2234"/>
      <c r="D112" s="2234"/>
      <c r="E112" s="2234"/>
      <c r="F112" s="2234"/>
      <c r="G112" s="2234"/>
      <c r="H112" s="2234"/>
      <c r="I112" s="22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6" t="s">
        <v>2065</v>
      </c>
      <c r="D114" s="223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7" t="s">
        <v>1321</v>
      </c>
      <c r="D117" s="2238"/>
      <c r="E117" s="2239"/>
      <c r="F117" s="2239"/>
      <c r="G117" s="2239"/>
      <c r="H117" s="2239"/>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8" t="str">
        <f>'Single Audit Cover'!A7</f>
        <v xml:space="preserve">   Grundy County Spec Ed Co-op</v>
      </c>
      <c r="B1" s="2678"/>
      <c r="C1" s="2678"/>
      <c r="D1" s="2678"/>
      <c r="E1" s="2678"/>
      <c r="F1" s="2678"/>
    </row>
    <row r="2" spans="1:7" ht="13.5" customHeight="1" x14ac:dyDescent="0.2">
      <c r="A2" s="2666">
        <f>'Single Audit Cover'!E7</f>
        <v>24032101061</v>
      </c>
      <c r="B2" s="2666"/>
      <c r="C2" s="2666"/>
      <c r="D2" s="2666"/>
      <c r="E2" s="2666"/>
      <c r="F2" s="2666"/>
      <c r="G2" s="1096"/>
    </row>
    <row r="3" spans="1:7" ht="15.75" customHeight="1" x14ac:dyDescent="0.2">
      <c r="A3" s="2679" t="s">
        <v>1262</v>
      </c>
      <c r="B3" s="2679"/>
      <c r="C3" s="2679"/>
      <c r="D3" s="2679"/>
      <c r="E3" s="2679"/>
      <c r="F3" s="2679"/>
    </row>
    <row r="4" spans="1:7" ht="13.5" customHeight="1" x14ac:dyDescent="0.2">
      <c r="A4" s="2680" t="str">
        <f>'Single Audit Cover'!A4</f>
        <v>Year Ending June 30, 2020</v>
      </c>
      <c r="B4" s="2680"/>
      <c r="C4" s="2680"/>
      <c r="D4" s="2680"/>
      <c r="E4" s="2680"/>
      <c r="F4" s="2680"/>
    </row>
    <row r="5" spans="1:7" ht="8.25" customHeight="1" x14ac:dyDescent="0.2">
      <c r="C5" s="295"/>
      <c r="D5" s="295"/>
    </row>
    <row r="6" spans="1:7" ht="13.5" customHeight="1" x14ac:dyDescent="0.2">
      <c r="A6" s="1097" t="s">
        <v>1708</v>
      </c>
      <c r="C6" s="295"/>
      <c r="D6" s="295"/>
    </row>
    <row r="7" spans="1:7" ht="60.95" customHeight="1" x14ac:dyDescent="0.2">
      <c r="A7" s="2677" t="s">
        <v>2101</v>
      </c>
      <c r="B7" s="2677"/>
      <c r="C7" s="2677"/>
      <c r="D7" s="2677"/>
      <c r="E7" s="2677"/>
      <c r="F7" s="2677"/>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2062</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7" t="s">
        <v>2102</v>
      </c>
      <c r="B13" s="2677"/>
      <c r="C13" s="2677"/>
      <c r="D13" s="2677"/>
      <c r="E13" s="2677"/>
      <c r="F13" s="2677"/>
    </row>
    <row r="14" spans="1:7" ht="9.75" customHeight="1" x14ac:dyDescent="0.2">
      <c r="C14" s="1081"/>
      <c r="D14" s="1081"/>
    </row>
    <row r="15" spans="1:7" ht="13.5" customHeight="1" x14ac:dyDescent="0.2">
      <c r="C15" s="1525" t="s">
        <v>1261</v>
      </c>
      <c r="D15" s="2675" t="s">
        <v>1260</v>
      </c>
      <c r="E15" s="2675"/>
      <c r="F15" s="2675"/>
    </row>
    <row r="16" spans="1:7" ht="13.5" customHeight="1" x14ac:dyDescent="0.2">
      <c r="A16" s="1103"/>
      <c r="B16" s="1097" t="s">
        <v>1259</v>
      </c>
      <c r="C16" s="1525" t="s">
        <v>1258</v>
      </c>
      <c r="D16" s="2676" t="s">
        <v>1574</v>
      </c>
      <c r="E16" s="2676"/>
      <c r="F16" s="2676"/>
    </row>
    <row r="17" spans="1:6" ht="20.45" customHeight="1" x14ac:dyDescent="0.2">
      <c r="A17" s="1104"/>
      <c r="B17" s="1105" t="s">
        <v>2089</v>
      </c>
      <c r="C17" s="1106" t="s">
        <v>2100</v>
      </c>
      <c r="D17" s="2670">
        <v>22707</v>
      </c>
      <c r="E17" s="2670"/>
      <c r="F17" s="2670"/>
    </row>
    <row r="18" spans="1:6" ht="20.65" customHeight="1" x14ac:dyDescent="0.2">
      <c r="A18" s="1104"/>
      <c r="B18" s="1105" t="s">
        <v>2090</v>
      </c>
      <c r="C18" s="1106" t="s">
        <v>2100</v>
      </c>
      <c r="D18" s="2670">
        <v>21185</v>
      </c>
      <c r="E18" s="2670"/>
      <c r="F18" s="2670"/>
    </row>
    <row r="19" spans="1:6" ht="20.65" customHeight="1" x14ac:dyDescent="0.2">
      <c r="A19" s="1104"/>
      <c r="B19" s="1105" t="s">
        <v>2091</v>
      </c>
      <c r="C19" s="1106" t="s">
        <v>2100</v>
      </c>
      <c r="D19" s="2670">
        <v>22538</v>
      </c>
      <c r="E19" s="2670"/>
      <c r="F19" s="2670"/>
    </row>
    <row r="20" spans="1:6" ht="20.65" customHeight="1" x14ac:dyDescent="0.2">
      <c r="A20" s="1104"/>
      <c r="B20" s="1105" t="s">
        <v>2092</v>
      </c>
      <c r="C20" s="1106" t="s">
        <v>2100</v>
      </c>
      <c r="D20" s="2670">
        <v>174956</v>
      </c>
      <c r="E20" s="2670"/>
      <c r="F20" s="2670"/>
    </row>
    <row r="21" spans="1:6" ht="20.65" customHeight="1" x14ac:dyDescent="0.2">
      <c r="A21" s="1104"/>
      <c r="B21" s="1105" t="s">
        <v>2093</v>
      </c>
      <c r="C21" s="1106" t="s">
        <v>2100</v>
      </c>
      <c r="D21" s="2670">
        <v>397556</v>
      </c>
      <c r="E21" s="2670"/>
      <c r="F21" s="2670"/>
    </row>
    <row r="22" spans="1:6" ht="20.65" customHeight="1" x14ac:dyDescent="0.2">
      <c r="A22" s="1104"/>
      <c r="B22" s="1105" t="s">
        <v>2094</v>
      </c>
      <c r="C22" s="1106" t="s">
        <v>2100</v>
      </c>
      <c r="D22" s="2670">
        <v>163516</v>
      </c>
      <c r="E22" s="2670"/>
      <c r="F22" s="2670"/>
    </row>
    <row r="23" spans="1:6" ht="20.65" customHeight="1" x14ac:dyDescent="0.2">
      <c r="A23" s="1104"/>
      <c r="B23" s="1105" t="s">
        <v>2095</v>
      </c>
      <c r="C23" s="1106" t="s">
        <v>2100</v>
      </c>
      <c r="D23" s="2670">
        <v>60341</v>
      </c>
      <c r="E23" s="2670"/>
      <c r="F23" s="2670"/>
    </row>
    <row r="24" spans="1:6" ht="20.65" customHeight="1" x14ac:dyDescent="0.2">
      <c r="A24" s="1104"/>
      <c r="B24" s="1105" t="s">
        <v>2096</v>
      </c>
      <c r="C24" s="1106" t="s">
        <v>2100</v>
      </c>
      <c r="D24" s="2670">
        <v>36604</v>
      </c>
      <c r="E24" s="2670"/>
      <c r="F24" s="2670"/>
    </row>
    <row r="25" spans="1:6" ht="20.65" customHeight="1" x14ac:dyDescent="0.2">
      <c r="A25" s="1104"/>
      <c r="B25" s="1105" t="s">
        <v>2097</v>
      </c>
      <c r="C25" s="1106" t="s">
        <v>2100</v>
      </c>
      <c r="D25" s="2670">
        <v>5697</v>
      </c>
      <c r="E25" s="2670"/>
      <c r="F25" s="2670"/>
    </row>
    <row r="26" spans="1:6" ht="20.65" customHeight="1" x14ac:dyDescent="0.2">
      <c r="A26" s="1104"/>
      <c r="B26" s="1105" t="s">
        <v>2098</v>
      </c>
      <c r="C26" s="1106" t="s">
        <v>2100</v>
      </c>
      <c r="D26" s="2670">
        <v>83745</v>
      </c>
      <c r="E26" s="2670"/>
      <c r="F26" s="2670"/>
    </row>
    <row r="27" spans="1:6" ht="20.65" customHeight="1" x14ac:dyDescent="0.2">
      <c r="A27" s="1104"/>
      <c r="B27" s="1105" t="s">
        <v>2099</v>
      </c>
      <c r="C27" s="1106" t="s">
        <v>2100</v>
      </c>
      <c r="D27" s="2670">
        <v>8841</v>
      </c>
      <c r="E27" s="2670"/>
      <c r="F27" s="2670"/>
    </row>
    <row r="28" spans="1:6" ht="20.65" customHeight="1" x14ac:dyDescent="0.2">
      <c r="A28" s="1104"/>
      <c r="B28" s="1105"/>
      <c r="C28" s="1106"/>
      <c r="D28" s="2670"/>
      <c r="E28" s="2670"/>
      <c r="F28" s="2670"/>
    </row>
    <row r="29" spans="1:6" ht="20.65" customHeight="1" x14ac:dyDescent="0.2">
      <c r="A29" s="1104"/>
      <c r="B29" s="1105"/>
      <c r="C29" s="1106"/>
      <c r="D29" s="2670"/>
      <c r="E29" s="2670"/>
      <c r="F29" s="267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1" t="s">
        <v>2103</v>
      </c>
      <c r="B32" s="2671"/>
      <c r="C32" s="2671"/>
      <c r="D32" s="2671"/>
      <c r="E32" s="2671"/>
      <c r="F32" s="2671"/>
    </row>
    <row r="33" spans="1:6" ht="13.5" customHeight="1" x14ac:dyDescent="0.2">
      <c r="A33" s="306" t="s">
        <v>1420</v>
      </c>
      <c r="B33" s="306"/>
      <c r="C33" s="1109">
        <v>0</v>
      </c>
      <c r="D33" s="1576"/>
      <c r="E33" s="1107"/>
    </row>
    <row r="34" spans="1:6" ht="13.5" customHeight="1" x14ac:dyDescent="0.2">
      <c r="A34" s="306" t="s">
        <v>1811</v>
      </c>
      <c r="B34" s="306"/>
      <c r="C34" s="1110">
        <v>0</v>
      </c>
      <c r="D34" s="1576" t="s">
        <v>1575</v>
      </c>
      <c r="E34" s="2672">
        <f>+C33+C34</f>
        <v>0</v>
      </c>
      <c r="F34" s="2673"/>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4" t="s">
        <v>1576</v>
      </c>
      <c r="C49" s="2674"/>
      <c r="D49" s="2674"/>
      <c r="E49" s="1213"/>
    </row>
    <row r="50" spans="1:5" s="1121" customFormat="1" ht="3.75" customHeight="1" x14ac:dyDescent="0.2">
      <c r="A50" s="1120"/>
      <c r="B50" s="1524"/>
      <c r="C50" s="1524"/>
      <c r="D50" s="1524"/>
      <c r="E50" s="1213"/>
    </row>
    <row r="51" spans="1:5" s="1121" customFormat="1" ht="20.25" customHeight="1" x14ac:dyDescent="0.2">
      <c r="A51" s="1122">
        <v>6</v>
      </c>
      <c r="B51" s="2669" t="s">
        <v>1537</v>
      </c>
      <c r="C51" s="2669"/>
      <c r="D51" s="2669"/>
    </row>
    <row r="52" spans="1:5" ht="14.25" customHeight="1" x14ac:dyDescent="0.2">
      <c r="A52" s="1122"/>
      <c r="B52" s="2669"/>
      <c r="C52" s="2669"/>
      <c r="D52" s="266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19" sqref="G19"/>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2" t="str">
        <f>'Single Audit Cover'!A7</f>
        <v xml:space="preserve">   Grundy County Spec Ed Co-op</v>
      </c>
      <c r="C1" s="2693"/>
      <c r="D1" s="2693"/>
      <c r="E1" s="2693"/>
      <c r="F1" s="2693"/>
      <c r="G1" s="2693"/>
      <c r="H1" s="2693"/>
      <c r="I1" s="2693"/>
      <c r="J1" s="1223"/>
    </row>
    <row r="2" spans="2:10" s="295" customFormat="1" ht="12.75" customHeight="1" x14ac:dyDescent="0.2">
      <c r="B2" s="2694">
        <f>'Single Audit Cover'!E7</f>
        <v>24032101061</v>
      </c>
      <c r="C2" s="2695"/>
      <c r="D2" s="2695"/>
      <c r="E2" s="2695"/>
      <c r="F2" s="2695"/>
      <c r="G2" s="2695"/>
      <c r="H2" s="2695"/>
      <c r="I2" s="2695"/>
      <c r="J2" s="1223"/>
    </row>
    <row r="3" spans="2:10" s="295" customFormat="1" ht="12.75" customHeight="1" x14ac:dyDescent="0.2">
      <c r="B3" s="2696" t="s">
        <v>1276</v>
      </c>
      <c r="C3" s="2697"/>
      <c r="D3" s="2697"/>
      <c r="E3" s="2697"/>
      <c r="F3" s="2697"/>
      <c r="G3" s="2697"/>
      <c r="H3" s="2697"/>
      <c r="I3" s="2697"/>
      <c r="J3" s="1224"/>
    </row>
    <row r="4" spans="2:10" s="295" customFormat="1" ht="12.75" customHeight="1" x14ac:dyDescent="0.2">
      <c r="B4" s="2696" t="str">
        <f>'Single Audit Cover'!A4</f>
        <v>Year Ending June 30, 2020</v>
      </c>
      <c r="C4" s="2697"/>
      <c r="D4" s="2697"/>
      <c r="E4" s="2697"/>
      <c r="F4" s="2697"/>
      <c r="G4" s="2697"/>
      <c r="H4" s="2697"/>
      <c r="I4" s="269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6" t="s">
        <v>1275</v>
      </c>
      <c r="C7" s="2697"/>
      <c r="D7" s="2697"/>
      <c r="E7" s="2697"/>
      <c r="F7" s="2697"/>
      <c r="G7" s="2697"/>
      <c r="H7" s="2697"/>
      <c r="I7" s="269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8" t="s">
        <v>2104</v>
      </c>
      <c r="D11" s="269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2064</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t="s">
        <v>2064</v>
      </c>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2064</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2064</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2064</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9" t="s">
        <v>2105</v>
      </c>
      <c r="E29" s="2699"/>
      <c r="F29" s="2699"/>
      <c r="G29" s="2699"/>
      <c r="H29" s="2699"/>
      <c r="I29" s="2699"/>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2064</v>
      </c>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700" t="s">
        <v>1728</v>
      </c>
      <c r="D37" s="2701"/>
      <c r="E37" s="2701"/>
      <c r="F37" s="2702"/>
      <c r="G37" s="2700" t="s">
        <v>1578</v>
      </c>
      <c r="H37" s="2701"/>
      <c r="I37" s="2702"/>
    </row>
    <row r="38" spans="2:9" ht="16.5" customHeight="1" x14ac:dyDescent="0.2">
      <c r="B38" s="1245" t="s">
        <v>2106</v>
      </c>
      <c r="C38" s="2688" t="s">
        <v>2074</v>
      </c>
      <c r="D38" s="2689"/>
      <c r="E38" s="2689"/>
      <c r="F38" s="2690"/>
      <c r="G38" s="2703">
        <f>+' SEFA'!I18</f>
        <v>2353513</v>
      </c>
      <c r="H38" s="2704"/>
      <c r="I38" s="2705"/>
    </row>
    <row r="39" spans="2:9" ht="16.5" customHeight="1" x14ac:dyDescent="0.2">
      <c r="B39" s="1245"/>
      <c r="C39" s="2688"/>
      <c r="D39" s="2689"/>
      <c r="E39" s="2689"/>
      <c r="F39" s="2690"/>
      <c r="G39" s="2691"/>
      <c r="H39" s="2691"/>
      <c r="I39" s="2691"/>
    </row>
    <row r="40" spans="2:9" ht="16.5" customHeight="1" x14ac:dyDescent="0.2">
      <c r="B40" s="1245"/>
      <c r="C40" s="2688"/>
      <c r="D40" s="2689"/>
      <c r="E40" s="2689"/>
      <c r="F40" s="2690"/>
      <c r="G40" s="2691"/>
      <c r="H40" s="2691"/>
      <c r="I40" s="2691"/>
    </row>
    <row r="41" spans="2:9" ht="16.5" customHeight="1" x14ac:dyDescent="0.2">
      <c r="B41" s="1245"/>
      <c r="C41" s="2688"/>
      <c r="D41" s="2689"/>
      <c r="E41" s="2689"/>
      <c r="F41" s="2690"/>
      <c r="G41" s="2691"/>
      <c r="H41" s="2691"/>
      <c r="I41" s="2691"/>
    </row>
    <row r="42" spans="2:9" ht="16.5" customHeight="1" x14ac:dyDescent="0.2">
      <c r="B42" s="1245"/>
      <c r="C42" s="2688"/>
      <c r="D42" s="2689"/>
      <c r="E42" s="2689"/>
      <c r="F42" s="2690"/>
      <c r="G42" s="2691"/>
      <c r="H42" s="2691"/>
      <c r="I42" s="2691"/>
    </row>
    <row r="43" spans="2:9" ht="16.5" customHeight="1" x14ac:dyDescent="0.2">
      <c r="B43" s="1245"/>
      <c r="C43" s="2681" t="s">
        <v>1579</v>
      </c>
      <c r="D43" s="2682"/>
      <c r="E43" s="2682"/>
      <c r="F43" s="2683"/>
      <c r="G43" s="2684">
        <f>SUM(G38:I42)</f>
        <v>2353513</v>
      </c>
      <c r="H43" s="2684"/>
      <c r="I43" s="2684"/>
    </row>
    <row r="44" spans="2:9" ht="12.75" customHeight="1" x14ac:dyDescent="0.2"/>
    <row r="45" spans="2:9" ht="12.75" customHeight="1" x14ac:dyDescent="0.2">
      <c r="B45" s="1985" t="str">
        <f>"Total Federal Expenditures for 7/1/"&amp;MID('AFR20'!E2,3,2)-1&amp;"-6/30/"&amp;MID('AFR20'!E2,3,2)</f>
        <v>Total Federal Expenditures for 7/1/19-6/30/20</v>
      </c>
      <c r="C45" s="1986"/>
      <c r="D45" s="2685">
        <f>+' SEFA'!I25</f>
        <v>2400582</v>
      </c>
      <c r="E45" s="2686"/>
    </row>
    <row r="46" spans="2:9" ht="5.25" customHeight="1" x14ac:dyDescent="0.2">
      <c r="B46" s="1246"/>
      <c r="D46" s="1247"/>
      <c r="E46" s="1248"/>
    </row>
    <row r="47" spans="2:9" ht="12.75" customHeight="1" x14ac:dyDescent="0.2">
      <c r="B47" s="1121" t="s">
        <v>1580</v>
      </c>
      <c r="C47" s="1121"/>
      <c r="D47" s="1249">
        <f>+G43/D45</f>
        <v>0.98039267144384157</v>
      </c>
      <c r="E47" s="1250"/>
      <c r="F47" s="1251"/>
      <c r="I47" s="1252"/>
    </row>
    <row r="48" spans="2:9" ht="9.9499999999999993" customHeight="1" x14ac:dyDescent="0.2"/>
    <row r="49" spans="1:9" x14ac:dyDescent="0.2">
      <c r="B49" s="1183" t="s">
        <v>1264</v>
      </c>
      <c r="C49" s="1103"/>
      <c r="D49" s="1103"/>
      <c r="E49" s="2687">
        <v>750000</v>
      </c>
      <c r="F49" s="2687"/>
      <c r="G49" s="2687"/>
      <c r="H49" s="300"/>
    </row>
    <row r="51" spans="1:9" ht="13.5" customHeight="1" x14ac:dyDescent="0.2">
      <c r="B51" s="1183" t="s">
        <v>1263</v>
      </c>
      <c r="C51" s="1103"/>
      <c r="E51" s="1239"/>
      <c r="F51" s="1121" t="s">
        <v>879</v>
      </c>
      <c r="G51" s="1239" t="s">
        <v>2064</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2.75" customHeight="1" x14ac:dyDescent="0.2">
      <c r="A62" s="1259"/>
      <c r="B62" s="1264" t="s">
        <v>1732</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3" sqref="B23:K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2" t="str">
        <f>'Single Audit Cover'!A7</f>
        <v xml:space="preserve">   Grundy County Spec Ed Co-op</v>
      </c>
      <c r="C1" s="2692"/>
      <c r="D1" s="2692"/>
      <c r="E1" s="2692"/>
      <c r="F1" s="2692"/>
      <c r="G1" s="2692"/>
      <c r="H1" s="2692"/>
      <c r="I1" s="2692"/>
      <c r="J1" s="2692"/>
      <c r="K1" s="2692"/>
      <c r="L1" s="1189"/>
      <c r="M1" s="1189"/>
    </row>
    <row r="2" spans="1:13" ht="12" customHeight="1" x14ac:dyDescent="0.2">
      <c r="B2" s="2694">
        <f>'Single Audit Cover'!E7</f>
        <v>24032101061</v>
      </c>
      <c r="C2" s="2694"/>
      <c r="D2" s="2694"/>
      <c r="E2" s="2694"/>
      <c r="F2" s="2694"/>
      <c r="G2" s="2694"/>
      <c r="H2" s="2694"/>
      <c r="I2" s="2694"/>
      <c r="J2" s="2694"/>
      <c r="K2" s="2694"/>
      <c r="L2" s="1190"/>
      <c r="M2" s="1191"/>
    </row>
    <row r="3" spans="1:13" ht="10.35" customHeight="1" x14ac:dyDescent="0.2">
      <c r="B3" s="2708" t="s">
        <v>1276</v>
      </c>
      <c r="C3" s="2708"/>
      <c r="D3" s="2708"/>
      <c r="E3" s="2708"/>
      <c r="F3" s="2708"/>
      <c r="G3" s="2708"/>
      <c r="H3" s="2708"/>
      <c r="I3" s="2708"/>
      <c r="J3" s="2708"/>
      <c r="K3" s="2708"/>
      <c r="L3" s="1192"/>
      <c r="M3" s="1192"/>
    </row>
    <row r="4" spans="1:13" ht="14.25" customHeight="1" x14ac:dyDescent="0.2">
      <c r="B4" s="2709" t="str">
        <f>'Single Audit Cover'!A4</f>
        <v>Year Ending June 30, 2020</v>
      </c>
      <c r="C4" s="2709"/>
      <c r="D4" s="2709"/>
      <c r="E4" s="2709"/>
      <c r="F4" s="2709"/>
      <c r="G4" s="2709"/>
      <c r="H4" s="2709"/>
      <c r="I4" s="2709"/>
      <c r="J4" s="2709"/>
      <c r="K4" s="270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9" t="s">
        <v>1287</v>
      </c>
      <c r="C7" s="2709"/>
      <c r="D7" s="2710"/>
      <c r="E7" s="2710"/>
      <c r="F7" s="2710"/>
      <c r="G7" s="2710"/>
      <c r="H7" s="2710"/>
      <c r="I7" s="2710"/>
      <c r="J7" s="2710"/>
      <c r="K7" s="271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7" t="str">
        <f>'AFR20'!$E$2&amp;"-"</f>
        <v>2020-</v>
      </c>
      <c r="D10" s="1200">
        <v>1</v>
      </c>
      <c r="E10" s="300"/>
      <c r="F10" s="1201" t="s">
        <v>1286</v>
      </c>
      <c r="G10" s="1202"/>
      <c r="H10" s="1203" t="s">
        <v>1285</v>
      </c>
      <c r="I10" s="1202" t="s">
        <v>2064</v>
      </c>
      <c r="J10" s="1204" t="s">
        <v>1284</v>
      </c>
      <c r="K10" s="300"/>
      <c r="L10" s="1196"/>
    </row>
    <row r="11" spans="1:13" ht="13.5" customHeight="1" x14ac:dyDescent="0.2">
      <c r="B11" s="300"/>
      <c r="C11" s="300"/>
      <c r="D11" s="300"/>
      <c r="E11" s="300"/>
      <c r="F11" s="300"/>
      <c r="G11" s="1198"/>
      <c r="H11" s="300"/>
      <c r="I11" s="1205" t="s">
        <v>1283</v>
      </c>
      <c r="J11" s="300"/>
      <c r="K11" s="1206">
        <v>2018</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7" t="s">
        <v>2116</v>
      </c>
      <c r="C14" s="2707"/>
      <c r="D14" s="2707"/>
      <c r="E14" s="2707"/>
      <c r="F14" s="2707"/>
      <c r="G14" s="2707"/>
      <c r="H14" s="2707"/>
      <c r="I14" s="2707"/>
      <c r="J14" s="2707"/>
      <c r="K14" s="270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7" t="s">
        <v>2117</v>
      </c>
      <c r="C17" s="2707"/>
      <c r="D17" s="2707"/>
      <c r="E17" s="2707"/>
      <c r="F17" s="2707"/>
      <c r="G17" s="2707"/>
      <c r="H17" s="2707"/>
      <c r="I17" s="2707"/>
      <c r="J17" s="2707"/>
      <c r="K17" s="2707"/>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711" t="s">
        <v>2118</v>
      </c>
      <c r="C20" s="2711"/>
      <c r="D20" s="2707"/>
      <c r="E20" s="2707"/>
      <c r="F20" s="2707"/>
      <c r="G20" s="2707"/>
      <c r="H20" s="2707"/>
      <c r="I20" s="2707"/>
      <c r="J20" s="2707"/>
      <c r="K20" s="270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7" t="s">
        <v>2119</v>
      </c>
      <c r="C23" s="2707"/>
      <c r="D23" s="2707"/>
      <c r="E23" s="2707"/>
      <c r="F23" s="2707"/>
      <c r="G23" s="2707"/>
      <c r="H23" s="2707"/>
      <c r="I23" s="2707"/>
      <c r="J23" s="2707"/>
      <c r="K23" s="270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7" t="s">
        <v>2120</v>
      </c>
      <c r="C26" s="2707"/>
      <c r="D26" s="2707"/>
      <c r="E26" s="2707"/>
      <c r="F26" s="2707"/>
      <c r="G26" s="2707"/>
      <c r="H26" s="2707"/>
      <c r="I26" s="2707"/>
      <c r="J26" s="2707"/>
      <c r="K26" s="270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6" t="s">
        <v>2121</v>
      </c>
      <c r="C29" s="2706"/>
      <c r="D29" s="2707"/>
      <c r="E29" s="2707"/>
      <c r="F29" s="2707"/>
      <c r="G29" s="2707"/>
      <c r="H29" s="2707"/>
      <c r="I29" s="2707"/>
      <c r="J29" s="2707"/>
      <c r="K29" s="270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706" t="s">
        <v>2122</v>
      </c>
      <c r="C32" s="2706"/>
      <c r="D32" s="2707"/>
      <c r="E32" s="2707"/>
      <c r="F32" s="2707"/>
      <c r="G32" s="2707"/>
      <c r="H32" s="2707"/>
      <c r="I32" s="2707"/>
      <c r="J32" s="2707"/>
      <c r="K32" s="270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5" t="str">
        <f>'Single Audit Cover'!A7</f>
        <v xml:space="preserve">   Grundy County Spec Ed Co-op</v>
      </c>
      <c r="C1" s="2715"/>
      <c r="D1" s="2715"/>
      <c r="E1" s="2715"/>
      <c r="F1" s="2715"/>
      <c r="G1" s="2715"/>
      <c r="H1" s="2715"/>
      <c r="I1" s="2715"/>
      <c r="J1" s="2715"/>
      <c r="K1" s="2715"/>
      <c r="L1" s="1266"/>
    </row>
    <row r="2" spans="1:12" ht="12.75" customHeight="1" x14ac:dyDescent="0.2">
      <c r="B2" s="2716">
        <f>'Single Audit Cover'!E7</f>
        <v>24032101061</v>
      </c>
      <c r="C2" s="2716"/>
      <c r="D2" s="2716"/>
      <c r="E2" s="2716"/>
      <c r="F2" s="2716"/>
      <c r="G2" s="2716"/>
      <c r="H2" s="2716"/>
      <c r="I2" s="2716"/>
      <c r="J2" s="2716"/>
      <c r="K2" s="2716"/>
      <c r="L2" s="1267"/>
    </row>
    <row r="3" spans="1:12" ht="12.75" customHeight="1" x14ac:dyDescent="0.2">
      <c r="B3" s="2708" t="s">
        <v>1276</v>
      </c>
      <c r="C3" s="2708"/>
      <c r="D3" s="2708"/>
      <c r="E3" s="2708"/>
      <c r="F3" s="2708"/>
      <c r="G3" s="2708"/>
      <c r="H3" s="2708"/>
      <c r="I3" s="2708"/>
      <c r="J3" s="2708"/>
      <c r="K3" s="2708"/>
      <c r="L3" s="1192"/>
    </row>
    <row r="4" spans="1:12" ht="12.75" customHeight="1" x14ac:dyDescent="0.2">
      <c r="B4" s="2708" t="str">
        <f>'Single Audit Cover'!A4</f>
        <v>Year Ending June 30, 2020</v>
      </c>
      <c r="C4" s="2708"/>
      <c r="D4" s="2708"/>
      <c r="E4" s="2708"/>
      <c r="F4" s="2708"/>
      <c r="G4" s="2708"/>
      <c r="H4" s="2708"/>
      <c r="I4" s="2708"/>
      <c r="J4" s="2708"/>
      <c r="K4" s="2708"/>
      <c r="L4" s="1192"/>
    </row>
    <row r="5" spans="1:12" ht="5.25" customHeight="1" x14ac:dyDescent="0.2">
      <c r="B5" s="1081" t="s">
        <v>1161</v>
      </c>
      <c r="C5" s="1081"/>
      <c r="L5" s="300"/>
    </row>
    <row r="6" spans="1:12" ht="30.75" customHeight="1" x14ac:dyDescent="0.2">
      <c r="A6" s="300"/>
      <c r="B6" s="2717" t="s">
        <v>1299</v>
      </c>
      <c r="C6" s="2717"/>
      <c r="D6" s="2717"/>
      <c r="E6" s="2717"/>
      <c r="F6" s="2717"/>
      <c r="G6" s="2717"/>
      <c r="H6" s="2717"/>
      <c r="I6" s="2717"/>
      <c r="J6" s="2717"/>
      <c r="K6" s="2717"/>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9"/>
      <c r="G12" s="2699"/>
      <c r="H12" s="2699"/>
      <c r="I12" s="2699"/>
      <c r="J12" s="2699"/>
      <c r="K12" s="269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2"/>
      <c r="E14" s="2712"/>
      <c r="F14" s="2712"/>
      <c r="H14" s="1275" t="s">
        <v>1294</v>
      </c>
      <c r="I14" s="2713"/>
      <c r="J14" s="2713"/>
      <c r="K14" s="271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3"/>
      <c r="E16" s="2713"/>
      <c r="F16" s="2713"/>
      <c r="G16" s="2713"/>
      <c r="H16" s="2713"/>
      <c r="I16" s="2713"/>
      <c r="J16" s="2713"/>
      <c r="K16" s="2713"/>
      <c r="L16" s="300"/>
    </row>
    <row r="17" spans="2:12" ht="13.5" customHeight="1" x14ac:dyDescent="0.2">
      <c r="B17" s="1201" t="s">
        <v>1292</v>
      </c>
      <c r="C17" s="1201"/>
      <c r="D17" s="2714"/>
      <c r="E17" s="2714"/>
      <c r="F17" s="2714"/>
      <c r="G17" s="2714"/>
      <c r="H17" s="2714"/>
      <c r="I17" s="2714"/>
      <c r="J17" s="2714"/>
      <c r="K17" s="271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7"/>
      <c r="C20" s="2707"/>
      <c r="D20" s="2707"/>
      <c r="E20" s="2707"/>
      <c r="F20" s="2707"/>
      <c r="G20" s="2707"/>
      <c r="H20" s="2707"/>
      <c r="I20" s="2707"/>
      <c r="J20" s="2707"/>
      <c r="K20" s="2707"/>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707"/>
      <c r="C23" s="2707"/>
      <c r="D23" s="2707"/>
      <c r="E23" s="2707"/>
      <c r="F23" s="2707"/>
      <c r="G23" s="2707"/>
      <c r="H23" s="2707"/>
      <c r="I23" s="2707"/>
      <c r="J23" s="2707"/>
      <c r="K23" s="2707"/>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707"/>
      <c r="C26" s="2707"/>
      <c r="D26" s="2707"/>
      <c r="E26" s="2707"/>
      <c r="F26" s="2707"/>
      <c r="G26" s="2707"/>
      <c r="H26" s="2707"/>
      <c r="I26" s="2707"/>
      <c r="J26" s="2707"/>
      <c r="K26" s="2707"/>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707"/>
      <c r="C29" s="2707"/>
      <c r="D29" s="2707"/>
      <c r="E29" s="2707"/>
      <c r="F29" s="2707"/>
      <c r="G29" s="2707"/>
      <c r="H29" s="2707"/>
      <c r="I29" s="2707"/>
      <c r="J29" s="2707"/>
      <c r="K29" s="2707"/>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7"/>
      <c r="C32" s="2707"/>
      <c r="D32" s="2707"/>
      <c r="E32" s="2707"/>
      <c r="F32" s="2707"/>
      <c r="G32" s="2707"/>
      <c r="H32" s="2707"/>
      <c r="I32" s="2707"/>
      <c r="J32" s="2707"/>
      <c r="K32" s="2707"/>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7"/>
      <c r="C35" s="2707"/>
      <c r="D35" s="2707"/>
      <c r="E35" s="2707"/>
      <c r="F35" s="2707"/>
      <c r="G35" s="2707"/>
      <c r="H35" s="2707"/>
      <c r="I35" s="2707"/>
      <c r="J35" s="2707"/>
      <c r="K35" s="2707"/>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7"/>
      <c r="C38" s="2707"/>
      <c r="D38" s="2707"/>
      <c r="E38" s="2707"/>
      <c r="F38" s="2707"/>
      <c r="G38" s="2707"/>
      <c r="H38" s="2707"/>
      <c r="I38" s="2707"/>
      <c r="J38" s="2707"/>
      <c r="K38" s="2707"/>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707"/>
      <c r="C41" s="2707"/>
      <c r="D41" s="2707"/>
      <c r="E41" s="2707"/>
      <c r="F41" s="2707"/>
      <c r="G41" s="2707"/>
      <c r="H41" s="2707"/>
      <c r="I41" s="2707"/>
      <c r="J41" s="2707"/>
      <c r="K41" s="2707"/>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E26" sqref="E2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2" t="str">
        <f>'Single Audit Cover'!A7</f>
        <v xml:space="preserve">   Grundy County Spec Ed Co-op</v>
      </c>
      <c r="C1" s="2692"/>
      <c r="D1" s="2692"/>
      <c r="E1" s="1285"/>
    </row>
    <row r="2" spans="2:5" s="1103" customFormat="1" ht="12.75" customHeight="1" x14ac:dyDescent="0.2">
      <c r="B2" s="2694">
        <f>'Single Audit Cover'!E7</f>
        <v>24032101061</v>
      </c>
      <c r="C2" s="2694"/>
      <c r="D2" s="2694"/>
      <c r="E2" s="1286"/>
    </row>
    <row r="3" spans="2:5" ht="12.75" customHeight="1" x14ac:dyDescent="0.2">
      <c r="B3" s="2708" t="s">
        <v>1743</v>
      </c>
      <c r="C3" s="2708"/>
      <c r="D3" s="2708"/>
      <c r="E3" s="1095"/>
    </row>
    <row r="4" spans="2:5" s="1103" customFormat="1" ht="12.75" customHeight="1" x14ac:dyDescent="0.2">
      <c r="B4" s="2718" t="str">
        <f>'Single Audit Cover'!A4</f>
        <v>Year Ending June 30, 2020</v>
      </c>
      <c r="C4" s="2718"/>
      <c r="D4" s="2718"/>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0" t="s">
        <v>2123</v>
      </c>
      <c r="C7" s="302" t="s">
        <v>2128</v>
      </c>
      <c r="D7" s="302" t="s">
        <v>2133</v>
      </c>
      <c r="E7" s="302"/>
    </row>
    <row r="8" spans="2:5" ht="13.5" customHeight="1" x14ac:dyDescent="0.2">
      <c r="B8" s="1290" t="s">
        <v>2124</v>
      </c>
      <c r="C8" s="302" t="s">
        <v>2129</v>
      </c>
      <c r="D8" s="302" t="s">
        <v>2134</v>
      </c>
      <c r="E8" s="302"/>
    </row>
    <row r="9" spans="2:5" ht="13.5" customHeight="1" x14ac:dyDescent="0.2">
      <c r="B9" s="1291" t="s">
        <v>2125</v>
      </c>
      <c r="C9" s="301" t="s">
        <v>2130</v>
      </c>
      <c r="D9" s="302" t="s">
        <v>2133</v>
      </c>
      <c r="E9" s="301"/>
    </row>
    <row r="10" spans="2:5" ht="13.5" customHeight="1" x14ac:dyDescent="0.2">
      <c r="B10" s="1290" t="s">
        <v>2126</v>
      </c>
      <c r="C10" s="301" t="s">
        <v>2131</v>
      </c>
      <c r="D10" s="302" t="s">
        <v>2133</v>
      </c>
      <c r="E10" s="301"/>
    </row>
    <row r="11" spans="2:5" ht="13.5" customHeight="1" x14ac:dyDescent="0.2">
      <c r="B11" s="1290" t="s">
        <v>2127</v>
      </c>
      <c r="C11" s="301" t="s">
        <v>2132</v>
      </c>
      <c r="D11" s="302" t="s">
        <v>2133</v>
      </c>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1746</v>
      </c>
    </row>
    <row r="46" spans="2:5" ht="12.2" customHeight="1" x14ac:dyDescent="0.2">
      <c r="B46" s="1299" t="s">
        <v>1747</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A4" sqref="A4:L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1" t="s">
        <v>383</v>
      </c>
      <c r="B1" s="2261"/>
      <c r="C1" s="2261"/>
      <c r="D1" s="2261"/>
      <c r="E1" s="2261"/>
      <c r="F1" s="2261"/>
      <c r="G1" s="2261"/>
      <c r="H1" s="2261"/>
      <c r="I1" s="2261"/>
      <c r="J1" s="2261"/>
      <c r="K1" s="2261"/>
      <c r="L1" s="2261"/>
      <c r="M1" s="226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271" t="str">
        <f>IF(SUM(J10)&lt;=0.0999999,"","Enter the Tax Rates by moving the decimal two places to the left.")</f>
        <v/>
      </c>
      <c r="E11" s="2272"/>
      <c r="F11" s="2272"/>
      <c r="G11" s="2272"/>
      <c r="H11" s="2272"/>
      <c r="I11" s="2272"/>
      <c r="J11" s="22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11086444</v>
      </c>
      <c r="E16" s="1597"/>
      <c r="F16" s="1596">
        <f>SUM('Acct Summary 7-8'!C17,'Acct Summary 7-8'!D17,'Acct Summary 7-8'!F17)</f>
        <v>12502042</v>
      </c>
      <c r="G16" s="1597"/>
      <c r="H16" s="1596">
        <f>SUM(D16-F16)</f>
        <v>-1415598</v>
      </c>
      <c r="I16" s="1598"/>
      <c r="J16" s="1596">
        <f>SUM('Acct Summary 7-8'!C81,'Acct Summary 7-8'!D81,'Acct Summary 7-8'!F81,'Acct Summary 7-8'!I81)</f>
        <v>911217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2"/>
      <c r="C54" s="2263"/>
      <c r="D54" s="2263"/>
      <c r="E54" s="2263"/>
      <c r="F54" s="2263"/>
      <c r="G54" s="2263"/>
      <c r="H54" s="2263"/>
      <c r="I54" s="2263"/>
      <c r="J54" s="2263"/>
      <c r="K54" s="2263"/>
      <c r="L54" s="2264"/>
      <c r="M54" s="357"/>
    </row>
    <row r="55" spans="1:13" ht="12.75" customHeight="1" x14ac:dyDescent="0.2">
      <c r="B55" s="2265"/>
      <c r="C55" s="2266"/>
      <c r="D55" s="2266"/>
      <c r="E55" s="2266"/>
      <c r="F55" s="2266"/>
      <c r="G55" s="2266"/>
      <c r="H55" s="2266"/>
      <c r="I55" s="2266"/>
      <c r="J55" s="2266"/>
      <c r="K55" s="2266"/>
      <c r="L55" s="2267"/>
      <c r="M55" s="357"/>
    </row>
    <row r="56" spans="1:13" ht="12.75" customHeight="1" x14ac:dyDescent="0.2">
      <c r="B56" s="2265"/>
      <c r="C56" s="2266"/>
      <c r="D56" s="2266"/>
      <c r="E56" s="2266"/>
      <c r="F56" s="2266"/>
      <c r="G56" s="2266"/>
      <c r="H56" s="2266"/>
      <c r="I56" s="2266"/>
      <c r="J56" s="2266"/>
      <c r="K56" s="2266"/>
      <c r="L56" s="2267"/>
      <c r="M56" s="217"/>
    </row>
    <row r="57" spans="1:13" ht="12.75" customHeight="1" x14ac:dyDescent="0.2">
      <c r="B57" s="2265"/>
      <c r="C57" s="2266"/>
      <c r="D57" s="2266"/>
      <c r="E57" s="2266"/>
      <c r="F57" s="2266"/>
      <c r="G57" s="2266"/>
      <c r="H57" s="2266"/>
      <c r="I57" s="2266"/>
      <c r="J57" s="2266"/>
      <c r="K57" s="2266"/>
      <c r="L57" s="2267"/>
      <c r="M57" s="217"/>
    </row>
    <row r="58" spans="1:13" x14ac:dyDescent="0.2">
      <c r="B58" s="2268"/>
      <c r="C58" s="2269"/>
      <c r="D58" s="2269"/>
      <c r="E58" s="2269"/>
      <c r="F58" s="2269"/>
      <c r="G58" s="2269"/>
      <c r="H58" s="2269"/>
      <c r="I58" s="2269"/>
      <c r="J58" s="2269"/>
      <c r="K58" s="2269"/>
      <c r="L58" s="22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3"/>
      <c r="D61" s="22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 sqref="A4:R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6"/>
      <c r="B1" s="2277"/>
      <c r="C1" s="2277"/>
      <c r="D1" s="361"/>
      <c r="E1" s="361"/>
      <c r="F1" s="361"/>
      <c r="G1" s="361"/>
      <c r="H1" s="361"/>
      <c r="I1" s="361"/>
      <c r="J1" s="361"/>
      <c r="K1" s="361"/>
      <c r="L1" s="361"/>
      <c r="M1" s="361"/>
      <c r="N1" s="361"/>
      <c r="O1" s="2276"/>
      <c r="P1" s="2277"/>
      <c r="Q1" s="2277"/>
    </row>
    <row r="2" spans="1:18" ht="15" x14ac:dyDescent="0.2">
      <c r="A2" s="2280" t="s">
        <v>552</v>
      </c>
      <c r="B2" s="2280"/>
      <c r="C2" s="2280"/>
      <c r="D2" s="2280"/>
      <c r="E2" s="2280"/>
      <c r="F2" s="2280"/>
      <c r="G2" s="2280"/>
      <c r="H2" s="2280"/>
      <c r="I2" s="2280"/>
      <c r="J2" s="2280"/>
      <c r="K2" s="2280"/>
      <c r="L2" s="2280"/>
      <c r="M2" s="2280"/>
      <c r="N2" s="2280"/>
      <c r="O2" s="2280"/>
      <c r="P2" s="2280"/>
      <c r="Q2" s="2280"/>
      <c r="R2" s="2280"/>
    </row>
    <row r="3" spans="1:18" ht="12.75" x14ac:dyDescent="0.2">
      <c r="A3" s="2281" t="s">
        <v>1399</v>
      </c>
      <c r="B3" s="2281"/>
      <c r="C3" s="2281"/>
      <c r="D3" s="2281"/>
      <c r="E3" s="2281"/>
      <c r="F3" s="2281"/>
      <c r="G3" s="2281"/>
      <c r="H3" s="2281"/>
      <c r="I3" s="2281"/>
      <c r="J3" s="2281"/>
      <c r="K3" s="2281"/>
      <c r="L3" s="2281"/>
      <c r="M3" s="2281"/>
      <c r="N3" s="2281"/>
      <c r="O3" s="2281"/>
      <c r="P3" s="2281"/>
      <c r="Q3" s="2281"/>
      <c r="R3" s="2281"/>
    </row>
    <row r="4" spans="1:18" x14ac:dyDescent="0.2">
      <c r="A4" s="2282" t="s">
        <v>1540</v>
      </c>
      <c r="B4" s="2282"/>
      <c r="C4" s="2282"/>
      <c r="D4" s="2282"/>
      <c r="E4" s="2282"/>
      <c r="F4" s="2282"/>
      <c r="G4" s="2282"/>
      <c r="H4" s="2282"/>
      <c r="I4" s="2282"/>
      <c r="J4" s="2282"/>
      <c r="K4" s="2282"/>
      <c r="L4" s="2282"/>
      <c r="M4" s="2282"/>
      <c r="N4" s="2282"/>
      <c r="O4" s="2282"/>
      <c r="P4" s="2282"/>
      <c r="Q4" s="2282"/>
      <c r="R4" s="22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Grundy County Spec Ed Co-op</v>
      </c>
      <c r="E7" s="368"/>
      <c r="G7" s="247"/>
      <c r="H7" s="364"/>
      <c r="I7" s="364"/>
      <c r="J7" s="364"/>
      <c r="K7" s="364"/>
      <c r="L7" s="307"/>
      <c r="M7" s="307"/>
      <c r="N7" s="307"/>
      <c r="O7" s="307"/>
      <c r="P7" s="307"/>
    </row>
    <row r="8" spans="1:18" ht="12.75" x14ac:dyDescent="0.2">
      <c r="A8" s="307"/>
      <c r="B8" s="307"/>
      <c r="C8" s="366" t="s">
        <v>1117</v>
      </c>
      <c r="D8" s="369">
        <f>COVER!A13</f>
        <v>24032101061</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2</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911217</v>
      </c>
      <c r="I12" s="380"/>
      <c r="J12" s="380"/>
      <c r="K12" s="1609">
        <f>TRUNC((H12/H13*100000),5)/100000</f>
        <v>8.2191999500000001E-2</v>
      </c>
      <c r="L12" s="381"/>
      <c r="M12" s="337" t="s">
        <v>1136</v>
      </c>
      <c r="N12" s="337"/>
      <c r="O12" s="1612">
        <v>0.35</v>
      </c>
      <c r="P12" s="213"/>
      <c r="Q12" s="213"/>
    </row>
    <row r="13" spans="1:18" s="382" customFormat="1" ht="12.75" x14ac:dyDescent="0.2">
      <c r="A13" s="213"/>
      <c r="B13" s="377"/>
      <c r="C13" s="2278" t="s">
        <v>1315</v>
      </c>
      <c r="D13" s="2279"/>
      <c r="E13" s="213"/>
      <c r="F13" s="383" t="s">
        <v>788</v>
      </c>
      <c r="G13" s="378"/>
      <c r="H13" s="1601">
        <f>SUM('Acct Summary 7-8'!C8+'Acct Summary 7-8'!D8+'Acct Summary 7-8'!F8+'Acct Summary 7-8'!I8)+H14</f>
        <v>11086444</v>
      </c>
      <c r="I13" s="380"/>
      <c r="J13" s="380"/>
      <c r="K13" s="1608"/>
      <c r="L13" s="213"/>
      <c r="M13" s="337" t="s">
        <v>1137</v>
      </c>
      <c r="N13" s="337"/>
      <c r="O13" s="1613">
        <f>(O11*O12)</f>
        <v>0.7</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2</v>
      </c>
      <c r="P16" s="211"/>
      <c r="R16" s="361"/>
    </row>
    <row r="17" spans="1:18" s="382" customFormat="1" ht="11.25" x14ac:dyDescent="0.2">
      <c r="A17" s="213"/>
      <c r="B17" s="377"/>
      <c r="C17" s="213" t="s">
        <v>792</v>
      </c>
      <c r="D17" s="213"/>
      <c r="E17" s="213"/>
      <c r="F17" s="213" t="s">
        <v>441</v>
      </c>
      <c r="G17" s="378"/>
      <c r="H17" s="1601">
        <f>SUM('Acct Summary 7-8'!C17+'Acct Summary 7-8'!D17+'Acct Summary 7-8'!F17)</f>
        <v>12502042</v>
      </c>
      <c r="I17" s="380"/>
      <c r="J17" s="389"/>
      <c r="K17" s="1609">
        <f>TRUNC((H17/H18*100000),5)/100000</f>
        <v>1.1276872908</v>
      </c>
      <c r="L17" s="381"/>
      <c r="M17" s="390" t="s">
        <v>1163</v>
      </c>
      <c r="O17" s="1615" t="str">
        <f>IF(AND(O16="2", J20 &gt; 2),"1",IF(AND(O16 = "1", J20 &gt; 2),"2",IF(AND(O16="1", J20 &gt;1),"1","0")))</f>
        <v>0</v>
      </c>
      <c r="P17" s="213"/>
    </row>
    <row r="18" spans="1:18" s="382" customFormat="1" ht="11.25" x14ac:dyDescent="0.2">
      <c r="A18" s="213"/>
      <c r="B18" s="377"/>
      <c r="C18" s="2278" t="s">
        <v>1308</v>
      </c>
      <c r="D18" s="2279"/>
      <c r="E18" s="213"/>
      <c r="F18" s="391" t="s">
        <v>789</v>
      </c>
      <c r="G18" s="378"/>
      <c r="H18" s="1601">
        <f>SUM('Acct Summary 7-8'!C8+'Acct Summary 7-8'!D8+'Acct Summary 7-8'!F8+'Acct Summary 7-8'!I8)+H19</f>
        <v>11086444</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-0.1394657</v>
      </c>
      <c r="K20" s="1609" t="str">
        <f>IF(K17&lt;=1,"0",IF(AND(O16="2", J20 &gt; 2),TRUNC(((K12-0.1)/(K17-1)*100),5)/100,IF(AND(O16 = "1", J20 &gt; 2),TRUNC(((K12-0.1)/(K17-1)*100),5)/100,IF(AND(O16="1", J20 &gt;1),TRUNC(((K12-0.1)/(K17-1)*100),5)/100,""))))</f>
        <v/>
      </c>
      <c r="L20" s="213"/>
      <c r="M20" s="337" t="s">
        <v>1137</v>
      </c>
      <c r="N20" s="337"/>
      <c r="O20" s="1613">
        <f>(O16+O17)*O18</f>
        <v>0.7</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f>IF(K24&gt;=180,"4",IF(K24&gt;=90,"3",IF(K24&gt;=30,"2",1)))</f>
        <v>1</v>
      </c>
      <c r="P23" s="211"/>
      <c r="R23" s="361"/>
    </row>
    <row r="24" spans="1:18" s="382" customFormat="1" ht="11.25" x14ac:dyDescent="0.2">
      <c r="A24" s="213"/>
      <c r="B24" s="377"/>
      <c r="C24" s="2275" t="s">
        <v>1398</v>
      </c>
      <c r="D24" s="2275"/>
      <c r="E24" s="213"/>
      <c r="F24" s="213" t="s">
        <v>442</v>
      </c>
      <c r="G24" s="378"/>
      <c r="H24" s="1601">
        <f>SUM('Assets-Liab 5-6'!C4+'Assets-Liab 5-6'!D4+'Assets-Liab 5-6'!F4+'Assets-Liab 5-6'!I4+'Assets-Liab 5-6'!C5+'Assets-Liab 5-6'!D5+'Assets-Liab 5-6'!F5+'Assets-Liab 5-6'!I5)</f>
        <v>911217</v>
      </c>
      <c r="I24" s="394"/>
      <c r="J24" s="394"/>
      <c r="K24" s="1605">
        <f>TRUNC(((H24/H25*100000)/100000),2)</f>
        <v>26.23</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34727.894439999996</v>
      </c>
      <c r="I25" s="396"/>
      <c r="J25" s="396"/>
      <c r="K25" s="1608"/>
      <c r="L25" s="213"/>
      <c r="M25" s="337" t="s">
        <v>1137</v>
      </c>
      <c r="N25" s="337"/>
      <c r="O25" s="1613">
        <f>O23*O24</f>
        <v>0.1</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1893</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3" colorId="8" zoomScale="110" zoomScaleNormal="110" workbookViewId="0">
      <selection activeCell="L39" sqref="L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5" t="s">
        <v>967</v>
      </c>
      <c r="B3" s="2286"/>
      <c r="C3" s="1351"/>
      <c r="D3" s="1352"/>
      <c r="E3" s="1352"/>
      <c r="F3" s="1352"/>
      <c r="G3" s="1352"/>
      <c r="H3" s="1352"/>
      <c r="I3" s="1352"/>
      <c r="J3" s="1352"/>
      <c r="K3" s="1352"/>
      <c r="L3" s="1352"/>
      <c r="M3" s="1353"/>
      <c r="N3" s="1354"/>
    </row>
    <row r="4" spans="1:14" ht="13.5" customHeight="1" x14ac:dyDescent="0.2">
      <c r="A4" s="427" t="s">
        <v>1635</v>
      </c>
      <c r="B4" s="428"/>
      <c r="C4" s="1622">
        <v>911217</v>
      </c>
      <c r="D4" s="1623"/>
      <c r="E4" s="1623"/>
      <c r="F4" s="1623"/>
      <c r="G4" s="1623"/>
      <c r="H4" s="1623"/>
      <c r="I4" s="1623"/>
      <c r="J4" s="1624"/>
      <c r="K4" s="1623"/>
      <c r="L4" s="1623">
        <v>955353</v>
      </c>
      <c r="M4" s="1625"/>
      <c r="N4" s="1626"/>
    </row>
    <row r="5" spans="1:14" x14ac:dyDescent="0.2">
      <c r="A5" s="427" t="s">
        <v>985</v>
      </c>
      <c r="B5" s="429">
        <v>120</v>
      </c>
      <c r="C5" s="1622">
        <v>0</v>
      </c>
      <c r="D5" s="1623"/>
      <c r="E5" s="1623"/>
      <c r="F5" s="1623"/>
      <c r="G5" s="1623"/>
      <c r="H5" s="1623"/>
      <c r="I5" s="1623"/>
      <c r="J5" s="1624"/>
      <c r="K5" s="1627"/>
      <c r="L5" s="1628"/>
      <c r="M5" s="1625"/>
      <c r="N5" s="1626"/>
    </row>
    <row r="6" spans="1:14" ht="13.5" customHeight="1" x14ac:dyDescent="0.2">
      <c r="A6" s="430" t="s">
        <v>414</v>
      </c>
      <c r="B6" s="429">
        <v>130</v>
      </c>
      <c r="C6" s="1622">
        <v>0</v>
      </c>
      <c r="D6" s="1623"/>
      <c r="E6" s="1623"/>
      <c r="F6" s="1623"/>
      <c r="G6" s="1627"/>
      <c r="H6" s="1627"/>
      <c r="I6" s="1623"/>
      <c r="J6" s="1629"/>
      <c r="K6" s="1627"/>
      <c r="L6" s="1630"/>
      <c r="M6" s="1625"/>
      <c r="N6" s="1626"/>
    </row>
    <row r="7" spans="1:14" ht="13.5" customHeight="1" x14ac:dyDescent="0.2">
      <c r="A7" s="430" t="s">
        <v>415</v>
      </c>
      <c r="B7" s="429">
        <v>140</v>
      </c>
      <c r="C7" s="1631">
        <v>0</v>
      </c>
      <c r="D7" s="1624"/>
      <c r="E7" s="1624"/>
      <c r="F7" s="1624"/>
      <c r="G7" s="1624"/>
      <c r="H7" s="1624"/>
      <c r="I7" s="1624"/>
      <c r="J7" s="1624"/>
      <c r="K7" s="1624"/>
      <c r="L7" s="1632"/>
      <c r="M7" s="1625"/>
      <c r="N7" s="1626"/>
    </row>
    <row r="8" spans="1:14" ht="13.5" customHeight="1" x14ac:dyDescent="0.2">
      <c r="A8" s="430" t="s">
        <v>267</v>
      </c>
      <c r="B8" s="429">
        <v>150</v>
      </c>
      <c r="C8" s="1631">
        <v>0</v>
      </c>
      <c r="D8" s="1624"/>
      <c r="E8" s="1624"/>
      <c r="F8" s="1624"/>
      <c r="G8" s="1633"/>
      <c r="H8" s="1624"/>
      <c r="I8" s="1629"/>
      <c r="J8" s="1629"/>
      <c r="K8" s="1634"/>
      <c r="L8" s="1635"/>
      <c r="M8" s="1625"/>
      <c r="N8" s="1626"/>
    </row>
    <row r="9" spans="1:14" ht="13.5" customHeight="1" x14ac:dyDescent="0.2">
      <c r="A9" s="430" t="s">
        <v>268</v>
      </c>
      <c r="B9" s="429">
        <v>160</v>
      </c>
      <c r="C9" s="1631">
        <v>0</v>
      </c>
      <c r="D9" s="1624"/>
      <c r="E9" s="1624"/>
      <c r="F9" s="1624"/>
      <c r="G9" s="1624"/>
      <c r="H9" s="1633"/>
      <c r="I9" s="1624"/>
      <c r="J9" s="1624"/>
      <c r="K9" s="1624"/>
      <c r="L9" s="1624"/>
      <c r="M9" s="1625"/>
      <c r="N9" s="1626"/>
    </row>
    <row r="10" spans="1:14" ht="13.5" customHeight="1" x14ac:dyDescent="0.2">
      <c r="A10" s="430" t="s">
        <v>984</v>
      </c>
      <c r="B10" s="429">
        <v>170</v>
      </c>
      <c r="C10" s="1622">
        <v>0</v>
      </c>
      <c r="D10" s="1623"/>
      <c r="E10" s="1624"/>
      <c r="F10" s="1623"/>
      <c r="G10" s="1633"/>
      <c r="H10" s="1636"/>
      <c r="I10" s="1624"/>
      <c r="J10" s="1624"/>
      <c r="K10" s="1636"/>
      <c r="L10" s="1636"/>
      <c r="M10" s="1626"/>
      <c r="N10" s="1626"/>
    </row>
    <row r="11" spans="1:14" ht="13.5" customHeight="1" x14ac:dyDescent="0.2">
      <c r="A11" s="430" t="s">
        <v>269</v>
      </c>
      <c r="B11" s="429">
        <v>180</v>
      </c>
      <c r="C11" s="1631">
        <v>0</v>
      </c>
      <c r="D11" s="1624"/>
      <c r="E11" s="1624"/>
      <c r="F11" s="1624"/>
      <c r="G11" s="1624"/>
      <c r="H11" s="1624"/>
      <c r="I11" s="1633"/>
      <c r="J11" s="1633"/>
      <c r="K11" s="1624"/>
      <c r="L11" s="1624"/>
      <c r="M11" s="1626"/>
      <c r="N11" s="1626"/>
    </row>
    <row r="12" spans="1:14" ht="13.5" customHeight="1" x14ac:dyDescent="0.2">
      <c r="A12" s="430" t="s">
        <v>416</v>
      </c>
      <c r="B12" s="429">
        <v>190</v>
      </c>
      <c r="C12" s="1622">
        <v>0</v>
      </c>
      <c r="D12" s="1623" t="s">
        <v>1161</v>
      </c>
      <c r="E12" s="1623"/>
      <c r="F12" s="1623"/>
      <c r="G12" s="1623"/>
      <c r="H12" s="1623"/>
      <c r="I12" s="1623"/>
      <c r="J12" s="1624"/>
      <c r="K12" s="1623"/>
      <c r="L12" s="1623"/>
      <c r="M12" s="1626"/>
      <c r="N12" s="1626"/>
    </row>
    <row r="13" spans="1:14" ht="13.5" customHeight="1" thickBot="1" x14ac:dyDescent="0.25">
      <c r="A13" s="1475" t="s">
        <v>639</v>
      </c>
      <c r="B13" s="1456"/>
      <c r="C13" s="1637">
        <f>SUM(C4:C12)</f>
        <v>911217</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955353</v>
      </c>
      <c r="M13" s="1625"/>
      <c r="N13" s="1626"/>
    </row>
    <row r="14" spans="1:14" ht="18" customHeight="1" thickTop="1" x14ac:dyDescent="0.2">
      <c r="A14" s="2287" t="s">
        <v>146</v>
      </c>
      <c r="B14" s="2288"/>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74871</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2413307</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0</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1596785</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4084963</v>
      </c>
      <c r="N23" s="1644">
        <f>SUM(N21:N22)</f>
        <v>0</v>
      </c>
    </row>
    <row r="24" spans="1:14" ht="18" customHeight="1" thickTop="1" x14ac:dyDescent="0.2">
      <c r="A24" s="2289" t="s">
        <v>594</v>
      </c>
      <c r="B24" s="2290"/>
      <c r="C24" s="1645"/>
      <c r="D24" s="1640"/>
      <c r="E24" s="1640"/>
      <c r="F24" s="1640"/>
      <c r="G24" s="1640"/>
      <c r="H24" s="1640"/>
      <c r="I24" s="1640"/>
      <c r="J24" s="1640"/>
      <c r="K24" s="1640"/>
      <c r="L24" s="1640"/>
      <c r="M24" s="1639"/>
      <c r="N24" s="1646"/>
    </row>
    <row r="25" spans="1:14" x14ac:dyDescent="0.2">
      <c r="A25" s="430" t="s">
        <v>640</v>
      </c>
      <c r="B25" s="429">
        <v>410</v>
      </c>
      <c r="C25" s="1633">
        <v>0</v>
      </c>
      <c r="D25" s="1633"/>
      <c r="E25" s="1633"/>
      <c r="F25" s="1633"/>
      <c r="G25" s="1633"/>
      <c r="H25" s="1634"/>
      <c r="I25" s="1625"/>
      <c r="J25" s="1633"/>
      <c r="K25" s="1633"/>
      <c r="L25" s="1625"/>
      <c r="M25" s="1625"/>
      <c r="N25" s="1625"/>
    </row>
    <row r="26" spans="1:14" x14ac:dyDescent="0.2">
      <c r="A26" s="430" t="s">
        <v>641</v>
      </c>
      <c r="B26" s="429">
        <v>420</v>
      </c>
      <c r="C26" s="1624">
        <v>0</v>
      </c>
      <c r="D26" s="1624"/>
      <c r="E26" s="1624"/>
      <c r="F26" s="1624"/>
      <c r="G26" s="1624"/>
      <c r="H26" s="1624"/>
      <c r="I26" s="1624"/>
      <c r="J26" s="1629"/>
      <c r="K26" s="1624"/>
      <c r="L26" s="1625"/>
      <c r="M26" s="1625"/>
      <c r="N26" s="1625"/>
    </row>
    <row r="27" spans="1:14" ht="13.5" customHeight="1" x14ac:dyDescent="0.2">
      <c r="A27" s="430" t="s">
        <v>642</v>
      </c>
      <c r="B27" s="429">
        <v>430</v>
      </c>
      <c r="C27" s="1624">
        <v>0</v>
      </c>
      <c r="D27" s="1624"/>
      <c r="E27" s="1624"/>
      <c r="F27" s="1624"/>
      <c r="G27" s="1624"/>
      <c r="H27" s="1624"/>
      <c r="I27" s="1624"/>
      <c r="J27" s="1624"/>
      <c r="K27" s="1624"/>
      <c r="L27" s="1625"/>
      <c r="M27" s="1625"/>
      <c r="N27" s="1625"/>
    </row>
    <row r="28" spans="1:14" ht="13.5" customHeight="1" x14ac:dyDescent="0.2">
      <c r="A28" s="430" t="s">
        <v>643</v>
      </c>
      <c r="B28" s="429">
        <v>440</v>
      </c>
      <c r="C28" s="1624">
        <v>0</v>
      </c>
      <c r="D28" s="1624"/>
      <c r="E28" s="1629"/>
      <c r="F28" s="1624"/>
      <c r="G28" s="1629"/>
      <c r="H28" s="1629"/>
      <c r="I28" s="1624"/>
      <c r="J28" s="1624"/>
      <c r="K28" s="1634"/>
      <c r="L28" s="1625"/>
      <c r="M28" s="1625"/>
      <c r="N28" s="1625"/>
    </row>
    <row r="29" spans="1:14" ht="13.5" customHeight="1" x14ac:dyDescent="0.2">
      <c r="A29" s="430" t="s">
        <v>644</v>
      </c>
      <c r="B29" s="429">
        <v>460</v>
      </c>
      <c r="C29" s="1647">
        <v>0</v>
      </c>
      <c r="D29" s="1648"/>
      <c r="E29" s="1629"/>
      <c r="F29" s="1624"/>
      <c r="G29" s="1629"/>
      <c r="H29" s="1629"/>
      <c r="I29" s="1629"/>
      <c r="J29" s="1629"/>
      <c r="K29" s="1624"/>
      <c r="L29" s="1625"/>
      <c r="M29" s="1625"/>
      <c r="N29" s="1625"/>
    </row>
    <row r="30" spans="1:14" ht="13.5" customHeight="1" x14ac:dyDescent="0.2">
      <c r="A30" s="430" t="s">
        <v>645</v>
      </c>
      <c r="B30" s="429">
        <v>470</v>
      </c>
      <c r="C30" s="1624">
        <v>0</v>
      </c>
      <c r="D30" s="1629"/>
      <c r="E30" s="1624"/>
      <c r="F30" s="1624"/>
      <c r="G30" s="1624"/>
      <c r="H30" s="1624"/>
      <c r="I30" s="1624"/>
      <c r="J30" s="1624"/>
      <c r="K30" s="1633"/>
      <c r="L30" s="1625"/>
      <c r="M30" s="1625"/>
      <c r="N30" s="1625"/>
    </row>
    <row r="31" spans="1:14" ht="13.5" customHeight="1" x14ac:dyDescent="0.2">
      <c r="A31" s="430" t="s">
        <v>646</v>
      </c>
      <c r="B31" s="429">
        <v>480</v>
      </c>
      <c r="C31" s="1623">
        <v>0</v>
      </c>
      <c r="D31" s="1624"/>
      <c r="E31" s="1624"/>
      <c r="F31" s="1623"/>
      <c r="G31" s="1624"/>
      <c r="H31" s="1624"/>
      <c r="I31" s="1624"/>
      <c r="J31" s="1624"/>
      <c r="K31" s="1624"/>
      <c r="L31" s="1625"/>
      <c r="M31" s="1625"/>
      <c r="N31" s="1625"/>
    </row>
    <row r="32" spans="1:14" ht="13.5" customHeight="1" x14ac:dyDescent="0.2">
      <c r="A32" s="434" t="s">
        <v>647</v>
      </c>
      <c r="B32" s="435">
        <v>490</v>
      </c>
      <c r="C32" s="1649">
        <v>0</v>
      </c>
      <c r="D32" s="1649"/>
      <c r="E32" s="1629"/>
      <c r="F32" s="1629"/>
      <c r="G32" s="1629"/>
      <c r="H32" s="1629"/>
      <c r="I32" s="1629"/>
      <c r="J32" s="1629"/>
      <c r="K32" s="1634"/>
      <c r="L32" s="1625"/>
      <c r="M32" s="1625"/>
      <c r="N32" s="1625"/>
    </row>
    <row r="33" spans="1:14" ht="13.5" customHeight="1" x14ac:dyDescent="0.2">
      <c r="A33" s="436" t="s">
        <v>300</v>
      </c>
      <c r="B33" s="435">
        <v>493</v>
      </c>
      <c r="C33" s="1624">
        <v>0</v>
      </c>
      <c r="D33" s="1624"/>
      <c r="E33" s="1624"/>
      <c r="F33" s="1624"/>
      <c r="G33" s="1624"/>
      <c r="H33" s="1624"/>
      <c r="I33" s="1624"/>
      <c r="J33" s="1624"/>
      <c r="K33" s="1624"/>
      <c r="L33" s="1624">
        <v>1180</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1180</v>
      </c>
      <c r="M34" s="1625"/>
      <c r="N34" s="1635"/>
    </row>
    <row r="35" spans="1:14" ht="18" customHeight="1" thickTop="1" x14ac:dyDescent="0.2">
      <c r="A35" s="2291" t="s">
        <v>526</v>
      </c>
      <c r="B35" s="229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v>954173</v>
      </c>
      <c r="M38" s="1654"/>
      <c r="N38" s="1654"/>
    </row>
    <row r="39" spans="1:14" s="307" customFormat="1" ht="13.5" customHeight="1" x14ac:dyDescent="0.2">
      <c r="A39" s="438" t="s">
        <v>339</v>
      </c>
      <c r="B39" s="432">
        <v>730</v>
      </c>
      <c r="C39" s="1623">
        <v>911217</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4084963</v>
      </c>
      <c r="N40" s="1654"/>
    </row>
    <row r="41" spans="1:14" ht="13.5" customHeight="1" thickBot="1" x14ac:dyDescent="0.25">
      <c r="A41" s="1475" t="s">
        <v>650</v>
      </c>
      <c r="B41" s="1454"/>
      <c r="C41" s="1644">
        <f>(SUM(C34,C37,C38,C39))</f>
        <v>911217</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955353</v>
      </c>
      <c r="M41" s="1644">
        <f>SUM(M40)</f>
        <v>4084963</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3" t="s">
        <v>1167</v>
      </c>
      <c r="B3" s="2314"/>
      <c r="C3" s="1356"/>
      <c r="D3" s="1357"/>
      <c r="E3" s="1357"/>
      <c r="F3" s="1357"/>
      <c r="G3" s="1357"/>
      <c r="H3" s="1357"/>
      <c r="I3" s="1357"/>
      <c r="J3" s="1357"/>
      <c r="K3" s="1358"/>
      <c r="L3" s="446"/>
    </row>
    <row r="4" spans="1:13" ht="15.75" customHeight="1" x14ac:dyDescent="0.2">
      <c r="A4" s="1587" t="s">
        <v>1485</v>
      </c>
      <c r="B4" s="1588">
        <v>1000</v>
      </c>
      <c r="C4" s="1656">
        <f>'Revenues 9-14'!C109</f>
        <v>7234060</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172945</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902562</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2776877</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11086444</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4845183</v>
      </c>
      <c r="D9" s="1663"/>
      <c r="E9" s="1636"/>
      <c r="F9" s="1636"/>
      <c r="G9" s="1664"/>
      <c r="H9" s="1636"/>
      <c r="I9" s="1659" t="s">
        <v>1161</v>
      </c>
      <c r="J9" s="1633"/>
      <c r="K9" s="1636"/>
      <c r="L9" s="325"/>
    </row>
    <row r="10" spans="1:13" s="452" customFormat="1" ht="13.5" thickBot="1" x14ac:dyDescent="0.25">
      <c r="A10" s="1475" t="s">
        <v>1165</v>
      </c>
      <c r="B10" s="1456"/>
      <c r="C10" s="1644">
        <f>SUM(C8:C9)</f>
        <v>15931627</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287" t="s">
        <v>1168</v>
      </c>
      <c r="B11" s="2288"/>
      <c r="C11" s="1652"/>
      <c r="D11" s="1653"/>
      <c r="E11" s="1653"/>
      <c r="F11" s="1653"/>
      <c r="G11" s="1653"/>
      <c r="H11" s="1653"/>
      <c r="I11" s="1653"/>
      <c r="J11" s="1653"/>
      <c r="K11" s="1665"/>
      <c r="L11" s="451"/>
    </row>
    <row r="12" spans="1:13" ht="15.75" customHeight="1" x14ac:dyDescent="0.2">
      <c r="A12" s="1359" t="s">
        <v>453</v>
      </c>
      <c r="B12" s="1361">
        <v>1000</v>
      </c>
      <c r="C12" s="1656">
        <f>'Expenditures 15-22'!K33</f>
        <v>7621801</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2622052</v>
      </c>
      <c r="D13" s="1657">
        <f>'Expenditures 15-22'!K129</f>
        <v>87103</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2171086</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12414939</v>
      </c>
      <c r="D17" s="1644">
        <f t="shared" si="2"/>
        <v>87103</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4845183</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17260122</v>
      </c>
      <c r="D19" s="1644">
        <f t="shared" si="4"/>
        <v>87103</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303" t="s">
        <v>1639</v>
      </c>
      <c r="B20" s="2304"/>
      <c r="C20" s="1672">
        <f>C8-C17</f>
        <v>-1328495</v>
      </c>
      <c r="D20" s="1672">
        <f t="shared" ref="D20:K20" si="5">D8-D17</f>
        <v>-87103</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315" t="s">
        <v>591</v>
      </c>
      <c r="B21" s="2316"/>
      <c r="C21" s="1652"/>
      <c r="D21" s="1653"/>
      <c r="E21" s="1653"/>
      <c r="F21" s="1653"/>
      <c r="G21" s="1653"/>
      <c r="H21" s="1653"/>
      <c r="I21" s="1653"/>
      <c r="J21" s="1653"/>
      <c r="K21" s="1665"/>
      <c r="L21" s="453"/>
    </row>
    <row r="22" spans="1:12" ht="15.75" customHeight="1" collapsed="1" x14ac:dyDescent="0.2">
      <c r="A22" s="2311" t="s">
        <v>592</v>
      </c>
      <c r="B22" s="2312"/>
      <c r="C22" s="1632"/>
      <c r="D22" s="1632"/>
      <c r="E22" s="1632"/>
      <c r="F22" s="1632"/>
      <c r="G22" s="1632"/>
      <c r="H22" s="1632"/>
      <c r="I22" s="1632"/>
      <c r="J22" s="1632"/>
      <c r="K22" s="1632"/>
      <c r="L22" s="325"/>
    </row>
    <row r="23" spans="1:12" s="433" customFormat="1" ht="15.75" customHeight="1" x14ac:dyDescent="0.2">
      <c r="A23" s="2307" t="s">
        <v>290</v>
      </c>
      <c r="B23" s="2308"/>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c r="E25" s="1624"/>
      <c r="F25" s="1624"/>
      <c r="G25" s="1624"/>
      <c r="H25" s="1624"/>
      <c r="I25" s="1632"/>
      <c r="J25" s="1624"/>
      <c r="K25" s="1624"/>
      <c r="L25" s="453"/>
    </row>
    <row r="26" spans="1:12" s="433" customFormat="1" ht="13.5" customHeight="1" x14ac:dyDescent="0.2">
      <c r="A26" s="1305" t="s">
        <v>183</v>
      </c>
      <c r="B26" s="432">
        <v>7120</v>
      </c>
      <c r="C26" s="1624">
        <v>0</v>
      </c>
      <c r="D26" s="1624"/>
      <c r="E26" s="1624"/>
      <c r="F26" s="1624"/>
      <c r="G26" s="1624"/>
      <c r="H26" s="1624"/>
      <c r="I26" s="1632"/>
      <c r="J26" s="1624"/>
      <c r="K26" s="1624"/>
      <c r="L26" s="453"/>
    </row>
    <row r="27" spans="1:12" s="433" customFormat="1" ht="13.5" customHeight="1" x14ac:dyDescent="0.2">
      <c r="A27" s="1305" t="s">
        <v>184</v>
      </c>
      <c r="B27" s="432">
        <v>7130</v>
      </c>
      <c r="C27" s="1624">
        <v>0</v>
      </c>
      <c r="D27" s="1624">
        <v>87103</v>
      </c>
      <c r="E27" s="1673"/>
      <c r="F27" s="1624"/>
      <c r="G27" s="1635"/>
      <c r="H27" s="1635"/>
      <c r="I27" s="1635"/>
      <c r="J27" s="1635"/>
      <c r="K27" s="1635"/>
      <c r="L27" s="453"/>
    </row>
    <row r="28" spans="1:12" s="433" customFormat="1" ht="13.5" customHeight="1" x14ac:dyDescent="0.2">
      <c r="A28" s="1305" t="s">
        <v>1384</v>
      </c>
      <c r="B28" s="432">
        <v>7140</v>
      </c>
      <c r="C28" s="1624">
        <v>0</v>
      </c>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1771</v>
      </c>
      <c r="B30" s="455">
        <v>7160</v>
      </c>
      <c r="C30" s="1632"/>
      <c r="D30" s="1624"/>
      <c r="E30" s="1632"/>
      <c r="F30" s="1632"/>
      <c r="G30" s="1632"/>
      <c r="H30" s="1632"/>
      <c r="I30" s="1632"/>
      <c r="J30" s="1632"/>
      <c r="K30" s="1632"/>
      <c r="L30" s="453"/>
    </row>
    <row r="31" spans="1:12" s="433" customFormat="1" ht="26.25" x14ac:dyDescent="0.2">
      <c r="A31" s="1305" t="s">
        <v>1775</v>
      </c>
      <c r="B31" s="455">
        <v>7170</v>
      </c>
      <c r="C31" s="1632"/>
      <c r="D31" s="1632"/>
      <c r="E31" s="1629"/>
      <c r="F31" s="1632"/>
      <c r="G31" s="1632"/>
      <c r="H31" s="1632"/>
      <c r="I31" s="1632"/>
      <c r="J31" s="1632"/>
      <c r="K31" s="1632"/>
      <c r="L31" s="453"/>
    </row>
    <row r="32" spans="1:12" s="433" customFormat="1" ht="15.75" customHeight="1" x14ac:dyDescent="0.2">
      <c r="A32" s="2309" t="s">
        <v>974</v>
      </c>
      <c r="B32" s="2310"/>
      <c r="C32" s="1632"/>
      <c r="D32" s="1632"/>
      <c r="E32" s="1630"/>
      <c r="F32" s="1632"/>
      <c r="G32" s="1632"/>
      <c r="H32" s="1632"/>
      <c r="I32" s="1632"/>
      <c r="J32" s="1632"/>
      <c r="K32" s="1632"/>
      <c r="L32" s="453"/>
    </row>
    <row r="33" spans="1:12" s="433" customFormat="1" x14ac:dyDescent="0.2">
      <c r="A33" s="1305" t="s">
        <v>409</v>
      </c>
      <c r="B33" s="454">
        <v>7210</v>
      </c>
      <c r="C33" s="1624">
        <v>0</v>
      </c>
      <c r="D33" s="1624"/>
      <c r="E33" s="1624"/>
      <c r="F33" s="1624"/>
      <c r="G33" s="1632"/>
      <c r="H33" s="1624"/>
      <c r="I33" s="1624"/>
      <c r="J33" s="1624"/>
      <c r="K33" s="1624"/>
      <c r="L33" s="453"/>
    </row>
    <row r="34" spans="1:12" s="433" customFormat="1" x14ac:dyDescent="0.2">
      <c r="A34" s="1305" t="s">
        <v>994</v>
      </c>
      <c r="B34" s="454">
        <v>7220</v>
      </c>
      <c r="C34" s="1624">
        <v>0</v>
      </c>
      <c r="D34" s="1624"/>
      <c r="E34" s="1624"/>
      <c r="F34" s="1624"/>
      <c r="G34" s="1632"/>
      <c r="H34" s="1633"/>
      <c r="I34" s="1633"/>
      <c r="J34" s="1633"/>
      <c r="K34" s="1633"/>
      <c r="L34" s="453"/>
    </row>
    <row r="35" spans="1:12" s="433" customFormat="1" x14ac:dyDescent="0.2">
      <c r="A35" s="1305" t="s">
        <v>983</v>
      </c>
      <c r="B35" s="454">
        <v>7230</v>
      </c>
      <c r="C35" s="1624">
        <v>0</v>
      </c>
      <c r="D35" s="1624"/>
      <c r="E35" s="1624"/>
      <c r="F35" s="1624"/>
      <c r="G35" s="1635"/>
      <c r="H35" s="1624"/>
      <c r="I35" s="1624"/>
      <c r="J35" s="1624"/>
      <c r="K35" s="1624"/>
      <c r="L35" s="453"/>
    </row>
    <row r="36" spans="1:12" s="433" customFormat="1" ht="15" x14ac:dyDescent="0.2">
      <c r="A36" s="1305" t="s">
        <v>1642</v>
      </c>
      <c r="B36" s="454">
        <v>7300</v>
      </c>
      <c r="C36" s="1624">
        <v>0</v>
      </c>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c r="E42" s="1624"/>
      <c r="F42" s="1624"/>
      <c r="G42" s="1624"/>
      <c r="H42" s="1624"/>
      <c r="I42" s="1635"/>
      <c r="J42" s="1635"/>
      <c r="K42" s="1624"/>
      <c r="L42" s="453"/>
    </row>
    <row r="43" spans="1:12" s="433" customFormat="1" ht="13.5" customHeight="1" x14ac:dyDescent="0.2">
      <c r="A43" s="1305" t="s">
        <v>370</v>
      </c>
      <c r="B43" s="432">
        <v>7990</v>
      </c>
      <c r="C43" s="1624">
        <v>0</v>
      </c>
      <c r="D43" s="1624"/>
      <c r="E43" s="1624"/>
      <c r="F43" s="1624"/>
      <c r="G43" s="1624"/>
      <c r="H43" s="1624"/>
      <c r="I43" s="1624"/>
      <c r="J43" s="1624"/>
      <c r="K43" s="1624"/>
      <c r="L43" s="453"/>
    </row>
    <row r="44" spans="1:12" s="433" customFormat="1" ht="13.5" customHeight="1" thickBot="1" x14ac:dyDescent="0.25">
      <c r="A44" s="2317" t="s">
        <v>371</v>
      </c>
      <c r="B44" s="2318"/>
      <c r="C44" s="1674">
        <f>SUM(C24:C43)</f>
        <v>0</v>
      </c>
      <c r="D44" s="1674">
        <f t="shared" ref="D44:K44" si="6">SUM(D24:D43)</f>
        <v>87103</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1" t="s">
        <v>108</v>
      </c>
      <c r="B45" s="2312"/>
      <c r="C45" s="1675"/>
      <c r="D45" s="1675"/>
      <c r="E45" s="1675"/>
      <c r="F45" s="1675"/>
      <c r="G45" s="1675"/>
      <c r="H45" s="1675"/>
      <c r="I45" s="1675"/>
      <c r="J45" s="1675"/>
      <c r="K45" s="1675"/>
      <c r="L45" s="325"/>
    </row>
    <row r="46" spans="1:12" s="433" customFormat="1" ht="15.75" customHeight="1" x14ac:dyDescent="0.2">
      <c r="A46" s="2319" t="s">
        <v>109</v>
      </c>
      <c r="B46" s="2320"/>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87103</v>
      </c>
      <c r="D49" s="1624"/>
      <c r="E49" s="1635"/>
      <c r="F49" s="1624"/>
      <c r="G49" s="1635"/>
      <c r="H49" s="1635"/>
      <c r="I49" s="1632"/>
      <c r="J49" s="1635"/>
      <c r="K49" s="1632"/>
      <c r="L49" s="453"/>
    </row>
    <row r="50" spans="1:12" s="433" customFormat="1" x14ac:dyDescent="0.2">
      <c r="A50" s="1306" t="s">
        <v>1384</v>
      </c>
      <c r="B50" s="432">
        <v>8140</v>
      </c>
      <c r="C50" s="1624">
        <v>0</v>
      </c>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1774</v>
      </c>
      <c r="B52" s="432">
        <v>8160</v>
      </c>
      <c r="C52" s="1632"/>
      <c r="D52" s="1632"/>
      <c r="E52" s="1632"/>
      <c r="F52" s="1632"/>
      <c r="G52" s="1632"/>
      <c r="H52" s="1632"/>
      <c r="I52" s="1632"/>
      <c r="J52" s="1632"/>
      <c r="K52" s="1657">
        <f>D30</f>
        <v>0</v>
      </c>
      <c r="L52" s="453"/>
    </row>
    <row r="53" spans="1:12" s="433" customFormat="1" ht="26.25" x14ac:dyDescent="0.2">
      <c r="A53" s="1306" t="s">
        <v>1773</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c r="E54" s="1632"/>
      <c r="F54" s="1632"/>
      <c r="G54" s="1632"/>
      <c r="H54" s="1676"/>
      <c r="I54" s="1632"/>
      <c r="J54" s="1632"/>
      <c r="K54" s="1630"/>
      <c r="L54" s="453"/>
    </row>
    <row r="55" spans="1:12" s="433" customFormat="1" ht="14.25" thickTop="1" thickBot="1" x14ac:dyDescent="0.25">
      <c r="A55" s="1307" t="s">
        <v>688</v>
      </c>
      <c r="B55" s="432">
        <v>8420</v>
      </c>
      <c r="C55" s="1677">
        <v>0</v>
      </c>
      <c r="D55" s="1677"/>
      <c r="E55" s="1632"/>
      <c r="F55" s="1632"/>
      <c r="G55" s="1632"/>
      <c r="H55" s="1676"/>
      <c r="I55" s="1632"/>
      <c r="J55" s="1632"/>
      <c r="K55" s="1632"/>
      <c r="L55" s="453"/>
    </row>
    <row r="56" spans="1:12" s="433" customFormat="1" ht="14.25" thickTop="1" thickBot="1" x14ac:dyDescent="0.25">
      <c r="A56" s="1306" t="s">
        <v>577</v>
      </c>
      <c r="B56" s="432">
        <v>8430</v>
      </c>
      <c r="C56" s="1677">
        <v>0</v>
      </c>
      <c r="D56" s="1677"/>
      <c r="E56" s="1632"/>
      <c r="F56" s="1632"/>
      <c r="G56" s="1632"/>
      <c r="H56" s="1676"/>
      <c r="I56" s="1632"/>
      <c r="J56" s="1632"/>
      <c r="K56" s="1632"/>
      <c r="L56" s="453"/>
    </row>
    <row r="57" spans="1:12" s="433" customFormat="1" ht="14.25" thickTop="1" thickBot="1" x14ac:dyDescent="0.25">
      <c r="A57" s="1307" t="s">
        <v>574</v>
      </c>
      <c r="B57" s="432">
        <v>8440</v>
      </c>
      <c r="C57" s="1677">
        <v>0</v>
      </c>
      <c r="D57" s="1677"/>
      <c r="E57" s="1632"/>
      <c r="F57" s="1632"/>
      <c r="G57" s="1632"/>
      <c r="H57" s="1676"/>
      <c r="I57" s="1632"/>
      <c r="J57" s="1632"/>
      <c r="K57" s="1632"/>
      <c r="L57" s="453"/>
    </row>
    <row r="58" spans="1:12" s="433" customFormat="1" ht="14.25" thickTop="1" thickBot="1" x14ac:dyDescent="0.25">
      <c r="A58" s="1306" t="s">
        <v>575</v>
      </c>
      <c r="B58" s="432">
        <v>8510</v>
      </c>
      <c r="C58" s="1677">
        <v>0</v>
      </c>
      <c r="D58" s="1677"/>
      <c r="E58" s="1632"/>
      <c r="F58" s="1632"/>
      <c r="G58" s="1632"/>
      <c r="H58" s="1676"/>
      <c r="I58" s="1632"/>
      <c r="J58" s="1632"/>
      <c r="K58" s="1632"/>
      <c r="L58" s="453"/>
    </row>
    <row r="59" spans="1:12" s="433" customFormat="1" ht="14.25" thickTop="1" thickBot="1" x14ac:dyDescent="0.25">
      <c r="A59" s="1308" t="s">
        <v>689</v>
      </c>
      <c r="B59" s="432">
        <v>8520</v>
      </c>
      <c r="C59" s="1677">
        <v>0</v>
      </c>
      <c r="D59" s="1677"/>
      <c r="E59" s="1632"/>
      <c r="F59" s="1632"/>
      <c r="G59" s="1632"/>
      <c r="H59" s="1676"/>
      <c r="I59" s="1632"/>
      <c r="J59" s="1632"/>
      <c r="K59" s="1632"/>
      <c r="L59" s="453"/>
    </row>
    <row r="60" spans="1:12" s="433" customFormat="1" ht="14.25" thickTop="1" thickBot="1" x14ac:dyDescent="0.25">
      <c r="A60" s="1306" t="s">
        <v>576</v>
      </c>
      <c r="B60" s="432">
        <v>8530</v>
      </c>
      <c r="C60" s="1677">
        <v>0</v>
      </c>
      <c r="D60" s="1677"/>
      <c r="E60" s="1632"/>
      <c r="F60" s="1632"/>
      <c r="G60" s="1632"/>
      <c r="H60" s="1676"/>
      <c r="I60" s="1632"/>
      <c r="J60" s="1632"/>
      <c r="K60" s="1632"/>
      <c r="L60" s="453"/>
    </row>
    <row r="61" spans="1:12" s="433" customFormat="1" ht="14.25" thickTop="1" thickBot="1" x14ac:dyDescent="0.25">
      <c r="A61" s="1307" t="s">
        <v>738</v>
      </c>
      <c r="B61" s="432">
        <v>8540</v>
      </c>
      <c r="C61" s="1677">
        <v>0</v>
      </c>
      <c r="D61" s="1677"/>
      <c r="E61" s="1632"/>
      <c r="F61" s="1632"/>
      <c r="G61" s="1632"/>
      <c r="H61" s="1676"/>
      <c r="I61" s="1632"/>
      <c r="J61" s="1632"/>
      <c r="K61" s="1632"/>
      <c r="L61" s="453"/>
    </row>
    <row r="62" spans="1:12" s="433" customFormat="1" ht="13.5" customHeight="1" thickTop="1" thickBot="1" x14ac:dyDescent="0.25">
      <c r="A62" s="1306" t="s">
        <v>739</v>
      </c>
      <c r="B62" s="432">
        <v>8610</v>
      </c>
      <c r="C62" s="1677">
        <v>0</v>
      </c>
      <c r="D62" s="1677"/>
      <c r="E62" s="1632"/>
      <c r="F62" s="1632"/>
      <c r="G62" s="1632"/>
      <c r="H62" s="1632"/>
      <c r="I62" s="1632"/>
      <c r="J62" s="1632"/>
      <c r="K62" s="1632"/>
      <c r="L62" s="453"/>
    </row>
    <row r="63" spans="1:12" s="433" customFormat="1" ht="14.25" thickTop="1" thickBot="1" x14ac:dyDescent="0.25">
      <c r="A63" s="1307" t="s">
        <v>690</v>
      </c>
      <c r="B63" s="432">
        <v>8620</v>
      </c>
      <c r="C63" s="1677">
        <v>0</v>
      </c>
      <c r="D63" s="1677"/>
      <c r="E63" s="1632"/>
      <c r="F63" s="1632"/>
      <c r="G63" s="1632"/>
      <c r="H63" s="1632"/>
      <c r="I63" s="1632"/>
      <c r="J63" s="1632"/>
      <c r="K63" s="1632"/>
      <c r="L63" s="453"/>
    </row>
    <row r="64" spans="1:12" s="433" customFormat="1" ht="13.5" customHeight="1" thickTop="1" thickBot="1" x14ac:dyDescent="0.25">
      <c r="A64" s="1306" t="s">
        <v>740</v>
      </c>
      <c r="B64" s="432">
        <v>8630</v>
      </c>
      <c r="C64" s="1677">
        <v>0</v>
      </c>
      <c r="D64" s="1677"/>
      <c r="E64" s="1632"/>
      <c r="F64" s="1632"/>
      <c r="G64" s="1632"/>
      <c r="H64" s="1632"/>
      <c r="I64" s="1632"/>
      <c r="J64" s="1632"/>
      <c r="K64" s="1632"/>
      <c r="L64" s="453"/>
    </row>
    <row r="65" spans="1:12" s="433" customFormat="1" ht="14.25" thickTop="1" thickBot="1" x14ac:dyDescent="0.25">
      <c r="A65" s="1307" t="s">
        <v>741</v>
      </c>
      <c r="B65" s="432">
        <v>8640</v>
      </c>
      <c r="C65" s="1677">
        <v>0</v>
      </c>
      <c r="D65" s="1677"/>
      <c r="E65" s="1632"/>
      <c r="F65" s="1632"/>
      <c r="G65" s="1632"/>
      <c r="H65" s="1632"/>
      <c r="I65" s="1632"/>
      <c r="J65" s="1632"/>
      <c r="K65" s="1632"/>
      <c r="L65" s="453"/>
    </row>
    <row r="66" spans="1:12" s="433" customFormat="1" ht="14.25" thickTop="1" thickBot="1" x14ac:dyDescent="0.25">
      <c r="A66" s="1306" t="s">
        <v>742</v>
      </c>
      <c r="B66" s="432">
        <v>8710</v>
      </c>
      <c r="C66" s="1677">
        <v>0</v>
      </c>
      <c r="D66" s="1677"/>
      <c r="E66" s="1632"/>
      <c r="F66" s="1632"/>
      <c r="G66" s="1632"/>
      <c r="H66" s="1632"/>
      <c r="I66" s="1632"/>
      <c r="J66" s="1632"/>
      <c r="K66" s="1632"/>
      <c r="L66" s="453"/>
    </row>
    <row r="67" spans="1:12" s="433" customFormat="1" ht="14.25" thickTop="1" thickBot="1" x14ac:dyDescent="0.25">
      <c r="A67" s="1307" t="s">
        <v>691</v>
      </c>
      <c r="B67" s="432">
        <v>8720</v>
      </c>
      <c r="C67" s="1677">
        <v>0</v>
      </c>
      <c r="D67" s="1677"/>
      <c r="E67" s="1632"/>
      <c r="F67" s="1632"/>
      <c r="G67" s="1632"/>
      <c r="H67" s="1632"/>
      <c r="I67" s="1632"/>
      <c r="J67" s="1632"/>
      <c r="K67" s="1632"/>
      <c r="L67" s="453"/>
    </row>
    <row r="68" spans="1:12" s="433" customFormat="1" ht="14.25" thickTop="1" thickBot="1" x14ac:dyDescent="0.25">
      <c r="A68" s="1308" t="s">
        <v>743</v>
      </c>
      <c r="B68" s="432">
        <v>8730</v>
      </c>
      <c r="C68" s="1677">
        <v>0</v>
      </c>
      <c r="D68" s="1677"/>
      <c r="E68" s="1632"/>
      <c r="F68" s="1632"/>
      <c r="G68" s="1632"/>
      <c r="H68" s="1632"/>
      <c r="I68" s="1632"/>
      <c r="J68" s="1632"/>
      <c r="K68" s="1632"/>
      <c r="L68" s="453"/>
    </row>
    <row r="69" spans="1:12" s="433" customFormat="1" ht="14.25" thickTop="1" thickBot="1" x14ac:dyDescent="0.25">
      <c r="A69" s="1307" t="s">
        <v>744</v>
      </c>
      <c r="B69" s="432">
        <v>8740</v>
      </c>
      <c r="C69" s="1677">
        <v>0</v>
      </c>
      <c r="D69" s="1677"/>
      <c r="E69" s="1632"/>
      <c r="F69" s="1632"/>
      <c r="G69" s="1632"/>
      <c r="H69" s="1632"/>
      <c r="I69" s="1632"/>
      <c r="J69" s="1632"/>
      <c r="K69" s="1632"/>
      <c r="L69" s="453"/>
    </row>
    <row r="70" spans="1:12" s="433" customFormat="1" ht="14.25" thickTop="1" thickBot="1" x14ac:dyDescent="0.25">
      <c r="A70" s="1306" t="s">
        <v>745</v>
      </c>
      <c r="B70" s="432">
        <v>8810</v>
      </c>
      <c r="C70" s="1677">
        <v>0</v>
      </c>
      <c r="D70" s="1677"/>
      <c r="E70" s="1632"/>
      <c r="F70" s="1632"/>
      <c r="G70" s="1632"/>
      <c r="H70" s="1632"/>
      <c r="I70" s="1632"/>
      <c r="J70" s="1632"/>
      <c r="K70" s="1632"/>
      <c r="L70" s="453"/>
    </row>
    <row r="71" spans="1:12" s="433" customFormat="1" ht="14.25" thickTop="1" thickBot="1" x14ac:dyDescent="0.25">
      <c r="A71" s="1306" t="s">
        <v>749</v>
      </c>
      <c r="B71" s="432">
        <v>8820</v>
      </c>
      <c r="C71" s="1677">
        <v>0</v>
      </c>
      <c r="D71" s="1677"/>
      <c r="E71" s="1632"/>
      <c r="F71" s="1632"/>
      <c r="G71" s="1632"/>
      <c r="H71" s="1632"/>
      <c r="I71" s="1632"/>
      <c r="J71" s="1632"/>
      <c r="K71" s="1632"/>
      <c r="L71" s="453"/>
    </row>
    <row r="72" spans="1:12" s="433" customFormat="1" ht="14.25" thickTop="1" thickBot="1" x14ac:dyDescent="0.25">
      <c r="A72" s="1306" t="s">
        <v>746</v>
      </c>
      <c r="B72" s="432">
        <v>8830</v>
      </c>
      <c r="C72" s="1677">
        <v>0</v>
      </c>
      <c r="D72" s="1677"/>
      <c r="E72" s="1632"/>
      <c r="F72" s="1632"/>
      <c r="G72" s="1632"/>
      <c r="H72" s="1632"/>
      <c r="I72" s="1632"/>
      <c r="J72" s="1632"/>
      <c r="K72" s="1632"/>
      <c r="L72" s="453"/>
    </row>
    <row r="73" spans="1:12" s="433" customFormat="1" ht="14.25" thickTop="1" thickBot="1" x14ac:dyDescent="0.25">
      <c r="A73" s="1306" t="s">
        <v>747</v>
      </c>
      <c r="B73" s="432">
        <v>8840</v>
      </c>
      <c r="C73" s="1677">
        <v>0</v>
      </c>
      <c r="D73" s="1677"/>
      <c r="E73" s="1632"/>
      <c r="F73" s="1632"/>
      <c r="G73" s="1632"/>
      <c r="H73" s="1632"/>
      <c r="I73" s="1632"/>
      <c r="J73" s="1632"/>
      <c r="K73" s="1635"/>
      <c r="L73" s="453"/>
    </row>
    <row r="74" spans="1:12" s="433" customFormat="1" ht="14.25" thickTop="1" thickBot="1" x14ac:dyDescent="0.25">
      <c r="A74" s="1306" t="s">
        <v>372</v>
      </c>
      <c r="B74" s="432">
        <v>8910</v>
      </c>
      <c r="C74" s="1677">
        <v>0</v>
      </c>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3" t="s">
        <v>437</v>
      </c>
      <c r="B76" s="2294"/>
      <c r="C76" s="1674">
        <f t="shared" ref="C76:K76" si="7">SUM(C47:C75)</f>
        <v>87103</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5" t="s">
        <v>1169</v>
      </c>
      <c r="B77" s="2296"/>
      <c r="C77" s="1674">
        <f t="shared" ref="C77:K77" si="8">C44-C76</f>
        <v>-87103</v>
      </c>
      <c r="D77" s="1674">
        <f t="shared" si="8"/>
        <v>87103</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9" t="s">
        <v>593</v>
      </c>
      <c r="B78" s="2300"/>
      <c r="C78" s="1679">
        <f t="shared" ref="C78:K78" si="9">C20+C77</f>
        <v>-1415598</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2326815</v>
      </c>
      <c r="D79" s="1680"/>
      <c r="E79" s="1680"/>
      <c r="F79" s="1680"/>
      <c r="G79" s="1680"/>
      <c r="H79" s="1680"/>
      <c r="I79" s="1680"/>
      <c r="J79" s="1680"/>
      <c r="K79" s="1680"/>
      <c r="L79" s="325"/>
    </row>
    <row r="80" spans="1:12" x14ac:dyDescent="0.2">
      <c r="A80" s="2305" t="s">
        <v>1772</v>
      </c>
      <c r="B80" s="2306"/>
      <c r="C80" s="1624"/>
      <c r="D80" s="1624"/>
      <c r="E80" s="1624"/>
      <c r="F80" s="1624"/>
      <c r="G80" s="1624"/>
      <c r="H80" s="1624"/>
      <c r="I80" s="1624"/>
      <c r="J80" s="1624"/>
      <c r="K80" s="1624"/>
      <c r="L80" s="325"/>
    </row>
    <row r="81" spans="1:12" ht="13.5" thickBot="1" x14ac:dyDescent="0.25">
      <c r="A81" s="2297" t="str">
        <f>"Fund Balances - June 30, "&amp;'AFR20'!E2</f>
        <v>Fund Balances - June 30, 2020</v>
      </c>
      <c r="B81" s="2298"/>
      <c r="C81" s="1644">
        <f>(SUM(C78:C80))</f>
        <v>911217</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-1415598</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-1.5535245720832689</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topLeftCell="A22" colorId="8" zoomScale="110" zoomScaleNormal="110" zoomScaleSheetLayoutView="75" workbookViewId="0">
      <selection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1" t="s">
        <v>1779</v>
      </c>
      <c r="B1" s="416"/>
      <c r="C1" s="417" t="s">
        <v>422</v>
      </c>
      <c r="D1" s="417" t="s">
        <v>423</v>
      </c>
      <c r="E1" s="417" t="s">
        <v>424</v>
      </c>
      <c r="F1" s="417" t="s">
        <v>425</v>
      </c>
      <c r="G1" s="417" t="s">
        <v>426</v>
      </c>
      <c r="H1" s="417" t="s">
        <v>427</v>
      </c>
      <c r="I1" s="417" t="s">
        <v>428</v>
      </c>
      <c r="J1" s="417" t="s">
        <v>429</v>
      </c>
      <c r="K1" s="417" t="s">
        <v>751</v>
      </c>
    </row>
    <row r="2" spans="1:12" ht="36" x14ac:dyDescent="0.2">
      <c r="A2" s="230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0</v>
      </c>
      <c r="D5" s="1636">
        <v>0</v>
      </c>
      <c r="E5" s="1623">
        <v>0</v>
      </c>
      <c r="F5" s="1681">
        <v>0</v>
      </c>
      <c r="G5" s="1623">
        <v>0</v>
      </c>
      <c r="H5" s="1623">
        <v>0</v>
      </c>
      <c r="I5" s="1623">
        <v>0</v>
      </c>
      <c r="J5" s="1624">
        <v>0</v>
      </c>
      <c r="K5" s="1623">
        <v>0</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0</v>
      </c>
      <c r="D7" s="1623">
        <v>0</v>
      </c>
      <c r="E7" s="1625"/>
      <c r="F7" s="1624">
        <v>0</v>
      </c>
      <c r="G7" s="1624">
        <v>0</v>
      </c>
      <c r="H7" s="1624">
        <v>0</v>
      </c>
      <c r="I7" s="1625"/>
      <c r="J7" s="1625"/>
      <c r="K7" s="1625"/>
    </row>
    <row r="8" spans="1:12" x14ac:dyDescent="0.2">
      <c r="A8" s="427" t="s">
        <v>410</v>
      </c>
      <c r="B8" s="429">
        <v>1150</v>
      </c>
      <c r="C8" s="1630"/>
      <c r="D8" s="1630"/>
      <c r="E8" s="1632"/>
      <c r="F8" s="1632"/>
      <c r="G8" s="1636">
        <v>0</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0</v>
      </c>
      <c r="D16" s="1623">
        <v>0</v>
      </c>
      <c r="E16" s="1623">
        <v>0</v>
      </c>
      <c r="F16" s="1623">
        <v>0</v>
      </c>
      <c r="G16" s="1623">
        <v>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6910399</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6910399</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0</v>
      </c>
      <c r="D65" s="1623">
        <v>0</v>
      </c>
      <c r="E65" s="1623">
        <v>0</v>
      </c>
      <c r="F65" s="1624">
        <v>0</v>
      </c>
      <c r="G65" s="1623">
        <v>0</v>
      </c>
      <c r="H65" s="1623">
        <v>0</v>
      </c>
      <c r="I65" s="1623">
        <v>0</v>
      </c>
      <c r="J65" s="1624">
        <v>0</v>
      </c>
      <c r="K65" s="1623">
        <v>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0</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0</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0</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0</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0</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0</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0</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0</v>
      </c>
      <c r="E95" s="1667"/>
      <c r="F95" s="1667"/>
      <c r="G95" s="1667"/>
      <c r="H95" s="1667"/>
      <c r="I95" s="1667"/>
      <c r="J95" s="1667"/>
      <c r="K95" s="1667"/>
    </row>
    <row r="96" spans="1:11" ht="12.75" customHeight="1" x14ac:dyDescent="0.2">
      <c r="A96" s="427" t="s">
        <v>388</v>
      </c>
      <c r="B96" s="429">
        <v>1920</v>
      </c>
      <c r="C96" s="1682">
        <v>0</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294748</v>
      </c>
      <c r="D98" s="1623">
        <v>0</v>
      </c>
      <c r="E98" s="1662"/>
      <c r="F98" s="1623">
        <v>0</v>
      </c>
      <c r="G98" s="1662"/>
      <c r="H98" s="1662"/>
      <c r="I98" s="1660"/>
      <c r="J98" s="1662"/>
      <c r="K98" s="1662"/>
    </row>
    <row r="99" spans="1:12" ht="12.75" customHeight="1" x14ac:dyDescent="0.2">
      <c r="A99" s="427" t="s">
        <v>816</v>
      </c>
      <c r="B99" s="429">
        <v>1950</v>
      </c>
      <c r="C99" s="1648">
        <v>0</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28913</v>
      </c>
      <c r="D107" s="1623">
        <v>0</v>
      </c>
      <c r="E107" s="1623">
        <v>0</v>
      </c>
      <c r="F107" s="1623">
        <v>0</v>
      </c>
      <c r="G107" s="1623">
        <v>0</v>
      </c>
      <c r="H107" s="1623">
        <v>0</v>
      </c>
      <c r="I107" s="1623">
        <v>0</v>
      </c>
      <c r="J107" s="1624">
        <v>0</v>
      </c>
      <c r="K107" s="1623">
        <v>0</v>
      </c>
    </row>
    <row r="108" spans="1:12" ht="12.75" customHeight="1" thickBot="1" x14ac:dyDescent="0.25">
      <c r="A108" s="1455" t="s">
        <v>484</v>
      </c>
      <c r="B108" s="1457"/>
      <c r="C108" s="1683">
        <f>SUM(C95:C107)</f>
        <v>323661</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7234060</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172945</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172945</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891748</v>
      </c>
      <c r="D117" s="1636">
        <v>0</v>
      </c>
      <c r="E117" s="1623">
        <v>0</v>
      </c>
      <c r="F117" s="1636">
        <v>0</v>
      </c>
      <c r="G117" s="1636">
        <v>0</v>
      </c>
      <c r="H117" s="1623">
        <v>0</v>
      </c>
      <c r="I117" s="1625"/>
      <c r="J117" s="1624">
        <v>0</v>
      </c>
      <c r="K117" s="1623">
        <v>0</v>
      </c>
    </row>
    <row r="118" spans="1:11" ht="12.75" customHeight="1" x14ac:dyDescent="0.2">
      <c r="A118" s="427" t="s">
        <v>1776</v>
      </c>
      <c r="B118" s="478">
        <v>3002</v>
      </c>
      <c r="C118" s="1682">
        <v>0</v>
      </c>
      <c r="D118" s="1623">
        <v>0</v>
      </c>
      <c r="E118" s="1623">
        <v>0</v>
      </c>
      <c r="F118" s="1623">
        <v>0</v>
      </c>
      <c r="G118" s="1623">
        <v>0</v>
      </c>
      <c r="H118" s="1623">
        <v>0</v>
      </c>
      <c r="I118" s="1625"/>
      <c r="J118" s="1624">
        <v>0</v>
      </c>
      <c r="K118" s="1623">
        <v>0</v>
      </c>
    </row>
    <row r="119" spans="1:11" ht="12.75" customHeight="1" x14ac:dyDescent="0.2">
      <c r="A119" s="427" t="s">
        <v>1777</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1895</v>
      </c>
      <c r="B120" s="478">
        <v>3030</v>
      </c>
      <c r="C120" s="1682">
        <v>0</v>
      </c>
      <c r="D120" s="1623">
        <v>0</v>
      </c>
      <c r="E120" s="1623">
        <v>0</v>
      </c>
      <c r="F120" s="1623">
        <v>0</v>
      </c>
      <c r="G120" s="1623">
        <v>0</v>
      </c>
      <c r="H120" s="1623">
        <v>0</v>
      </c>
      <c r="I120" s="1625"/>
      <c r="J120" s="1624">
        <v>0</v>
      </c>
      <c r="K120" s="1623">
        <v>0</v>
      </c>
    </row>
    <row r="121" spans="1:11" x14ac:dyDescent="0.2">
      <c r="A121" s="1311" t="s">
        <v>1778</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891748</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0</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0</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0</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0</v>
      </c>
      <c r="G152" s="1624">
        <v>0</v>
      </c>
      <c r="H152" s="1625"/>
      <c r="I152" s="1625"/>
      <c r="J152" s="1625"/>
      <c r="K152" s="1625"/>
    </row>
    <row r="153" spans="1:11" ht="12.75" customHeight="1" x14ac:dyDescent="0.2">
      <c r="A153" s="427" t="s">
        <v>1050</v>
      </c>
      <c r="B153" s="478">
        <v>3510</v>
      </c>
      <c r="C153" s="1682">
        <v>10814</v>
      </c>
      <c r="D153" s="1623">
        <v>0</v>
      </c>
      <c r="E153" s="1690"/>
      <c r="F153" s="1623">
        <v>0</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10814</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0</v>
      </c>
      <c r="E167" s="1667"/>
      <c r="F167" s="1667"/>
      <c r="G167" s="1625"/>
      <c r="H167" s="1677">
        <v>0</v>
      </c>
      <c r="I167" s="1625"/>
      <c r="J167" s="1625"/>
      <c r="K167" s="1676">
        <v>0</v>
      </c>
    </row>
    <row r="168" spans="1:11" ht="14.25" thickTop="1" thickBot="1" x14ac:dyDescent="0.25">
      <c r="A168" s="1315" t="s">
        <v>70</v>
      </c>
      <c r="B168" s="484">
        <v>3999</v>
      </c>
      <c r="C168" s="1704">
        <v>0</v>
      </c>
      <c r="D168" s="1705">
        <v>0</v>
      </c>
      <c r="E168" s="1705">
        <v>0</v>
      </c>
      <c r="F168" s="1705">
        <v>0</v>
      </c>
      <c r="G168" s="1706">
        <v>0</v>
      </c>
      <c r="H168" s="1707">
        <v>0</v>
      </c>
      <c r="I168" s="1706">
        <v>0</v>
      </c>
      <c r="J168" s="1706">
        <v>0</v>
      </c>
      <c r="K168" s="1707">
        <v>0</v>
      </c>
    </row>
    <row r="169" spans="1:11" ht="12.75" customHeight="1" thickTop="1" thickBot="1" x14ac:dyDescent="0.25">
      <c r="A169" s="2321" t="s">
        <v>395</v>
      </c>
      <c r="B169" s="2322"/>
      <c r="C169" s="1708">
        <f t="shared" ref="C169:K169" si="6">SUM(C132,C141,C145,C146:C150,C155,C156:C167,C168)</f>
        <v>10814</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902562</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3" t="s">
        <v>1478</v>
      </c>
      <c r="B172" s="2324"/>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7" t="s">
        <v>1649</v>
      </c>
      <c r="B175" s="232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1" t="s">
        <v>1648</v>
      </c>
      <c r="B176" s="2332"/>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9" t="s">
        <v>780</v>
      </c>
      <c r="B181" s="233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5" t="s">
        <v>1780</v>
      </c>
      <c r="B182" s="2326"/>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0</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0</v>
      </c>
      <c r="D193" s="1625"/>
      <c r="E193" s="1690"/>
      <c r="F193" s="1625"/>
      <c r="G193" s="1714">
        <v>0</v>
      </c>
      <c r="H193" s="1625"/>
      <c r="I193" s="1625"/>
      <c r="J193" s="1625"/>
      <c r="K193" s="1625"/>
    </row>
    <row r="194" spans="1:11" ht="12.75" customHeight="1" x14ac:dyDescent="0.2">
      <c r="A194" s="427" t="s">
        <v>1437</v>
      </c>
      <c r="B194" s="429">
        <v>4225</v>
      </c>
      <c r="C194" s="1682">
        <v>0</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0</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0</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62921</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2320406</v>
      </c>
      <c r="D213" s="1623">
        <v>0</v>
      </c>
      <c r="E213" s="1625"/>
      <c r="F213" s="1623">
        <v>0</v>
      </c>
      <c r="G213" s="1623">
        <v>0</v>
      </c>
      <c r="H213" s="1625"/>
      <c r="I213" s="1625"/>
      <c r="J213" s="1625"/>
      <c r="K213" s="1625"/>
    </row>
    <row r="214" spans="1:11" ht="12.75" customHeight="1" x14ac:dyDescent="0.2">
      <c r="A214" s="427" t="s">
        <v>1047</v>
      </c>
      <c r="B214" s="429">
        <v>4625</v>
      </c>
      <c r="C214" s="1682">
        <v>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2383327</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0</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1896</v>
      </c>
      <c r="B261" s="429">
        <v>4981</v>
      </c>
      <c r="C261" s="1700">
        <v>0</v>
      </c>
      <c r="D261" s="1701">
        <v>0</v>
      </c>
      <c r="E261" s="1625"/>
      <c r="F261" s="1701">
        <v>0</v>
      </c>
      <c r="G261" s="1701">
        <v>0</v>
      </c>
      <c r="H261" s="1625"/>
      <c r="I261" s="1625"/>
      <c r="J261" s="1625"/>
      <c r="K261" s="1625"/>
    </row>
    <row r="262" spans="1:11" ht="12.75" customHeight="1" thickTop="1" thickBot="1" x14ac:dyDescent="0.25">
      <c r="A262" s="1590" t="s">
        <v>1897</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47069</v>
      </c>
      <c r="D263" s="1701">
        <v>0</v>
      </c>
      <c r="E263" s="1625"/>
      <c r="F263" s="1701">
        <v>0</v>
      </c>
      <c r="G263" s="1701">
        <v>0</v>
      </c>
      <c r="H263" s="1625"/>
      <c r="I263" s="1625"/>
      <c r="J263" s="1625"/>
      <c r="K263" s="1625"/>
    </row>
    <row r="264" spans="1:11" ht="12.75" customHeight="1" thickTop="1" thickBot="1" x14ac:dyDescent="0.25">
      <c r="A264" s="427" t="s">
        <v>374</v>
      </c>
      <c r="B264" s="429">
        <v>4992</v>
      </c>
      <c r="C264" s="1700">
        <v>346481</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2776877</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2776877</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11086444</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69" colorId="8" zoomScale="110" zoomScaleNormal="110" workbookViewId="0">
      <selection activeCell="H106" sqref="H10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1"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9" t="s">
        <v>294</v>
      </c>
      <c r="B3" s="2340"/>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0</v>
      </c>
      <c r="D5" s="1623">
        <v>0</v>
      </c>
      <c r="E5" s="1623">
        <v>0</v>
      </c>
      <c r="F5" s="1623">
        <v>0</v>
      </c>
      <c r="G5" s="1623">
        <v>0</v>
      </c>
      <c r="H5" s="1623">
        <v>0</v>
      </c>
      <c r="I5" s="1624">
        <v>0</v>
      </c>
      <c r="J5" s="1624">
        <v>0</v>
      </c>
      <c r="K5" s="1722">
        <f>SUM(C5:J5)</f>
        <v>0</v>
      </c>
      <c r="L5" s="1623">
        <v>0</v>
      </c>
    </row>
    <row r="6" spans="1:14" x14ac:dyDescent="0.2">
      <c r="A6" s="1319" t="s">
        <v>1419</v>
      </c>
      <c r="B6" s="503" t="s">
        <v>1417</v>
      </c>
      <c r="C6" s="1632"/>
      <c r="D6" s="1632"/>
      <c r="E6" s="1623">
        <v>0</v>
      </c>
      <c r="F6" s="1632"/>
      <c r="G6" s="1632"/>
      <c r="H6" s="1632"/>
      <c r="I6" s="1632"/>
      <c r="J6" s="1632"/>
      <c r="K6" s="1722">
        <f>SUM(C6,E6)</f>
        <v>0</v>
      </c>
      <c r="L6" s="1623">
        <v>0</v>
      </c>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v>0</v>
      </c>
    </row>
    <row r="8" spans="1:14" x14ac:dyDescent="0.2">
      <c r="A8" s="1319" t="s">
        <v>163</v>
      </c>
      <c r="B8" s="503">
        <v>1200</v>
      </c>
      <c r="C8" s="1623">
        <v>5188252</v>
      </c>
      <c r="D8" s="1623">
        <v>1836303</v>
      </c>
      <c r="E8" s="1623">
        <v>111156</v>
      </c>
      <c r="F8" s="1623">
        <v>312585</v>
      </c>
      <c r="G8" s="1623">
        <v>15839</v>
      </c>
      <c r="H8" s="1623">
        <v>0</v>
      </c>
      <c r="I8" s="1624">
        <v>1205</v>
      </c>
      <c r="J8" s="1624">
        <v>0</v>
      </c>
      <c r="K8" s="1722">
        <f t="shared" si="0"/>
        <v>7465340</v>
      </c>
      <c r="L8" s="1623">
        <v>7376833</v>
      </c>
    </row>
    <row r="9" spans="1:14" x14ac:dyDescent="0.2">
      <c r="A9" s="1319" t="s">
        <v>716</v>
      </c>
      <c r="B9" s="503" t="s">
        <v>962</v>
      </c>
      <c r="C9" s="1624">
        <v>0</v>
      </c>
      <c r="D9" s="1624">
        <v>0</v>
      </c>
      <c r="E9" s="1624">
        <v>0</v>
      </c>
      <c r="F9" s="1624">
        <v>0</v>
      </c>
      <c r="G9" s="1624">
        <v>0</v>
      </c>
      <c r="H9" s="1624">
        <v>0</v>
      </c>
      <c r="I9" s="1624">
        <v>0</v>
      </c>
      <c r="J9" s="1624">
        <v>0</v>
      </c>
      <c r="K9" s="1722">
        <f t="shared" si="0"/>
        <v>0</v>
      </c>
      <c r="L9" s="1623"/>
    </row>
    <row r="10" spans="1:14" x14ac:dyDescent="0.2">
      <c r="A10" s="1319" t="s">
        <v>717</v>
      </c>
      <c r="B10" s="503">
        <v>1250</v>
      </c>
      <c r="C10" s="1623">
        <v>105126</v>
      </c>
      <c r="D10" s="1623">
        <v>24669</v>
      </c>
      <c r="E10" s="1623">
        <v>4076</v>
      </c>
      <c r="F10" s="1623">
        <v>1736</v>
      </c>
      <c r="G10" s="1623">
        <v>0</v>
      </c>
      <c r="H10" s="1623">
        <v>0</v>
      </c>
      <c r="I10" s="1624">
        <v>0</v>
      </c>
      <c r="J10" s="1624">
        <v>0</v>
      </c>
      <c r="K10" s="1722">
        <f t="shared" si="0"/>
        <v>135607</v>
      </c>
      <c r="L10" s="1623">
        <v>144435</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v>0</v>
      </c>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v>0</v>
      </c>
    </row>
    <row r="13" spans="1:14" x14ac:dyDescent="0.2">
      <c r="A13" s="1319" t="s">
        <v>718</v>
      </c>
      <c r="B13" s="503">
        <v>1400</v>
      </c>
      <c r="C13" s="1623">
        <v>15419</v>
      </c>
      <c r="D13" s="1623">
        <v>5435</v>
      </c>
      <c r="E13" s="1623">
        <v>0</v>
      </c>
      <c r="F13" s="1623">
        <v>0</v>
      </c>
      <c r="G13" s="1623">
        <v>0</v>
      </c>
      <c r="H13" s="1623">
        <v>0</v>
      </c>
      <c r="I13" s="1624">
        <v>0</v>
      </c>
      <c r="J13" s="1624">
        <v>0</v>
      </c>
      <c r="K13" s="1722">
        <f t="shared" si="0"/>
        <v>20854</v>
      </c>
      <c r="L13" s="1623">
        <v>20963</v>
      </c>
    </row>
    <row r="14" spans="1:14" x14ac:dyDescent="0.2">
      <c r="A14" s="1319" t="s">
        <v>957</v>
      </c>
      <c r="B14" s="503">
        <v>1500</v>
      </c>
      <c r="C14" s="1623">
        <v>0</v>
      </c>
      <c r="D14" s="1623">
        <v>0</v>
      </c>
      <c r="E14" s="1623">
        <v>0</v>
      </c>
      <c r="F14" s="1623">
        <v>0</v>
      </c>
      <c r="G14" s="1623">
        <v>0</v>
      </c>
      <c r="H14" s="1623">
        <v>0</v>
      </c>
      <c r="I14" s="1624">
        <v>0</v>
      </c>
      <c r="J14" s="1624">
        <v>0</v>
      </c>
      <c r="K14" s="1722">
        <f t="shared" si="0"/>
        <v>0</v>
      </c>
      <c r="L14" s="1623">
        <v>0</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v>0</v>
      </c>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v>0</v>
      </c>
    </row>
    <row r="18" spans="1:12" x14ac:dyDescent="0.2">
      <c r="A18" s="1319" t="s">
        <v>1080</v>
      </c>
      <c r="B18" s="503">
        <v>1800</v>
      </c>
      <c r="C18" s="1623">
        <v>0</v>
      </c>
      <c r="D18" s="1623">
        <v>0</v>
      </c>
      <c r="E18" s="1623">
        <v>0</v>
      </c>
      <c r="F18" s="1623">
        <v>0</v>
      </c>
      <c r="G18" s="1623">
        <v>0</v>
      </c>
      <c r="H18" s="1623">
        <v>0</v>
      </c>
      <c r="I18" s="1624">
        <v>0</v>
      </c>
      <c r="J18" s="1624">
        <v>0</v>
      </c>
      <c r="K18" s="1722">
        <f t="shared" si="0"/>
        <v>0</v>
      </c>
      <c r="L18" s="1623">
        <v>0</v>
      </c>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v>0</v>
      </c>
    </row>
    <row r="20" spans="1:12" x14ac:dyDescent="0.2">
      <c r="A20" s="1320" t="s">
        <v>733</v>
      </c>
      <c r="B20" s="494" t="s">
        <v>720</v>
      </c>
      <c r="C20" s="1632"/>
      <c r="D20" s="1632"/>
      <c r="E20" s="1632"/>
      <c r="F20" s="1632"/>
      <c r="G20" s="1632"/>
      <c r="H20" s="1629">
        <v>0</v>
      </c>
      <c r="I20" s="1723"/>
      <c r="J20" s="1630"/>
      <c r="K20" s="1722">
        <f t="shared" si="0"/>
        <v>0</v>
      </c>
      <c r="L20" s="1627">
        <v>0</v>
      </c>
    </row>
    <row r="21" spans="1:12" x14ac:dyDescent="0.2">
      <c r="A21" s="1320" t="s">
        <v>734</v>
      </c>
      <c r="B21" s="494" t="s">
        <v>721</v>
      </c>
      <c r="C21" s="1632"/>
      <c r="D21" s="1632"/>
      <c r="E21" s="1632"/>
      <c r="F21" s="1632"/>
      <c r="G21" s="1632"/>
      <c r="H21" s="1629">
        <v>0</v>
      </c>
      <c r="I21" s="1723"/>
      <c r="J21" s="1632"/>
      <c r="K21" s="1722">
        <f t="shared" si="0"/>
        <v>0</v>
      </c>
      <c r="L21" s="1627">
        <v>0</v>
      </c>
    </row>
    <row r="22" spans="1:12" x14ac:dyDescent="0.2">
      <c r="A22" s="1320" t="s">
        <v>735</v>
      </c>
      <c r="B22" s="494" t="s">
        <v>722</v>
      </c>
      <c r="C22" s="1632"/>
      <c r="D22" s="1632"/>
      <c r="E22" s="1632"/>
      <c r="F22" s="1632"/>
      <c r="G22" s="1632"/>
      <c r="H22" s="1629">
        <v>0</v>
      </c>
      <c r="I22" s="1723"/>
      <c r="J22" s="1632"/>
      <c r="K22" s="1722">
        <f t="shared" si="0"/>
        <v>0</v>
      </c>
      <c r="L22" s="1627">
        <v>0</v>
      </c>
    </row>
    <row r="23" spans="1:12" x14ac:dyDescent="0.2">
      <c r="A23" s="1320" t="s">
        <v>736</v>
      </c>
      <c r="B23" s="494" t="s">
        <v>723</v>
      </c>
      <c r="C23" s="1632"/>
      <c r="D23" s="1632"/>
      <c r="E23" s="1632"/>
      <c r="F23" s="1632"/>
      <c r="G23" s="1632"/>
      <c r="H23" s="1629">
        <v>0</v>
      </c>
      <c r="I23" s="1723"/>
      <c r="J23" s="1632"/>
      <c r="K23" s="1722">
        <f t="shared" si="0"/>
        <v>0</v>
      </c>
      <c r="L23" s="1627">
        <v>0</v>
      </c>
    </row>
    <row r="24" spans="1:12" ht="12.75" customHeight="1" x14ac:dyDescent="0.2">
      <c r="A24" s="1320" t="s">
        <v>737</v>
      </c>
      <c r="B24" s="494" t="s">
        <v>724</v>
      </c>
      <c r="C24" s="1632"/>
      <c r="D24" s="1632"/>
      <c r="E24" s="1632"/>
      <c r="F24" s="1632"/>
      <c r="G24" s="1632"/>
      <c r="H24" s="1629">
        <v>0</v>
      </c>
      <c r="I24" s="1723"/>
      <c r="J24" s="1632"/>
      <c r="K24" s="1722">
        <f t="shared" si="0"/>
        <v>0</v>
      </c>
      <c r="L24" s="1627">
        <v>0</v>
      </c>
    </row>
    <row r="25" spans="1:12" ht="12.75" customHeight="1" x14ac:dyDescent="0.2">
      <c r="A25" s="1320" t="s">
        <v>797</v>
      </c>
      <c r="B25" s="494" t="s">
        <v>725</v>
      </c>
      <c r="C25" s="1632"/>
      <c r="D25" s="1632"/>
      <c r="E25" s="1632"/>
      <c r="F25" s="1632"/>
      <c r="G25" s="1632"/>
      <c r="H25" s="1629">
        <v>0</v>
      </c>
      <c r="I25" s="1723"/>
      <c r="J25" s="1632"/>
      <c r="K25" s="1722">
        <f t="shared" si="0"/>
        <v>0</v>
      </c>
      <c r="L25" s="1627">
        <v>0</v>
      </c>
    </row>
    <row r="26" spans="1:12" x14ac:dyDescent="0.2">
      <c r="A26" s="1320" t="s">
        <v>618</v>
      </c>
      <c r="B26" s="494" t="s">
        <v>726</v>
      </c>
      <c r="C26" s="1632"/>
      <c r="D26" s="1632"/>
      <c r="E26" s="1632"/>
      <c r="F26" s="1632"/>
      <c r="G26" s="1632"/>
      <c r="H26" s="1629">
        <v>0</v>
      </c>
      <c r="I26" s="1723"/>
      <c r="J26" s="1632"/>
      <c r="K26" s="1722">
        <f t="shared" si="0"/>
        <v>0</v>
      </c>
      <c r="L26" s="1627">
        <v>0</v>
      </c>
    </row>
    <row r="27" spans="1:12" x14ac:dyDescent="0.2">
      <c r="A27" s="1320" t="s">
        <v>619</v>
      </c>
      <c r="B27" s="494" t="s">
        <v>727</v>
      </c>
      <c r="C27" s="1632"/>
      <c r="D27" s="1632"/>
      <c r="E27" s="1632"/>
      <c r="F27" s="1632"/>
      <c r="G27" s="1632"/>
      <c r="H27" s="1629">
        <v>0</v>
      </c>
      <c r="I27" s="1723"/>
      <c r="J27" s="1632"/>
      <c r="K27" s="1722">
        <f t="shared" si="0"/>
        <v>0</v>
      </c>
      <c r="L27" s="1627">
        <v>0</v>
      </c>
    </row>
    <row r="28" spans="1:12" x14ac:dyDescent="0.2">
      <c r="A28" s="1320" t="s">
        <v>149</v>
      </c>
      <c r="B28" s="494" t="s">
        <v>728</v>
      </c>
      <c r="C28" s="1632"/>
      <c r="D28" s="1632"/>
      <c r="E28" s="1632"/>
      <c r="F28" s="1632"/>
      <c r="G28" s="1632"/>
      <c r="H28" s="1629">
        <v>0</v>
      </c>
      <c r="I28" s="1723"/>
      <c r="J28" s="1632"/>
      <c r="K28" s="1722">
        <f t="shared" si="0"/>
        <v>0</v>
      </c>
      <c r="L28" s="1627">
        <v>0</v>
      </c>
    </row>
    <row r="29" spans="1:12" x14ac:dyDescent="0.2">
      <c r="A29" s="1320" t="s">
        <v>150</v>
      </c>
      <c r="B29" s="494" t="s">
        <v>729</v>
      </c>
      <c r="C29" s="1632"/>
      <c r="D29" s="1632"/>
      <c r="E29" s="1632"/>
      <c r="F29" s="1632"/>
      <c r="G29" s="1632"/>
      <c r="H29" s="1629">
        <v>0</v>
      </c>
      <c r="I29" s="1723"/>
      <c r="J29" s="1632"/>
      <c r="K29" s="1722">
        <f t="shared" si="0"/>
        <v>0</v>
      </c>
      <c r="L29" s="1627">
        <v>0</v>
      </c>
    </row>
    <row r="30" spans="1:12" x14ac:dyDescent="0.2">
      <c r="A30" s="1320" t="s">
        <v>151</v>
      </c>
      <c r="B30" s="494" t="s">
        <v>730</v>
      </c>
      <c r="C30" s="1632"/>
      <c r="D30" s="1632"/>
      <c r="E30" s="1632"/>
      <c r="F30" s="1632"/>
      <c r="G30" s="1632"/>
      <c r="H30" s="1629">
        <v>0</v>
      </c>
      <c r="I30" s="1723"/>
      <c r="J30" s="1632"/>
      <c r="K30" s="1722">
        <f t="shared" si="0"/>
        <v>0</v>
      </c>
      <c r="L30" s="1627">
        <v>0</v>
      </c>
    </row>
    <row r="31" spans="1:12" x14ac:dyDescent="0.2">
      <c r="A31" s="1320" t="s">
        <v>152</v>
      </c>
      <c r="B31" s="494" t="s">
        <v>731</v>
      </c>
      <c r="C31" s="1632"/>
      <c r="D31" s="1632"/>
      <c r="E31" s="1632"/>
      <c r="F31" s="1632"/>
      <c r="G31" s="1632"/>
      <c r="H31" s="1629">
        <v>0</v>
      </c>
      <c r="I31" s="1723"/>
      <c r="J31" s="1632"/>
      <c r="K31" s="1722">
        <f t="shared" si="0"/>
        <v>0</v>
      </c>
      <c r="L31" s="1627">
        <v>0</v>
      </c>
    </row>
    <row r="32" spans="1:12" x14ac:dyDescent="0.2">
      <c r="A32" s="1321" t="s">
        <v>1121</v>
      </c>
      <c r="B32" s="503" t="s">
        <v>732</v>
      </c>
      <c r="C32" s="1632"/>
      <c r="D32" s="1632"/>
      <c r="E32" s="1632"/>
      <c r="F32" s="1632"/>
      <c r="G32" s="1632"/>
      <c r="H32" s="1629">
        <v>0</v>
      </c>
      <c r="I32" s="1723"/>
      <c r="J32" s="1635"/>
      <c r="K32" s="1722">
        <f t="shared" si="0"/>
        <v>0</v>
      </c>
      <c r="L32" s="1627">
        <v>0</v>
      </c>
    </row>
    <row r="33" spans="1:14" ht="12.75" customHeight="1" thickBot="1" x14ac:dyDescent="0.25">
      <c r="A33" s="1429" t="s">
        <v>1652</v>
      </c>
      <c r="B33" s="1430" t="s">
        <v>566</v>
      </c>
      <c r="C33" s="1724">
        <f>SUM(C5:C32)</f>
        <v>5308797</v>
      </c>
      <c r="D33" s="1724">
        <f t="shared" ref="D33:L33" si="1">SUM(D5:D32)</f>
        <v>1866407</v>
      </c>
      <c r="E33" s="1724">
        <f t="shared" si="1"/>
        <v>115232</v>
      </c>
      <c r="F33" s="1724">
        <f t="shared" si="1"/>
        <v>314321</v>
      </c>
      <c r="G33" s="1724">
        <f t="shared" si="1"/>
        <v>15839</v>
      </c>
      <c r="H33" s="1724">
        <f t="shared" si="1"/>
        <v>0</v>
      </c>
      <c r="I33" s="1724">
        <f t="shared" si="1"/>
        <v>1205</v>
      </c>
      <c r="J33" s="1724">
        <f t="shared" si="1"/>
        <v>0</v>
      </c>
      <c r="K33" s="1724">
        <f t="shared" si="1"/>
        <v>7621801</v>
      </c>
      <c r="L33" s="1724">
        <f t="shared" si="1"/>
        <v>7542231</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76447</v>
      </c>
      <c r="D36" s="1636">
        <v>20401</v>
      </c>
      <c r="E36" s="1636">
        <v>2883</v>
      </c>
      <c r="F36" s="1636">
        <v>3119</v>
      </c>
      <c r="G36" s="1636">
        <v>0</v>
      </c>
      <c r="H36" s="1636">
        <v>0</v>
      </c>
      <c r="I36" s="1624">
        <v>0</v>
      </c>
      <c r="J36" s="1624">
        <v>0</v>
      </c>
      <c r="K36" s="1722">
        <f t="shared" ref="K36:K41" si="2">SUM(C36:J36)</f>
        <v>102850</v>
      </c>
      <c r="L36" s="1623">
        <v>69043</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v>0</v>
      </c>
    </row>
    <row r="38" spans="1:14" x14ac:dyDescent="0.2">
      <c r="A38" s="1319" t="s">
        <v>196</v>
      </c>
      <c r="B38" s="503">
        <v>2130</v>
      </c>
      <c r="C38" s="1623">
        <v>404746</v>
      </c>
      <c r="D38" s="1623">
        <v>113402</v>
      </c>
      <c r="E38" s="1623">
        <v>81062</v>
      </c>
      <c r="F38" s="1623">
        <v>3235</v>
      </c>
      <c r="G38" s="1623">
        <v>0</v>
      </c>
      <c r="H38" s="1623">
        <v>0</v>
      </c>
      <c r="I38" s="1624">
        <v>0</v>
      </c>
      <c r="J38" s="1624">
        <v>0</v>
      </c>
      <c r="K38" s="1722">
        <f t="shared" si="2"/>
        <v>602445</v>
      </c>
      <c r="L38" s="1623">
        <v>579772</v>
      </c>
    </row>
    <row r="39" spans="1:14" x14ac:dyDescent="0.2">
      <c r="A39" s="1319" t="s">
        <v>197</v>
      </c>
      <c r="B39" s="503">
        <v>2140</v>
      </c>
      <c r="C39" s="1623">
        <v>164742</v>
      </c>
      <c r="D39" s="1623">
        <v>36685</v>
      </c>
      <c r="E39" s="1623">
        <v>4904</v>
      </c>
      <c r="F39" s="1623">
        <v>2064</v>
      </c>
      <c r="G39" s="1623">
        <v>0</v>
      </c>
      <c r="H39" s="1623">
        <v>0</v>
      </c>
      <c r="I39" s="1624">
        <v>0</v>
      </c>
      <c r="J39" s="1624">
        <v>0</v>
      </c>
      <c r="K39" s="1722">
        <f t="shared" si="2"/>
        <v>208395</v>
      </c>
      <c r="L39" s="1623">
        <v>211111</v>
      </c>
    </row>
    <row r="40" spans="1:14" x14ac:dyDescent="0.2">
      <c r="A40" s="1319" t="s">
        <v>198</v>
      </c>
      <c r="B40" s="503">
        <v>2150</v>
      </c>
      <c r="C40" s="1623">
        <v>382739</v>
      </c>
      <c r="D40" s="1623">
        <v>100684</v>
      </c>
      <c r="E40" s="1623">
        <v>4971</v>
      </c>
      <c r="F40" s="1623">
        <v>14322</v>
      </c>
      <c r="G40" s="1623">
        <v>0</v>
      </c>
      <c r="H40" s="1623">
        <v>0</v>
      </c>
      <c r="I40" s="1624">
        <v>0</v>
      </c>
      <c r="J40" s="1624">
        <v>0</v>
      </c>
      <c r="K40" s="1722">
        <f t="shared" si="2"/>
        <v>502716</v>
      </c>
      <c r="L40" s="1623">
        <v>509957</v>
      </c>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v>0</v>
      </c>
    </row>
    <row r="42" spans="1:14" ht="12.75" customHeight="1" thickBot="1" x14ac:dyDescent="0.25">
      <c r="A42" s="1429" t="s">
        <v>556</v>
      </c>
      <c r="B42" s="1430" t="s">
        <v>711</v>
      </c>
      <c r="C42" s="1724">
        <f>SUM(C36:C41)</f>
        <v>1028674</v>
      </c>
      <c r="D42" s="1724">
        <f t="shared" ref="D42:L42" si="3">SUM(D36:D41)</f>
        <v>271172</v>
      </c>
      <c r="E42" s="1724">
        <f t="shared" si="3"/>
        <v>93820</v>
      </c>
      <c r="F42" s="1724">
        <f t="shared" si="3"/>
        <v>22740</v>
      </c>
      <c r="G42" s="1724">
        <f t="shared" si="3"/>
        <v>0</v>
      </c>
      <c r="H42" s="1724">
        <f t="shared" si="3"/>
        <v>0</v>
      </c>
      <c r="I42" s="1724">
        <f t="shared" si="3"/>
        <v>0</v>
      </c>
      <c r="J42" s="1724">
        <f t="shared" si="3"/>
        <v>0</v>
      </c>
      <c r="K42" s="1724">
        <f t="shared" si="3"/>
        <v>1416406</v>
      </c>
      <c r="L42" s="1724">
        <f t="shared" si="3"/>
        <v>1369883</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48120</v>
      </c>
      <c r="D44" s="1636">
        <v>8</v>
      </c>
      <c r="E44" s="1636">
        <v>74798</v>
      </c>
      <c r="F44" s="1636">
        <v>6236</v>
      </c>
      <c r="G44" s="1636">
        <v>0</v>
      </c>
      <c r="H44" s="1636">
        <v>6338</v>
      </c>
      <c r="I44" s="1624">
        <v>0</v>
      </c>
      <c r="J44" s="1624">
        <v>0</v>
      </c>
      <c r="K44" s="1728">
        <f>SUM(C44:J44)</f>
        <v>135500</v>
      </c>
      <c r="L44" s="1636">
        <v>131273</v>
      </c>
    </row>
    <row r="45" spans="1:14" x14ac:dyDescent="0.2">
      <c r="A45" s="1319" t="s">
        <v>810</v>
      </c>
      <c r="B45" s="503">
        <v>2220</v>
      </c>
      <c r="C45" s="1623">
        <v>0</v>
      </c>
      <c r="D45" s="1623">
        <v>0</v>
      </c>
      <c r="E45" s="1623">
        <v>0</v>
      </c>
      <c r="F45" s="1623">
        <v>0</v>
      </c>
      <c r="G45" s="1623">
        <v>0</v>
      </c>
      <c r="H45" s="1623">
        <v>0</v>
      </c>
      <c r="I45" s="1624">
        <v>0</v>
      </c>
      <c r="J45" s="1624">
        <v>0</v>
      </c>
      <c r="K45" s="1728">
        <f>SUM(C45:J45)</f>
        <v>0</v>
      </c>
      <c r="L45" s="1623">
        <v>0</v>
      </c>
    </row>
    <row r="46" spans="1:14" x14ac:dyDescent="0.2">
      <c r="A46" s="1319" t="s">
        <v>811</v>
      </c>
      <c r="B46" s="503">
        <v>2230</v>
      </c>
      <c r="C46" s="1623">
        <v>90544</v>
      </c>
      <c r="D46" s="1623">
        <v>19696</v>
      </c>
      <c r="E46" s="1623">
        <v>7214</v>
      </c>
      <c r="F46" s="1623">
        <v>3399</v>
      </c>
      <c r="G46" s="1623">
        <v>0</v>
      </c>
      <c r="H46" s="1623">
        <v>0</v>
      </c>
      <c r="I46" s="1624">
        <v>0</v>
      </c>
      <c r="J46" s="1624">
        <v>0</v>
      </c>
      <c r="K46" s="1728">
        <f>SUM(C46:J46)</f>
        <v>120853</v>
      </c>
      <c r="L46" s="1623">
        <v>141381</v>
      </c>
    </row>
    <row r="47" spans="1:14" ht="12.75" customHeight="1" thickBot="1" x14ac:dyDescent="0.25">
      <c r="A47" s="1429" t="s">
        <v>557</v>
      </c>
      <c r="B47" s="1430" t="s">
        <v>32</v>
      </c>
      <c r="C47" s="1724">
        <f>SUM(C44:C46)</f>
        <v>138664</v>
      </c>
      <c r="D47" s="1724">
        <f t="shared" ref="D47:K47" si="4">SUM(D44:D46)</f>
        <v>19704</v>
      </c>
      <c r="E47" s="1724">
        <f t="shared" si="4"/>
        <v>82012</v>
      </c>
      <c r="F47" s="1724">
        <f t="shared" si="4"/>
        <v>9635</v>
      </c>
      <c r="G47" s="1724">
        <f t="shared" si="4"/>
        <v>0</v>
      </c>
      <c r="H47" s="1724">
        <f t="shared" si="4"/>
        <v>6338</v>
      </c>
      <c r="I47" s="1724">
        <f t="shared" si="4"/>
        <v>0</v>
      </c>
      <c r="J47" s="1724">
        <f t="shared" si="4"/>
        <v>0</v>
      </c>
      <c r="K47" s="1724">
        <f t="shared" si="4"/>
        <v>256353</v>
      </c>
      <c r="L47" s="1724">
        <f>SUM(L44:L46)</f>
        <v>272654</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0</v>
      </c>
      <c r="D49" s="1636">
        <v>0</v>
      </c>
      <c r="E49" s="1636">
        <v>0</v>
      </c>
      <c r="F49" s="1636">
        <v>0</v>
      </c>
      <c r="G49" s="1636">
        <v>0</v>
      </c>
      <c r="H49" s="1636">
        <v>0</v>
      </c>
      <c r="I49" s="1624">
        <v>0</v>
      </c>
      <c r="J49" s="1624">
        <v>0</v>
      </c>
      <c r="K49" s="1728">
        <f>SUM(C49:J49)</f>
        <v>0</v>
      </c>
      <c r="L49" s="1636">
        <v>0</v>
      </c>
    </row>
    <row r="50" spans="1:14" x14ac:dyDescent="0.2">
      <c r="A50" s="1319" t="s">
        <v>813</v>
      </c>
      <c r="B50" s="503">
        <v>2320</v>
      </c>
      <c r="C50" s="1623">
        <v>290104</v>
      </c>
      <c r="D50" s="1623">
        <v>100986</v>
      </c>
      <c r="E50" s="1623">
        <v>197988</v>
      </c>
      <c r="F50" s="1623">
        <v>44394</v>
      </c>
      <c r="G50" s="1623">
        <v>40896</v>
      </c>
      <c r="H50" s="1623">
        <v>0</v>
      </c>
      <c r="I50" s="1624">
        <v>0</v>
      </c>
      <c r="J50" s="1624">
        <v>0</v>
      </c>
      <c r="K50" s="1728">
        <f>SUM(C50:J50)</f>
        <v>674368</v>
      </c>
      <c r="L50" s="1623">
        <v>644068</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v>0</v>
      </c>
    </row>
    <row r="52" spans="1:14" ht="22.5" x14ac:dyDescent="0.2">
      <c r="A52" s="1320" t="s">
        <v>295</v>
      </c>
      <c r="B52" s="511" t="s">
        <v>363</v>
      </c>
      <c r="C52" s="1629">
        <v>0</v>
      </c>
      <c r="D52" s="1629">
        <v>0</v>
      </c>
      <c r="E52" s="1629">
        <v>0</v>
      </c>
      <c r="F52" s="1629">
        <v>0</v>
      </c>
      <c r="G52" s="1629">
        <v>0</v>
      </c>
      <c r="H52" s="1629">
        <v>0</v>
      </c>
      <c r="I52" s="1629">
        <v>0</v>
      </c>
      <c r="J52" s="1629">
        <v>0</v>
      </c>
      <c r="K52" s="1728">
        <f>SUM(C52:J52)</f>
        <v>0</v>
      </c>
      <c r="L52" s="1629">
        <v>0</v>
      </c>
    </row>
    <row r="53" spans="1:14" ht="12.75" customHeight="1" thickBot="1" x14ac:dyDescent="0.25">
      <c r="A53" s="1429" t="s">
        <v>712</v>
      </c>
      <c r="B53" s="1430" t="s">
        <v>33</v>
      </c>
      <c r="C53" s="1724">
        <f>SUM(C49:C52)</f>
        <v>290104</v>
      </c>
      <c r="D53" s="1724">
        <f t="shared" ref="D53:L53" si="5">SUM(D49:D52)</f>
        <v>100986</v>
      </c>
      <c r="E53" s="1724">
        <f t="shared" si="5"/>
        <v>197988</v>
      </c>
      <c r="F53" s="1724">
        <f t="shared" si="5"/>
        <v>44394</v>
      </c>
      <c r="G53" s="1724">
        <f t="shared" si="5"/>
        <v>40896</v>
      </c>
      <c r="H53" s="1724">
        <f t="shared" si="5"/>
        <v>0</v>
      </c>
      <c r="I53" s="1724">
        <f t="shared" si="5"/>
        <v>0</v>
      </c>
      <c r="J53" s="1724">
        <f t="shared" si="5"/>
        <v>0</v>
      </c>
      <c r="K53" s="1724">
        <f t="shared" si="5"/>
        <v>674368</v>
      </c>
      <c r="L53" s="1724">
        <f t="shared" si="5"/>
        <v>644068</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0</v>
      </c>
      <c r="D55" s="1636">
        <v>0</v>
      </c>
      <c r="E55" s="1636">
        <v>0</v>
      </c>
      <c r="F55" s="1636">
        <v>0</v>
      </c>
      <c r="G55" s="1636">
        <v>0</v>
      </c>
      <c r="H55" s="1636">
        <v>0</v>
      </c>
      <c r="I55" s="1624">
        <v>0</v>
      </c>
      <c r="J55" s="1624">
        <v>0</v>
      </c>
      <c r="K55" s="1728">
        <f>SUM(C55:J55)</f>
        <v>0</v>
      </c>
      <c r="L55" s="1636">
        <v>0</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v>0</v>
      </c>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8">
        <f t="shared" ref="K59:K64" si="7">SUM(C59:J59)</f>
        <v>0</v>
      </c>
      <c r="L59" s="1636">
        <v>0</v>
      </c>
      <c r="M59" s="501"/>
      <c r="N59" s="501"/>
    </row>
    <row r="60" spans="1:14" s="321" customFormat="1" x14ac:dyDescent="0.2">
      <c r="A60" s="1319" t="s">
        <v>460</v>
      </c>
      <c r="B60" s="503">
        <v>2520</v>
      </c>
      <c r="C60" s="1623">
        <v>94289</v>
      </c>
      <c r="D60" s="1623">
        <v>37211</v>
      </c>
      <c r="E60" s="1623">
        <v>783</v>
      </c>
      <c r="F60" s="1623">
        <v>1042</v>
      </c>
      <c r="G60" s="1623">
        <v>0</v>
      </c>
      <c r="H60" s="1623">
        <v>0</v>
      </c>
      <c r="I60" s="1624">
        <v>0</v>
      </c>
      <c r="J60" s="1624">
        <v>0</v>
      </c>
      <c r="K60" s="1728">
        <f t="shared" si="7"/>
        <v>133325</v>
      </c>
      <c r="L60" s="1623">
        <v>124581</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v>0</v>
      </c>
      <c r="M61" s="501"/>
      <c r="N61" s="501"/>
    </row>
    <row r="62" spans="1:14" s="321" customFormat="1" x14ac:dyDescent="0.2">
      <c r="A62" s="1319" t="s">
        <v>947</v>
      </c>
      <c r="B62" s="503">
        <v>2550</v>
      </c>
      <c r="C62" s="1623">
        <v>0</v>
      </c>
      <c r="D62" s="1623">
        <v>0</v>
      </c>
      <c r="E62" s="1623">
        <v>0</v>
      </c>
      <c r="F62" s="1623">
        <v>0</v>
      </c>
      <c r="G62" s="1623">
        <v>30571</v>
      </c>
      <c r="H62" s="1623">
        <v>0</v>
      </c>
      <c r="I62" s="1624">
        <v>0</v>
      </c>
      <c r="J62" s="1624">
        <v>0</v>
      </c>
      <c r="K62" s="1728">
        <f t="shared" si="7"/>
        <v>30571</v>
      </c>
      <c r="L62" s="1623">
        <v>0</v>
      </c>
      <c r="M62" s="501"/>
      <c r="N62" s="501"/>
    </row>
    <row r="63" spans="1:14" s="501" customFormat="1" x14ac:dyDescent="0.2">
      <c r="A63" s="1319" t="s">
        <v>100</v>
      </c>
      <c r="B63" s="503">
        <v>2560</v>
      </c>
      <c r="C63" s="1623">
        <v>0</v>
      </c>
      <c r="D63" s="1623">
        <v>0</v>
      </c>
      <c r="E63" s="1623">
        <v>0</v>
      </c>
      <c r="F63" s="1623">
        <v>0</v>
      </c>
      <c r="G63" s="1623">
        <v>0</v>
      </c>
      <c r="H63" s="1623">
        <v>0</v>
      </c>
      <c r="I63" s="1624">
        <v>0</v>
      </c>
      <c r="J63" s="1624">
        <v>0</v>
      </c>
      <c r="K63" s="1728">
        <f t="shared" si="7"/>
        <v>0</v>
      </c>
      <c r="L63" s="1623">
        <v>0</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v>0</v>
      </c>
    </row>
    <row r="65" spans="1:14" s="321" customFormat="1" ht="12.75" customHeight="1" thickBot="1" x14ac:dyDescent="0.25">
      <c r="A65" s="1429" t="s">
        <v>714</v>
      </c>
      <c r="B65" s="1430" t="s">
        <v>35</v>
      </c>
      <c r="C65" s="1724">
        <f>SUM(C59:C64)</f>
        <v>94289</v>
      </c>
      <c r="D65" s="1724">
        <f t="shared" ref="D65:L65" si="8">SUM(D59:D64)</f>
        <v>37211</v>
      </c>
      <c r="E65" s="1724">
        <f t="shared" si="8"/>
        <v>783</v>
      </c>
      <c r="F65" s="1724">
        <f t="shared" si="8"/>
        <v>1042</v>
      </c>
      <c r="G65" s="1724">
        <f t="shared" si="8"/>
        <v>30571</v>
      </c>
      <c r="H65" s="1724">
        <f t="shared" si="8"/>
        <v>0</v>
      </c>
      <c r="I65" s="1724">
        <f t="shared" si="8"/>
        <v>0</v>
      </c>
      <c r="J65" s="1724">
        <f t="shared" si="8"/>
        <v>0</v>
      </c>
      <c r="K65" s="1724">
        <f t="shared" si="8"/>
        <v>163896</v>
      </c>
      <c r="L65" s="1724">
        <f t="shared" si="8"/>
        <v>124581</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v>0</v>
      </c>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v>0</v>
      </c>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v>0</v>
      </c>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v>0</v>
      </c>
      <c r="M70" s="501"/>
      <c r="N70" s="501"/>
    </row>
    <row r="71" spans="1:14" s="321" customFormat="1" x14ac:dyDescent="0.2">
      <c r="A71" s="1319" t="s">
        <v>401</v>
      </c>
      <c r="B71" s="503">
        <v>2660</v>
      </c>
      <c r="C71" s="1623">
        <v>0</v>
      </c>
      <c r="D71" s="1623">
        <v>0</v>
      </c>
      <c r="E71" s="1623">
        <v>48877</v>
      </c>
      <c r="F71" s="1623">
        <v>0</v>
      </c>
      <c r="G71" s="1623">
        <v>0</v>
      </c>
      <c r="H71" s="1623">
        <v>0</v>
      </c>
      <c r="I71" s="1624">
        <v>0</v>
      </c>
      <c r="J71" s="1624">
        <v>0</v>
      </c>
      <c r="K71" s="1728">
        <f>SUM(C71:J71)</f>
        <v>48877</v>
      </c>
      <c r="L71" s="1623">
        <v>50849</v>
      </c>
      <c r="M71" s="501"/>
      <c r="N71" s="501"/>
    </row>
    <row r="72" spans="1:14" s="321" customFormat="1" ht="12.75" customHeight="1" thickBot="1" x14ac:dyDescent="0.25">
      <c r="A72" s="1429" t="s">
        <v>37</v>
      </c>
      <c r="B72" s="1432" t="s">
        <v>36</v>
      </c>
      <c r="C72" s="1724">
        <f>SUM(C67:C71)</f>
        <v>0</v>
      </c>
      <c r="D72" s="1724">
        <f t="shared" ref="D72:K72" si="9">SUM(D67:D71)</f>
        <v>0</v>
      </c>
      <c r="E72" s="1724">
        <f t="shared" si="9"/>
        <v>48877</v>
      </c>
      <c r="F72" s="1724">
        <f t="shared" si="9"/>
        <v>0</v>
      </c>
      <c r="G72" s="1724">
        <f t="shared" si="9"/>
        <v>0</v>
      </c>
      <c r="H72" s="1724">
        <f t="shared" si="9"/>
        <v>0</v>
      </c>
      <c r="I72" s="1724">
        <f t="shared" si="9"/>
        <v>0</v>
      </c>
      <c r="J72" s="1724">
        <f t="shared" si="9"/>
        <v>0</v>
      </c>
      <c r="K72" s="1724">
        <f t="shared" si="9"/>
        <v>48877</v>
      </c>
      <c r="L72" s="1724">
        <f>SUM(L67:L71)</f>
        <v>50849</v>
      </c>
      <c r="M72" s="501"/>
      <c r="N72" s="501"/>
    </row>
    <row r="73" spans="1:14" s="321" customFormat="1" ht="14.25" thickTop="1" thickBot="1" x14ac:dyDescent="0.25">
      <c r="A73" s="1325" t="s">
        <v>973</v>
      </c>
      <c r="B73" s="515" t="s">
        <v>570</v>
      </c>
      <c r="C73" s="1699">
        <v>0</v>
      </c>
      <c r="D73" s="1699">
        <v>0</v>
      </c>
      <c r="E73" s="1699">
        <v>0</v>
      </c>
      <c r="F73" s="1699">
        <v>0</v>
      </c>
      <c r="G73" s="1699">
        <v>0</v>
      </c>
      <c r="H73" s="1699">
        <v>62152</v>
      </c>
      <c r="I73" s="1677">
        <v>0</v>
      </c>
      <c r="J73" s="1677">
        <v>0</v>
      </c>
      <c r="K73" s="1724">
        <f>SUM(C73:J73)</f>
        <v>62152</v>
      </c>
      <c r="L73" s="1701">
        <v>10000</v>
      </c>
      <c r="M73" s="501"/>
      <c r="N73" s="501"/>
    </row>
    <row r="74" spans="1:14" ht="12.75" customHeight="1" thickTop="1" thickBot="1" x14ac:dyDescent="0.25">
      <c r="A74" s="1429" t="s">
        <v>806</v>
      </c>
      <c r="B74" s="1433">
        <v>2000</v>
      </c>
      <c r="C74" s="1731">
        <f>SUM(C42,C47,C53,C57,C65,C72,C73)</f>
        <v>1551731</v>
      </c>
      <c r="D74" s="1731">
        <f t="shared" ref="D74:K74" si="10">SUM(D42,D47,D53,D57,D65,D72,D73)</f>
        <v>429073</v>
      </c>
      <c r="E74" s="1731">
        <f t="shared" si="10"/>
        <v>423480</v>
      </c>
      <c r="F74" s="1731">
        <f t="shared" si="10"/>
        <v>77811</v>
      </c>
      <c r="G74" s="1731">
        <f t="shared" si="10"/>
        <v>71467</v>
      </c>
      <c r="H74" s="1731">
        <f t="shared" si="10"/>
        <v>68490</v>
      </c>
      <c r="I74" s="1731">
        <f t="shared" si="10"/>
        <v>0</v>
      </c>
      <c r="J74" s="1731">
        <f t="shared" si="10"/>
        <v>0</v>
      </c>
      <c r="K74" s="1731">
        <f t="shared" si="10"/>
        <v>2622052</v>
      </c>
      <c r="L74" s="1731">
        <f>SUM(L42,L47,L53,L57,L65,L72,L73)</f>
        <v>2472035</v>
      </c>
    </row>
    <row r="75" spans="1:14" s="254" customFormat="1" ht="15.75" customHeight="1" thickTop="1" thickBot="1" x14ac:dyDescent="0.25">
      <c r="A75" s="1393" t="s">
        <v>47</v>
      </c>
      <c r="B75" s="1394" t="s">
        <v>571</v>
      </c>
      <c r="C75" s="1699">
        <v>0</v>
      </c>
      <c r="D75" s="1699">
        <v>0</v>
      </c>
      <c r="E75" s="1699">
        <v>0</v>
      </c>
      <c r="F75" s="1699">
        <v>0</v>
      </c>
      <c r="G75" s="1699">
        <v>0</v>
      </c>
      <c r="H75" s="1699">
        <v>0</v>
      </c>
      <c r="I75" s="1677">
        <v>0</v>
      </c>
      <c r="J75" s="1677">
        <v>0</v>
      </c>
      <c r="K75" s="1724">
        <f>SUM(C75:J75)</f>
        <v>0</v>
      </c>
      <c r="L75" s="1701">
        <v>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0</v>
      </c>
      <c r="I78" s="1632"/>
      <c r="J78" s="1632"/>
      <c r="K78" s="1722">
        <f t="shared" ref="K78:K83" si="11">SUM(C78:J78)</f>
        <v>0</v>
      </c>
      <c r="L78" s="1636">
        <v>0</v>
      </c>
    </row>
    <row r="79" spans="1:14" x14ac:dyDescent="0.2">
      <c r="A79" s="1319" t="s">
        <v>301</v>
      </c>
      <c r="B79" s="503">
        <v>4120</v>
      </c>
      <c r="C79" s="1723"/>
      <c r="D79" s="1723"/>
      <c r="E79" s="1623">
        <v>455</v>
      </c>
      <c r="F79" s="1723"/>
      <c r="G79" s="1723"/>
      <c r="H79" s="1623">
        <v>997686</v>
      </c>
      <c r="I79" s="1632"/>
      <c r="J79" s="1632"/>
      <c r="K79" s="1722">
        <f t="shared" si="11"/>
        <v>998141</v>
      </c>
      <c r="L79" s="1623">
        <v>977749</v>
      </c>
    </row>
    <row r="80" spans="1:14" x14ac:dyDescent="0.2">
      <c r="A80" s="1319" t="s">
        <v>302</v>
      </c>
      <c r="B80" s="503">
        <v>4130</v>
      </c>
      <c r="C80" s="1723"/>
      <c r="D80" s="1723"/>
      <c r="E80" s="1623">
        <v>0</v>
      </c>
      <c r="F80" s="1723"/>
      <c r="G80" s="1723"/>
      <c r="H80" s="1623">
        <v>0</v>
      </c>
      <c r="I80" s="1632"/>
      <c r="J80" s="1632"/>
      <c r="K80" s="1722">
        <f t="shared" si="11"/>
        <v>0</v>
      </c>
      <c r="L80" s="1623">
        <v>0</v>
      </c>
    </row>
    <row r="81" spans="1:12" x14ac:dyDescent="0.2">
      <c r="A81" s="1319" t="s">
        <v>692</v>
      </c>
      <c r="B81" s="503">
        <v>4140</v>
      </c>
      <c r="C81" s="1723"/>
      <c r="D81" s="1723"/>
      <c r="E81" s="1623">
        <v>0</v>
      </c>
      <c r="F81" s="1723"/>
      <c r="G81" s="1723"/>
      <c r="H81" s="1623">
        <v>0</v>
      </c>
      <c r="I81" s="1632"/>
      <c r="J81" s="1632"/>
      <c r="K81" s="1722">
        <f t="shared" si="11"/>
        <v>0</v>
      </c>
      <c r="L81" s="1623">
        <v>0</v>
      </c>
    </row>
    <row r="82" spans="1:12" x14ac:dyDescent="0.2">
      <c r="A82" s="1319" t="s">
        <v>86</v>
      </c>
      <c r="B82" s="503">
        <v>4170</v>
      </c>
      <c r="C82" s="1723"/>
      <c r="D82" s="1723"/>
      <c r="E82" s="1623">
        <v>0</v>
      </c>
      <c r="F82" s="1723"/>
      <c r="G82" s="1723"/>
      <c r="H82" s="1623">
        <v>0</v>
      </c>
      <c r="I82" s="1632"/>
      <c r="J82" s="1632"/>
      <c r="K82" s="1722">
        <f t="shared" si="11"/>
        <v>0</v>
      </c>
      <c r="L82" s="1623">
        <v>0</v>
      </c>
    </row>
    <row r="83" spans="1:12" x14ac:dyDescent="0.2">
      <c r="A83" s="1323" t="s">
        <v>693</v>
      </c>
      <c r="B83" s="512">
        <v>4190</v>
      </c>
      <c r="C83" s="1723"/>
      <c r="D83" s="1723"/>
      <c r="E83" s="1623">
        <v>0</v>
      </c>
      <c r="F83" s="1723"/>
      <c r="G83" s="1723"/>
      <c r="H83" s="1623">
        <v>1172945</v>
      </c>
      <c r="I83" s="1632"/>
      <c r="J83" s="1632"/>
      <c r="K83" s="1722">
        <f t="shared" si="11"/>
        <v>1172945</v>
      </c>
      <c r="L83" s="1623">
        <v>0</v>
      </c>
    </row>
    <row r="84" spans="1:12" ht="13.5" thickBot="1" x14ac:dyDescent="0.25">
      <c r="A84" s="1429" t="s">
        <v>1471</v>
      </c>
      <c r="B84" s="1434">
        <v>4100</v>
      </c>
      <c r="C84" s="1723"/>
      <c r="D84" s="1723"/>
      <c r="E84" s="1724">
        <f>SUM(E78:E83)</f>
        <v>455</v>
      </c>
      <c r="F84" s="1723"/>
      <c r="G84" s="1723"/>
      <c r="H84" s="1724">
        <f>SUM(H78:H83)</f>
        <v>2170631</v>
      </c>
      <c r="I84" s="1632"/>
      <c r="J84" s="1632"/>
      <c r="K84" s="1724">
        <f>SUM(K78:K83)</f>
        <v>2171086</v>
      </c>
      <c r="L84" s="1724">
        <f>SUM(L78:L83)</f>
        <v>977749</v>
      </c>
    </row>
    <row r="85" spans="1:12" ht="12.75" customHeight="1" thickTop="1" thickBot="1" x14ac:dyDescent="0.25">
      <c r="A85" s="1326" t="s">
        <v>253</v>
      </c>
      <c r="B85" s="517">
        <v>4210</v>
      </c>
      <c r="C85" s="1723"/>
      <c r="D85" s="1723"/>
      <c r="E85" s="1733"/>
      <c r="F85" s="1723"/>
      <c r="G85" s="1723"/>
      <c r="H85" s="1680">
        <v>0</v>
      </c>
      <c r="I85" s="1632"/>
      <c r="J85" s="1632"/>
      <c r="K85" s="1731">
        <f>H85</f>
        <v>0</v>
      </c>
      <c r="L85" s="1676">
        <v>0</v>
      </c>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v>0</v>
      </c>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v>0</v>
      </c>
    </row>
    <row r="96" spans="1:12" ht="14.25" thickTop="1" thickBot="1" x14ac:dyDescent="0.25">
      <c r="A96" s="1328" t="s">
        <v>685</v>
      </c>
      <c r="B96" s="519">
        <v>4340</v>
      </c>
      <c r="C96" s="1723"/>
      <c r="D96" s="1723"/>
      <c r="E96" s="1734"/>
      <c r="F96" s="1723"/>
      <c r="G96" s="1723"/>
      <c r="H96" s="1624">
        <v>0</v>
      </c>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v>0</v>
      </c>
    </row>
    <row r="98" spans="1:14" ht="14.25" thickTop="1" thickBot="1" x14ac:dyDescent="0.25">
      <c r="A98" s="1328" t="s">
        <v>759</v>
      </c>
      <c r="B98" s="519">
        <v>4380</v>
      </c>
      <c r="C98" s="1723"/>
      <c r="D98" s="1723"/>
      <c r="E98" s="1736"/>
      <c r="F98" s="1723"/>
      <c r="G98" s="1723"/>
      <c r="H98" s="1624">
        <v>0</v>
      </c>
      <c r="I98" s="1632"/>
      <c r="J98" s="1632"/>
      <c r="K98" s="1731">
        <f t="shared" si="12"/>
        <v>0</v>
      </c>
      <c r="L98" s="1676">
        <v>0</v>
      </c>
    </row>
    <row r="99" spans="1:14" ht="14.25" thickTop="1" thickBot="1" x14ac:dyDescent="0.25">
      <c r="A99" s="1328" t="s">
        <v>364</v>
      </c>
      <c r="B99" s="519">
        <v>4390</v>
      </c>
      <c r="C99" s="1723"/>
      <c r="D99" s="1723"/>
      <c r="E99" s="1678">
        <v>0</v>
      </c>
      <c r="F99" s="1723"/>
      <c r="G99" s="1723"/>
      <c r="H99" s="1624">
        <v>0</v>
      </c>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v>0</v>
      </c>
    </row>
    <row r="102" spans="1:14" ht="12.75" customHeight="1" thickTop="1" thickBot="1" x14ac:dyDescent="0.25">
      <c r="A102" s="1429" t="s">
        <v>1473</v>
      </c>
      <c r="B102" s="1434">
        <v>4000</v>
      </c>
      <c r="C102" s="1723"/>
      <c r="D102" s="1723"/>
      <c r="E102" s="1731">
        <f>SUM(E84,E92,E100,E101)</f>
        <v>455</v>
      </c>
      <c r="F102" s="1723"/>
      <c r="G102" s="1723"/>
      <c r="H102" s="1731">
        <f>SUM(H84,H92,H100,H101)</f>
        <v>2170631</v>
      </c>
      <c r="I102" s="1632"/>
      <c r="J102" s="1632"/>
      <c r="K102" s="1731">
        <f>SUM(K84,K92,K100,K101)</f>
        <v>2171086</v>
      </c>
      <c r="L102" s="1731">
        <f>SUM(L84,L92,L100,L101)</f>
        <v>977749</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100000</v>
      </c>
      <c r="M113" s="502"/>
      <c r="N113" s="502"/>
    </row>
    <row r="114" spans="1:14" ht="12.75" customHeight="1" thickTop="1" thickBot="1" x14ac:dyDescent="0.25">
      <c r="A114" s="1429" t="s">
        <v>48</v>
      </c>
      <c r="B114" s="1437"/>
      <c r="C114" s="1724">
        <f>SUM(C33,C74,C75,C102,C112,C113)</f>
        <v>6860528</v>
      </c>
      <c r="D114" s="1724">
        <f t="shared" ref="D114:K114" si="13">SUM(D33,D74,D75,D102,D112,D113)</f>
        <v>2295480</v>
      </c>
      <c r="E114" s="1724">
        <f t="shared" si="13"/>
        <v>539167</v>
      </c>
      <c r="F114" s="1724">
        <f t="shared" si="13"/>
        <v>392132</v>
      </c>
      <c r="G114" s="1724">
        <f t="shared" si="13"/>
        <v>87306</v>
      </c>
      <c r="H114" s="1724">
        <f>SUM(H33,H74,H75,H102,H112,H113)</f>
        <v>2239121</v>
      </c>
      <c r="I114" s="1724">
        <f t="shared" si="13"/>
        <v>1205</v>
      </c>
      <c r="J114" s="1724">
        <f t="shared" si="13"/>
        <v>0</v>
      </c>
      <c r="K114" s="1724">
        <f t="shared" si="13"/>
        <v>12414939</v>
      </c>
      <c r="L114" s="1724">
        <f>SUM(L33,L74,L75,L102,L112,L113)</f>
        <v>11092015</v>
      </c>
    </row>
    <row r="115" spans="1:14" ht="13.5" thickTop="1" x14ac:dyDescent="0.2">
      <c r="A115" s="2358" t="s">
        <v>989</v>
      </c>
      <c r="B115" s="2359"/>
      <c r="C115" s="1725"/>
      <c r="D115" s="1725"/>
      <c r="E115" s="1725"/>
      <c r="F115" s="1725"/>
      <c r="G115" s="1725"/>
      <c r="H115" s="1725"/>
      <c r="I115" s="1725"/>
      <c r="J115" s="1725"/>
      <c r="K115" s="1739">
        <f>'Revenues 9-14'!C268-'Expenditures 15-22'!K114</f>
        <v>-1328495</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6" t="s">
        <v>293</v>
      </c>
      <c r="B117" s="2337"/>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1963</v>
      </c>
      <c r="B120" s="512" t="s">
        <v>711</v>
      </c>
      <c r="C120" s="1623">
        <v>0</v>
      </c>
      <c r="D120" s="1623">
        <v>0</v>
      </c>
      <c r="E120" s="1623">
        <v>0</v>
      </c>
      <c r="F120" s="1623">
        <v>0</v>
      </c>
      <c r="G120" s="1623">
        <v>0</v>
      </c>
      <c r="H120" s="1623">
        <v>0</v>
      </c>
      <c r="I120" s="1624">
        <v>0</v>
      </c>
      <c r="J120" s="1624">
        <v>0</v>
      </c>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v>0</v>
      </c>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v>0</v>
      </c>
    </row>
    <row r="124" spans="1:14" ht="14.25" thickTop="1" thickBot="1" x14ac:dyDescent="0.25">
      <c r="A124" s="1319" t="s">
        <v>195</v>
      </c>
      <c r="B124" s="503">
        <v>2540</v>
      </c>
      <c r="C124" s="1623">
        <v>12177</v>
      </c>
      <c r="D124" s="1623">
        <v>1981</v>
      </c>
      <c r="E124" s="1623">
        <v>49810</v>
      </c>
      <c r="F124" s="1623">
        <v>16445</v>
      </c>
      <c r="G124" s="1623">
        <v>6690</v>
      </c>
      <c r="H124" s="1623">
        <v>0</v>
      </c>
      <c r="I124" s="1624">
        <v>0</v>
      </c>
      <c r="J124" s="1624">
        <v>0</v>
      </c>
      <c r="K124" s="1724">
        <f>SUM(C124:J124)</f>
        <v>87103</v>
      </c>
      <c r="L124" s="1623">
        <v>59415</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v>0</v>
      </c>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v>0</v>
      </c>
    </row>
    <row r="127" spans="1:14" ht="12.75" customHeight="1" thickTop="1" thickBot="1" x14ac:dyDescent="0.25">
      <c r="A127" s="1429" t="s">
        <v>714</v>
      </c>
      <c r="B127" s="1430" t="s">
        <v>35</v>
      </c>
      <c r="C127" s="1724">
        <f>SUM(C122:C126)</f>
        <v>12177</v>
      </c>
      <c r="D127" s="1724">
        <f t="shared" ref="D127:L127" si="14">SUM(D122:D126)</f>
        <v>1981</v>
      </c>
      <c r="E127" s="1724">
        <f t="shared" si="14"/>
        <v>49810</v>
      </c>
      <c r="F127" s="1724">
        <f t="shared" si="14"/>
        <v>16445</v>
      </c>
      <c r="G127" s="1724">
        <f t="shared" si="14"/>
        <v>6690</v>
      </c>
      <c r="H127" s="1724">
        <f t="shared" si="14"/>
        <v>0</v>
      </c>
      <c r="I127" s="1724">
        <f t="shared" si="14"/>
        <v>0</v>
      </c>
      <c r="J127" s="1724">
        <f t="shared" si="14"/>
        <v>0</v>
      </c>
      <c r="K127" s="1724">
        <f t="shared" si="14"/>
        <v>87103</v>
      </c>
      <c r="L127" s="1724">
        <f t="shared" si="14"/>
        <v>59415</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v>0</v>
      </c>
    </row>
    <row r="129" spans="1:14" ht="12.75" customHeight="1" thickBot="1" x14ac:dyDescent="0.25">
      <c r="A129" s="1438" t="s">
        <v>806</v>
      </c>
      <c r="B129" s="1439" t="s">
        <v>565</v>
      </c>
      <c r="C129" s="1731">
        <f>SUM(C120,C127,C128)</f>
        <v>12177</v>
      </c>
      <c r="D129" s="1731">
        <f t="shared" ref="D129:L129" si="15">SUM(D120,D127,D128)</f>
        <v>1981</v>
      </c>
      <c r="E129" s="1731">
        <f t="shared" si="15"/>
        <v>49810</v>
      </c>
      <c r="F129" s="1731">
        <f t="shared" si="15"/>
        <v>16445</v>
      </c>
      <c r="G129" s="1731">
        <f t="shared" si="15"/>
        <v>6690</v>
      </c>
      <c r="H129" s="1731">
        <f t="shared" si="15"/>
        <v>0</v>
      </c>
      <c r="I129" s="1731">
        <f t="shared" si="15"/>
        <v>0</v>
      </c>
      <c r="J129" s="1731">
        <f t="shared" si="15"/>
        <v>0</v>
      </c>
      <c r="K129" s="1731">
        <f t="shared" si="15"/>
        <v>87103</v>
      </c>
      <c r="L129" s="1731">
        <f t="shared" si="15"/>
        <v>59415</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1816</v>
      </c>
      <c r="C133" s="1625"/>
      <c r="D133" s="1625"/>
      <c r="E133" s="1735">
        <v>0</v>
      </c>
      <c r="F133" s="1625"/>
      <c r="G133" s="1625"/>
      <c r="H133" s="1735">
        <v>0</v>
      </c>
      <c r="I133" s="1625"/>
      <c r="J133" s="1625"/>
      <c r="K133" s="1747">
        <f>SUM(E133,H133)</f>
        <v>0</v>
      </c>
      <c r="L133" s="1735">
        <v>0</v>
      </c>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v>0</v>
      </c>
    </row>
    <row r="135" spans="1:14" x14ac:dyDescent="0.2">
      <c r="A135" s="1319" t="s">
        <v>692</v>
      </c>
      <c r="B135" s="503">
        <v>4140</v>
      </c>
      <c r="C135" s="1723"/>
      <c r="D135" s="1723"/>
      <c r="E135" s="1624">
        <v>0</v>
      </c>
      <c r="F135" s="1723"/>
      <c r="G135" s="1723"/>
      <c r="H135" s="1623">
        <v>0</v>
      </c>
      <c r="I135" s="1632"/>
      <c r="J135" s="1723"/>
      <c r="K135" s="1728">
        <f>SUM(E135,H135)</f>
        <v>0</v>
      </c>
      <c r="L135" s="1623">
        <v>0</v>
      </c>
    </row>
    <row r="136" spans="1:14" x14ac:dyDescent="0.2">
      <c r="A136" s="1323" t="s">
        <v>693</v>
      </c>
      <c r="B136" s="512">
        <v>4190</v>
      </c>
      <c r="C136" s="1723"/>
      <c r="D136" s="1723"/>
      <c r="E136" s="1624">
        <v>0</v>
      </c>
      <c r="F136" s="1723"/>
      <c r="G136" s="1723"/>
      <c r="H136" s="1623">
        <v>0</v>
      </c>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v>0</v>
      </c>
    </row>
    <row r="143" spans="1:14" x14ac:dyDescent="0.2">
      <c r="A143" s="1319" t="s">
        <v>88</v>
      </c>
      <c r="B143" s="503">
        <v>5120</v>
      </c>
      <c r="C143" s="1723"/>
      <c r="D143" s="1723"/>
      <c r="E143" s="1723"/>
      <c r="F143" s="1723"/>
      <c r="G143" s="1723"/>
      <c r="H143" s="1623">
        <v>0</v>
      </c>
      <c r="I143" s="1625"/>
      <c r="J143" s="1723"/>
      <c r="K143" s="1728">
        <f>SUM(H143)</f>
        <v>0</v>
      </c>
      <c r="L143" s="1623">
        <v>0</v>
      </c>
    </row>
    <row r="144" spans="1:14" ht="12.75" customHeight="1" x14ac:dyDescent="0.2">
      <c r="A144" s="1319" t="s">
        <v>1162</v>
      </c>
      <c r="B144" s="512" t="s">
        <v>613</v>
      </c>
      <c r="C144" s="1723"/>
      <c r="D144" s="1723"/>
      <c r="E144" s="1723"/>
      <c r="F144" s="1723"/>
      <c r="G144" s="1723"/>
      <c r="H144" s="1623">
        <v>0</v>
      </c>
      <c r="I144" s="1625"/>
      <c r="J144" s="1723"/>
      <c r="K144" s="1728">
        <f>SUM(H144)</f>
        <v>0</v>
      </c>
      <c r="L144" s="1623">
        <v>0</v>
      </c>
    </row>
    <row r="145" spans="1:14" x14ac:dyDescent="0.2">
      <c r="A145" s="1319" t="s">
        <v>89</v>
      </c>
      <c r="B145" s="503" t="s">
        <v>585</v>
      </c>
      <c r="C145" s="1723"/>
      <c r="D145" s="1723"/>
      <c r="E145" s="1723"/>
      <c r="F145" s="1723"/>
      <c r="G145" s="1723"/>
      <c r="H145" s="1623">
        <v>0</v>
      </c>
      <c r="I145" s="1625"/>
      <c r="J145" s="1723"/>
      <c r="K145" s="1728">
        <f>SUM(H145)</f>
        <v>0</v>
      </c>
      <c r="L145" s="1623">
        <v>0</v>
      </c>
    </row>
    <row r="146" spans="1:14" ht="12.75" customHeight="1" x14ac:dyDescent="0.2">
      <c r="A146" s="1319" t="s">
        <v>615</v>
      </c>
      <c r="B146" s="503" t="s">
        <v>614</v>
      </c>
      <c r="C146" s="1723"/>
      <c r="D146" s="1723"/>
      <c r="E146" s="1723"/>
      <c r="F146" s="1723"/>
      <c r="G146" s="1723"/>
      <c r="H146" s="1623">
        <v>0</v>
      </c>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348" t="s">
        <v>616</v>
      </c>
      <c r="B151" s="2330"/>
      <c r="C151" s="1724">
        <f>SUM(C129,C130,C139,C149,C150)</f>
        <v>12177</v>
      </c>
      <c r="D151" s="1724">
        <f t="shared" ref="D151:K151" si="16">SUM(D129,D130,D139,D149,D150)</f>
        <v>1981</v>
      </c>
      <c r="E151" s="1724">
        <f t="shared" si="16"/>
        <v>49810</v>
      </c>
      <c r="F151" s="1724">
        <f t="shared" si="16"/>
        <v>16445</v>
      </c>
      <c r="G151" s="1724">
        <f t="shared" si="16"/>
        <v>6690</v>
      </c>
      <c r="H151" s="1724">
        <f t="shared" si="16"/>
        <v>0</v>
      </c>
      <c r="I151" s="1724">
        <f t="shared" si="16"/>
        <v>0</v>
      </c>
      <c r="J151" s="1724">
        <f t="shared" si="16"/>
        <v>0</v>
      </c>
      <c r="K151" s="1724">
        <f t="shared" si="16"/>
        <v>87103</v>
      </c>
      <c r="L151" s="1724">
        <f>SUM(L129,L130,L139,L149,L150)</f>
        <v>59415</v>
      </c>
    </row>
    <row r="152" spans="1:14" ht="12.75" customHeight="1" thickTop="1" x14ac:dyDescent="0.2">
      <c r="A152" s="2351" t="s">
        <v>1170</v>
      </c>
      <c r="B152" s="2352"/>
      <c r="C152" s="1725"/>
      <c r="D152" s="1725"/>
      <c r="E152" s="1725"/>
      <c r="F152" s="1725"/>
      <c r="G152" s="1725"/>
      <c r="H152" s="1725"/>
      <c r="I152" s="1725"/>
      <c r="J152" s="1723"/>
      <c r="K152" s="1739">
        <f>'Revenues 9-14'!D268-'Expenditures 15-22'!K151</f>
        <v>-87103</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6" t="s">
        <v>617</v>
      </c>
      <c r="B154" s="233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1817</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1816</v>
      </c>
      <c r="C157" s="1723"/>
      <c r="D157" s="1723"/>
      <c r="E157" s="1723"/>
      <c r="F157" s="1723"/>
      <c r="G157" s="1723"/>
      <c r="H157" s="1735">
        <v>0</v>
      </c>
      <c r="I157" s="1723"/>
      <c r="J157" s="1723"/>
      <c r="K157" s="1722">
        <f>H157</f>
        <v>0</v>
      </c>
      <c r="L157" s="1624">
        <v>0</v>
      </c>
      <c r="M157" s="505"/>
      <c r="N157" s="505"/>
    </row>
    <row r="158" spans="1:14" s="506" customFormat="1" ht="12" x14ac:dyDescent="0.2">
      <c r="A158" s="1511" t="s">
        <v>301</v>
      </c>
      <c r="B158" s="1512" t="s">
        <v>1818</v>
      </c>
      <c r="C158" s="1723"/>
      <c r="D158" s="1723"/>
      <c r="E158" s="1723"/>
      <c r="F158" s="1723"/>
      <c r="G158" s="1723"/>
      <c r="H158" s="1624">
        <v>0</v>
      </c>
      <c r="I158" s="1723"/>
      <c r="J158" s="1723"/>
      <c r="K158" s="1722">
        <f>H158</f>
        <v>0</v>
      </c>
      <c r="L158" s="1624">
        <v>0</v>
      </c>
      <c r="M158" s="505"/>
      <c r="N158" s="505"/>
    </row>
    <row r="159" spans="1:14" s="506" customFormat="1" ht="12" x14ac:dyDescent="0.2">
      <c r="A159" s="1511" t="s">
        <v>1819</v>
      </c>
      <c r="B159" s="1512" t="s">
        <v>554</v>
      </c>
      <c r="C159" s="1723"/>
      <c r="D159" s="1723"/>
      <c r="E159" s="1723"/>
      <c r="F159" s="1723"/>
      <c r="G159" s="1723"/>
      <c r="H159" s="1624">
        <v>0</v>
      </c>
      <c r="I159" s="1723"/>
      <c r="J159" s="1723"/>
      <c r="K159" s="1722">
        <f>H159</f>
        <v>0</v>
      </c>
      <c r="L159" s="1624">
        <v>0</v>
      </c>
      <c r="M159" s="505"/>
      <c r="N159" s="505"/>
    </row>
    <row r="160" spans="1:14" s="506" customFormat="1" ht="15.75" customHeight="1" thickBot="1" x14ac:dyDescent="0.25">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v>0</v>
      </c>
    </row>
    <row r="164" spans="1:14" x14ac:dyDescent="0.2">
      <c r="A164" s="1319" t="s">
        <v>88</v>
      </c>
      <c r="B164" s="503">
        <v>5120</v>
      </c>
      <c r="C164" s="1723"/>
      <c r="D164" s="1723"/>
      <c r="E164" s="1723"/>
      <c r="F164" s="1723"/>
      <c r="G164" s="1723"/>
      <c r="H164" s="1623">
        <v>0</v>
      </c>
      <c r="I164" s="1723"/>
      <c r="J164" s="1723"/>
      <c r="K164" s="1722">
        <f>SUM(C164:J164)</f>
        <v>0</v>
      </c>
      <c r="L164" s="1623">
        <v>0</v>
      </c>
    </row>
    <row r="165" spans="1:14" ht="12.75" customHeight="1" x14ac:dyDescent="0.2">
      <c r="A165" s="1319" t="s">
        <v>1162</v>
      </c>
      <c r="B165" s="503" t="s">
        <v>613</v>
      </c>
      <c r="C165" s="1723"/>
      <c r="D165" s="1723"/>
      <c r="E165" s="1723"/>
      <c r="F165" s="1723"/>
      <c r="G165" s="1723"/>
      <c r="H165" s="1623">
        <v>0</v>
      </c>
      <c r="I165" s="1723"/>
      <c r="J165" s="1723"/>
      <c r="K165" s="1722">
        <f>SUM(C165:J165)</f>
        <v>0</v>
      </c>
      <c r="L165" s="1623">
        <v>0</v>
      </c>
    </row>
    <row r="166" spans="1:14" x14ac:dyDescent="0.2">
      <c r="A166" s="1319" t="s">
        <v>89</v>
      </c>
      <c r="B166" s="512" t="s">
        <v>585</v>
      </c>
      <c r="C166" s="1723"/>
      <c r="D166" s="1723"/>
      <c r="E166" s="1723"/>
      <c r="F166" s="1723"/>
      <c r="G166" s="1723"/>
      <c r="H166" s="1623">
        <v>0</v>
      </c>
      <c r="I166" s="1723"/>
      <c r="J166" s="1723"/>
      <c r="K166" s="1722">
        <f>SUM(C166:J166)</f>
        <v>0</v>
      </c>
      <c r="L166" s="1623">
        <v>0</v>
      </c>
    </row>
    <row r="167" spans="1:14" ht="12.75" customHeight="1" x14ac:dyDescent="0.2">
      <c r="A167" s="1319" t="s">
        <v>615</v>
      </c>
      <c r="B167" s="503" t="s">
        <v>614</v>
      </c>
      <c r="C167" s="1723"/>
      <c r="D167" s="1723"/>
      <c r="E167" s="1723"/>
      <c r="F167" s="1723"/>
      <c r="G167" s="1723"/>
      <c r="H167" s="1623">
        <v>0</v>
      </c>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0</v>
      </c>
      <c r="I169" s="1723"/>
      <c r="J169" s="1723"/>
      <c r="K169" s="1722">
        <f>SUM(C169:H169)</f>
        <v>0</v>
      </c>
      <c r="L169" s="1745">
        <v>0</v>
      </c>
    </row>
    <row r="170" spans="1:14" ht="33.75" customHeight="1" x14ac:dyDescent="0.2">
      <c r="A170" s="543" t="s">
        <v>1654</v>
      </c>
      <c r="B170" s="545" t="s">
        <v>31</v>
      </c>
      <c r="C170" s="1723"/>
      <c r="D170" s="1723"/>
      <c r="E170" s="1723"/>
      <c r="F170" s="1723"/>
      <c r="G170" s="1723"/>
      <c r="H170" s="1696">
        <v>0</v>
      </c>
      <c r="I170" s="1723"/>
      <c r="J170" s="1723"/>
      <c r="K170" s="1722">
        <f>SUM(C170:J170)</f>
        <v>0</v>
      </c>
      <c r="L170" s="1696">
        <v>0</v>
      </c>
    </row>
    <row r="171" spans="1:14" ht="15.75" customHeight="1" x14ac:dyDescent="0.2">
      <c r="A171" s="507" t="s">
        <v>761</v>
      </c>
      <c r="B171" s="546" t="s">
        <v>84</v>
      </c>
      <c r="C171" s="1723"/>
      <c r="D171" s="1723"/>
      <c r="E171" s="1623">
        <v>0</v>
      </c>
      <c r="F171" s="1723"/>
      <c r="G171" s="1723"/>
      <c r="H171" s="1696">
        <v>0</v>
      </c>
      <c r="I171" s="1632"/>
      <c r="J171" s="1723"/>
      <c r="K171" s="1722">
        <f>SUM(C171:J171)</f>
        <v>0</v>
      </c>
      <c r="L171" s="1696">
        <v>0</v>
      </c>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358" t="s">
        <v>989</v>
      </c>
      <c r="B175" s="2359"/>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1963</v>
      </c>
      <c r="B180" s="503" t="s">
        <v>711</v>
      </c>
      <c r="C180" s="1623">
        <v>0</v>
      </c>
      <c r="D180" s="1623">
        <v>0</v>
      </c>
      <c r="E180" s="1623">
        <v>0</v>
      </c>
      <c r="F180" s="1623">
        <v>0</v>
      </c>
      <c r="G180" s="1623">
        <v>0</v>
      </c>
      <c r="H180" s="1623">
        <v>0</v>
      </c>
      <c r="I180" s="1624">
        <v>0</v>
      </c>
      <c r="J180" s="1624">
        <v>0</v>
      </c>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0</v>
      </c>
      <c r="D182" s="1623">
        <v>0</v>
      </c>
      <c r="E182" s="1623">
        <v>0</v>
      </c>
      <c r="F182" s="1623">
        <v>0</v>
      </c>
      <c r="G182" s="1623">
        <v>0</v>
      </c>
      <c r="H182" s="1623">
        <v>0</v>
      </c>
      <c r="I182" s="1624">
        <v>0</v>
      </c>
      <c r="J182" s="1624">
        <v>0</v>
      </c>
      <c r="K182" s="1722">
        <f>SUM(C182:J182)</f>
        <v>0</v>
      </c>
      <c r="L182" s="1623">
        <v>0</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v>0</v>
      </c>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v>0</v>
      </c>
    </row>
    <row r="189" spans="1:14" x14ac:dyDescent="0.2">
      <c r="A189" s="1319" t="s">
        <v>301</v>
      </c>
      <c r="B189" s="503">
        <v>4120</v>
      </c>
      <c r="C189" s="1723"/>
      <c r="D189" s="1723"/>
      <c r="E189" s="1623">
        <v>0</v>
      </c>
      <c r="F189" s="1723"/>
      <c r="G189" s="1723"/>
      <c r="H189" s="1623">
        <v>0</v>
      </c>
      <c r="I189" s="1632"/>
      <c r="J189" s="1723"/>
      <c r="K189" s="1722">
        <f t="shared" si="18"/>
        <v>0</v>
      </c>
      <c r="L189" s="1623">
        <v>0</v>
      </c>
    </row>
    <row r="190" spans="1:14" x14ac:dyDescent="0.2">
      <c r="A190" s="1319" t="s">
        <v>302</v>
      </c>
      <c r="B190" s="512">
        <v>4130</v>
      </c>
      <c r="C190" s="1723"/>
      <c r="D190" s="1723"/>
      <c r="E190" s="1623">
        <v>0</v>
      </c>
      <c r="F190" s="1723"/>
      <c r="G190" s="1723"/>
      <c r="H190" s="1623">
        <v>0</v>
      </c>
      <c r="I190" s="1632"/>
      <c r="J190" s="1723"/>
      <c r="K190" s="1722">
        <f t="shared" si="18"/>
        <v>0</v>
      </c>
      <c r="L190" s="1623">
        <v>0</v>
      </c>
    </row>
    <row r="191" spans="1:14" x14ac:dyDescent="0.2">
      <c r="A191" s="1319" t="s">
        <v>692</v>
      </c>
      <c r="B191" s="503">
        <v>4140</v>
      </c>
      <c r="C191" s="1723"/>
      <c r="D191" s="1723"/>
      <c r="E191" s="1623">
        <v>0</v>
      </c>
      <c r="F191" s="1723"/>
      <c r="G191" s="1723"/>
      <c r="H191" s="1623">
        <v>0</v>
      </c>
      <c r="I191" s="1632"/>
      <c r="J191" s="1723"/>
      <c r="K191" s="1722">
        <f t="shared" si="18"/>
        <v>0</v>
      </c>
      <c r="L191" s="1623">
        <v>0</v>
      </c>
    </row>
    <row r="192" spans="1:14" x14ac:dyDescent="0.2">
      <c r="A192" s="1319" t="s">
        <v>86</v>
      </c>
      <c r="B192" s="503">
        <v>4170</v>
      </c>
      <c r="C192" s="1723"/>
      <c r="D192" s="1723"/>
      <c r="E192" s="1623">
        <v>0</v>
      </c>
      <c r="F192" s="1723"/>
      <c r="G192" s="1723"/>
      <c r="H192" s="1623">
        <v>0</v>
      </c>
      <c r="I192" s="1632"/>
      <c r="J192" s="1723"/>
      <c r="K192" s="1722">
        <f t="shared" si="18"/>
        <v>0</v>
      </c>
      <c r="L192" s="1623">
        <v>0</v>
      </c>
    </row>
    <row r="193" spans="1:14" x14ac:dyDescent="0.2">
      <c r="A193" s="1323" t="s">
        <v>693</v>
      </c>
      <c r="B193" s="512">
        <v>4190</v>
      </c>
      <c r="C193" s="1723"/>
      <c r="D193" s="1723"/>
      <c r="E193" s="1623">
        <v>0</v>
      </c>
      <c r="F193" s="1723"/>
      <c r="G193" s="1723"/>
      <c r="H193" s="1623">
        <v>0</v>
      </c>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v>0</v>
      </c>
    </row>
    <row r="200" spans="1:14" x14ac:dyDescent="0.2">
      <c r="A200" s="1319" t="s">
        <v>88</v>
      </c>
      <c r="B200" s="503">
        <v>5120</v>
      </c>
      <c r="C200" s="1723"/>
      <c r="D200" s="1723"/>
      <c r="E200" s="1723"/>
      <c r="F200" s="1723"/>
      <c r="G200" s="1723"/>
      <c r="H200" s="1623">
        <v>0</v>
      </c>
      <c r="I200" s="1723"/>
      <c r="J200" s="1723"/>
      <c r="K200" s="1722">
        <f>SUM(H200)</f>
        <v>0</v>
      </c>
      <c r="L200" s="1623">
        <v>0</v>
      </c>
    </row>
    <row r="201" spans="1:14" ht="12.75" customHeight="1" x14ac:dyDescent="0.2">
      <c r="A201" s="1319" t="s">
        <v>1162</v>
      </c>
      <c r="B201" s="512" t="s">
        <v>613</v>
      </c>
      <c r="C201" s="1723"/>
      <c r="D201" s="1723"/>
      <c r="E201" s="1723"/>
      <c r="F201" s="1723"/>
      <c r="G201" s="1723"/>
      <c r="H201" s="1623">
        <v>0</v>
      </c>
      <c r="I201" s="1723"/>
      <c r="J201" s="1723"/>
      <c r="K201" s="1722">
        <f>SUM(H201)</f>
        <v>0</v>
      </c>
      <c r="L201" s="1623">
        <v>0</v>
      </c>
    </row>
    <row r="202" spans="1:14" x14ac:dyDescent="0.2">
      <c r="A202" s="1319" t="s">
        <v>89</v>
      </c>
      <c r="B202" s="503" t="s">
        <v>585</v>
      </c>
      <c r="C202" s="1723"/>
      <c r="D202" s="1723"/>
      <c r="E202" s="1723"/>
      <c r="F202" s="1723"/>
      <c r="G202" s="1723"/>
      <c r="H202" s="1623">
        <v>0</v>
      </c>
      <c r="I202" s="1723"/>
      <c r="J202" s="1723"/>
      <c r="K202" s="1722">
        <f>SUM(H202)</f>
        <v>0</v>
      </c>
      <c r="L202" s="1623">
        <v>0</v>
      </c>
    </row>
    <row r="203" spans="1:14" x14ac:dyDescent="0.2">
      <c r="A203" s="1331" t="s">
        <v>615</v>
      </c>
      <c r="B203" s="503" t="s">
        <v>614</v>
      </c>
      <c r="C203" s="1723"/>
      <c r="D203" s="1723"/>
      <c r="E203" s="1723"/>
      <c r="F203" s="1723"/>
      <c r="G203" s="1723"/>
      <c r="H203" s="1627">
        <v>0</v>
      </c>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v>0</v>
      </c>
    </row>
    <row r="206" spans="1:14" ht="30" customHeight="1" x14ac:dyDescent="0.2">
      <c r="A206" s="555" t="s">
        <v>1655</v>
      </c>
      <c r="B206" s="546" t="s">
        <v>31</v>
      </c>
      <c r="C206" s="1723"/>
      <c r="D206" s="1723"/>
      <c r="E206" s="1723"/>
      <c r="F206" s="1723"/>
      <c r="G206" s="1723"/>
      <c r="H206" s="1623">
        <v>0</v>
      </c>
      <c r="I206" s="1723"/>
      <c r="J206" s="1723"/>
      <c r="K206" s="1722">
        <f>SUM(H206)</f>
        <v>0</v>
      </c>
      <c r="L206" s="1623">
        <v>0</v>
      </c>
    </row>
    <row r="207" spans="1:14" ht="15.75" customHeight="1" x14ac:dyDescent="0.2">
      <c r="A207" s="507" t="s">
        <v>761</v>
      </c>
      <c r="B207" s="546" t="s">
        <v>84</v>
      </c>
      <c r="C207" s="1723"/>
      <c r="D207" s="1723"/>
      <c r="E207" s="1723"/>
      <c r="F207" s="1723"/>
      <c r="G207" s="1723"/>
      <c r="H207" s="1624">
        <v>0</v>
      </c>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358" t="s">
        <v>989</v>
      </c>
      <c r="B211" s="2359"/>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3" t="s">
        <v>959</v>
      </c>
      <c r="B213" s="2354"/>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0</v>
      </c>
      <c r="E215" s="1723"/>
      <c r="F215" s="1723"/>
      <c r="G215" s="1723"/>
      <c r="H215" s="1723"/>
      <c r="I215" s="1723"/>
      <c r="J215" s="1723"/>
      <c r="K215" s="1722">
        <f>D215</f>
        <v>0</v>
      </c>
      <c r="L215" s="1623">
        <v>0</v>
      </c>
    </row>
    <row r="216" spans="1:14" x14ac:dyDescent="0.2">
      <c r="A216" s="1319" t="s">
        <v>162</v>
      </c>
      <c r="B216" s="503" t="s">
        <v>961</v>
      </c>
      <c r="C216" s="1723"/>
      <c r="D216" s="1624">
        <v>0</v>
      </c>
      <c r="E216" s="1723"/>
      <c r="F216" s="1723"/>
      <c r="G216" s="1723"/>
      <c r="H216" s="1723"/>
      <c r="I216" s="1723"/>
      <c r="J216" s="1723"/>
      <c r="K216" s="1722">
        <f t="shared" ref="K216:K228" si="19">D216</f>
        <v>0</v>
      </c>
      <c r="L216" s="1623">
        <v>0</v>
      </c>
    </row>
    <row r="217" spans="1:14" x14ac:dyDescent="0.2">
      <c r="A217" s="1319" t="s">
        <v>163</v>
      </c>
      <c r="B217" s="503">
        <v>1200</v>
      </c>
      <c r="C217" s="1723"/>
      <c r="D217" s="1623">
        <v>0</v>
      </c>
      <c r="E217" s="1723"/>
      <c r="F217" s="1723"/>
      <c r="G217" s="1723"/>
      <c r="H217" s="1723"/>
      <c r="I217" s="1723"/>
      <c r="J217" s="1723"/>
      <c r="K217" s="1722">
        <f t="shared" si="19"/>
        <v>0</v>
      </c>
      <c r="L217" s="1623">
        <v>0</v>
      </c>
    </row>
    <row r="218" spans="1:14" x14ac:dyDescent="0.2">
      <c r="A218" s="1319" t="s">
        <v>276</v>
      </c>
      <c r="B218" s="503" t="s">
        <v>962</v>
      </c>
      <c r="C218" s="1723"/>
      <c r="D218" s="1624">
        <v>0</v>
      </c>
      <c r="E218" s="1723"/>
      <c r="F218" s="1723"/>
      <c r="G218" s="1723"/>
      <c r="H218" s="1723"/>
      <c r="I218" s="1723"/>
      <c r="J218" s="1723"/>
      <c r="K218" s="1722">
        <f t="shared" si="19"/>
        <v>0</v>
      </c>
      <c r="L218" s="1623">
        <v>0</v>
      </c>
    </row>
    <row r="219" spans="1:14" x14ac:dyDescent="0.2">
      <c r="A219" s="1319" t="s">
        <v>277</v>
      </c>
      <c r="B219" s="503">
        <v>1250</v>
      </c>
      <c r="C219" s="1723"/>
      <c r="D219" s="1623">
        <v>0</v>
      </c>
      <c r="E219" s="1723"/>
      <c r="F219" s="1723"/>
      <c r="G219" s="1723"/>
      <c r="H219" s="1723"/>
      <c r="I219" s="1723"/>
      <c r="J219" s="1723"/>
      <c r="K219" s="1722">
        <f t="shared" si="19"/>
        <v>0</v>
      </c>
      <c r="L219" s="1623">
        <v>0</v>
      </c>
    </row>
    <row r="220" spans="1:14" x14ac:dyDescent="0.2">
      <c r="A220" s="1319" t="s">
        <v>278</v>
      </c>
      <c r="B220" s="503" t="s">
        <v>160</v>
      </c>
      <c r="C220" s="1723"/>
      <c r="D220" s="1624">
        <v>0</v>
      </c>
      <c r="E220" s="1723"/>
      <c r="F220" s="1723"/>
      <c r="G220" s="1723"/>
      <c r="H220" s="1723"/>
      <c r="I220" s="1723"/>
      <c r="J220" s="1723"/>
      <c r="K220" s="1722">
        <f t="shared" si="19"/>
        <v>0</v>
      </c>
      <c r="L220" s="1623">
        <v>0</v>
      </c>
    </row>
    <row r="221" spans="1:14" x14ac:dyDescent="0.2">
      <c r="A221" s="1319" t="s">
        <v>956</v>
      </c>
      <c r="B221" s="503">
        <v>1300</v>
      </c>
      <c r="C221" s="1723"/>
      <c r="D221" s="1623">
        <v>0</v>
      </c>
      <c r="E221" s="1723"/>
      <c r="F221" s="1723"/>
      <c r="G221" s="1723"/>
      <c r="H221" s="1723"/>
      <c r="I221" s="1723"/>
      <c r="J221" s="1723"/>
      <c r="K221" s="1722">
        <f t="shared" si="19"/>
        <v>0</v>
      </c>
      <c r="L221" s="1623">
        <v>0</v>
      </c>
    </row>
    <row r="222" spans="1:14" x14ac:dyDescent="0.2">
      <c r="A222" s="1319" t="s">
        <v>718</v>
      </c>
      <c r="B222" s="503">
        <v>1400</v>
      </c>
      <c r="C222" s="1723"/>
      <c r="D222" s="1623">
        <v>0</v>
      </c>
      <c r="E222" s="1723"/>
      <c r="F222" s="1723"/>
      <c r="G222" s="1723"/>
      <c r="H222" s="1723"/>
      <c r="I222" s="1723"/>
      <c r="J222" s="1723"/>
      <c r="K222" s="1722">
        <f t="shared" si="19"/>
        <v>0</v>
      </c>
      <c r="L222" s="1623">
        <v>0</v>
      </c>
    </row>
    <row r="223" spans="1:14" x14ac:dyDescent="0.2">
      <c r="A223" s="1319" t="s">
        <v>957</v>
      </c>
      <c r="B223" s="503">
        <v>1500</v>
      </c>
      <c r="C223" s="1723"/>
      <c r="D223" s="1623">
        <v>0</v>
      </c>
      <c r="E223" s="1723"/>
      <c r="F223" s="1723"/>
      <c r="G223" s="1723"/>
      <c r="H223" s="1723"/>
      <c r="I223" s="1723"/>
      <c r="J223" s="1723"/>
      <c r="K223" s="1722">
        <f t="shared" si="19"/>
        <v>0</v>
      </c>
      <c r="L223" s="1623">
        <v>0</v>
      </c>
    </row>
    <row r="224" spans="1:14" x14ac:dyDescent="0.2">
      <c r="A224" s="1319" t="s">
        <v>958</v>
      </c>
      <c r="B224" s="503">
        <v>1600</v>
      </c>
      <c r="C224" s="1723"/>
      <c r="D224" s="1623">
        <v>0</v>
      </c>
      <c r="E224" s="1723"/>
      <c r="F224" s="1723"/>
      <c r="G224" s="1723"/>
      <c r="H224" s="1723"/>
      <c r="I224" s="1723"/>
      <c r="J224" s="1723"/>
      <c r="K224" s="1722">
        <f t="shared" si="19"/>
        <v>0</v>
      </c>
      <c r="L224" s="1623">
        <v>0</v>
      </c>
    </row>
    <row r="225" spans="1:12" x14ac:dyDescent="0.2">
      <c r="A225" s="1319" t="s">
        <v>980</v>
      </c>
      <c r="B225" s="503">
        <v>1650</v>
      </c>
      <c r="C225" s="1723"/>
      <c r="D225" s="1623">
        <v>0</v>
      </c>
      <c r="E225" s="1723"/>
      <c r="F225" s="1723"/>
      <c r="G225" s="1723"/>
      <c r="H225" s="1723"/>
      <c r="I225" s="1723"/>
      <c r="J225" s="1723"/>
      <c r="K225" s="1722">
        <f t="shared" si="19"/>
        <v>0</v>
      </c>
      <c r="L225" s="1623">
        <v>0</v>
      </c>
    </row>
    <row r="226" spans="1:12" x14ac:dyDescent="0.2">
      <c r="A226" s="1319" t="s">
        <v>719</v>
      </c>
      <c r="B226" s="503" t="s">
        <v>161</v>
      </c>
      <c r="C226" s="1723"/>
      <c r="D226" s="1624">
        <v>0</v>
      </c>
      <c r="E226" s="1723"/>
      <c r="F226" s="1723"/>
      <c r="G226" s="1723"/>
      <c r="H226" s="1723"/>
      <c r="I226" s="1723"/>
      <c r="J226" s="1723"/>
      <c r="K226" s="1722">
        <f t="shared" si="19"/>
        <v>0</v>
      </c>
      <c r="L226" s="1623">
        <v>0</v>
      </c>
    </row>
    <row r="227" spans="1:12" x14ac:dyDescent="0.2">
      <c r="A227" s="1319" t="s">
        <v>1080</v>
      </c>
      <c r="B227" s="503">
        <v>1800</v>
      </c>
      <c r="C227" s="1723"/>
      <c r="D227" s="1623">
        <v>0</v>
      </c>
      <c r="E227" s="1723"/>
      <c r="F227" s="1723"/>
      <c r="G227" s="1723"/>
      <c r="H227" s="1723"/>
      <c r="I227" s="1723"/>
      <c r="J227" s="1723"/>
      <c r="K227" s="1722">
        <f t="shared" si="19"/>
        <v>0</v>
      </c>
      <c r="L227" s="1623">
        <v>0</v>
      </c>
    </row>
    <row r="228" spans="1:12" x14ac:dyDescent="0.2">
      <c r="A228" s="1319" t="s">
        <v>1081</v>
      </c>
      <c r="B228" s="503">
        <v>1900</v>
      </c>
      <c r="C228" s="1723"/>
      <c r="D228" s="1623">
        <v>0</v>
      </c>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0</v>
      </c>
      <c r="E232" s="1723"/>
      <c r="F232" s="1723"/>
      <c r="G232" s="1723"/>
      <c r="H232" s="1723"/>
      <c r="I232" s="1723"/>
      <c r="J232" s="1723"/>
      <c r="K232" s="1722">
        <f t="shared" ref="K232:K237" si="20">D232</f>
        <v>0</v>
      </c>
      <c r="L232" s="1623">
        <v>0</v>
      </c>
    </row>
    <row r="233" spans="1:12" x14ac:dyDescent="0.2">
      <c r="A233" s="1319" t="s">
        <v>1083</v>
      </c>
      <c r="B233" s="503">
        <v>2120</v>
      </c>
      <c r="C233" s="1723"/>
      <c r="D233" s="1623">
        <v>0</v>
      </c>
      <c r="E233" s="1723"/>
      <c r="F233" s="1723"/>
      <c r="G233" s="1723"/>
      <c r="H233" s="1723"/>
      <c r="I233" s="1723"/>
      <c r="J233" s="1723"/>
      <c r="K233" s="1722">
        <f t="shared" si="20"/>
        <v>0</v>
      </c>
      <c r="L233" s="1623">
        <v>0</v>
      </c>
    </row>
    <row r="234" spans="1:12" x14ac:dyDescent="0.2">
      <c r="A234" s="1319" t="s">
        <v>196</v>
      </c>
      <c r="B234" s="503">
        <v>2130</v>
      </c>
      <c r="C234" s="1723"/>
      <c r="D234" s="1623">
        <v>0</v>
      </c>
      <c r="E234" s="1723"/>
      <c r="F234" s="1723"/>
      <c r="G234" s="1723"/>
      <c r="H234" s="1723"/>
      <c r="I234" s="1723"/>
      <c r="J234" s="1723"/>
      <c r="K234" s="1722">
        <f t="shared" si="20"/>
        <v>0</v>
      </c>
      <c r="L234" s="1623">
        <v>0</v>
      </c>
    </row>
    <row r="235" spans="1:12" x14ac:dyDescent="0.2">
      <c r="A235" s="1319" t="s">
        <v>197</v>
      </c>
      <c r="B235" s="503">
        <v>2140</v>
      </c>
      <c r="C235" s="1723"/>
      <c r="D235" s="1623">
        <v>0</v>
      </c>
      <c r="E235" s="1723"/>
      <c r="F235" s="1723"/>
      <c r="G235" s="1723"/>
      <c r="H235" s="1723"/>
      <c r="I235" s="1723"/>
      <c r="J235" s="1723"/>
      <c r="K235" s="1722">
        <f t="shared" si="20"/>
        <v>0</v>
      </c>
      <c r="L235" s="1623">
        <v>0</v>
      </c>
    </row>
    <row r="236" spans="1:12" x14ac:dyDescent="0.2">
      <c r="A236" s="1319" t="s">
        <v>198</v>
      </c>
      <c r="B236" s="503">
        <v>2150</v>
      </c>
      <c r="C236" s="1723"/>
      <c r="D236" s="1623">
        <v>0</v>
      </c>
      <c r="E236" s="1723"/>
      <c r="F236" s="1723"/>
      <c r="G236" s="1723"/>
      <c r="H236" s="1723"/>
      <c r="I236" s="1723"/>
      <c r="J236" s="1723"/>
      <c r="K236" s="1722">
        <f t="shared" si="20"/>
        <v>0</v>
      </c>
      <c r="L236" s="1623">
        <v>0</v>
      </c>
    </row>
    <row r="237" spans="1:12" x14ac:dyDescent="0.2">
      <c r="A237" s="1319" t="s">
        <v>164</v>
      </c>
      <c r="B237" s="503">
        <v>2190</v>
      </c>
      <c r="C237" s="1723"/>
      <c r="D237" s="1623">
        <v>0</v>
      </c>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0</v>
      </c>
      <c r="E240" s="1723"/>
      <c r="F240" s="1723"/>
      <c r="G240" s="1723"/>
      <c r="H240" s="1723"/>
      <c r="I240" s="1723"/>
      <c r="J240" s="1723"/>
      <c r="K240" s="1728">
        <f>D240</f>
        <v>0</v>
      </c>
      <c r="L240" s="1636">
        <v>0</v>
      </c>
    </row>
    <row r="241" spans="1:12" x14ac:dyDescent="0.2">
      <c r="A241" s="1319" t="s">
        <v>810</v>
      </c>
      <c r="B241" s="503">
        <v>2220</v>
      </c>
      <c r="C241" s="1723"/>
      <c r="D241" s="1623">
        <v>0</v>
      </c>
      <c r="E241" s="1723"/>
      <c r="F241" s="1723"/>
      <c r="G241" s="1723"/>
      <c r="H241" s="1723"/>
      <c r="I241" s="1723"/>
      <c r="J241" s="1723"/>
      <c r="K241" s="1728">
        <f>D241</f>
        <v>0</v>
      </c>
      <c r="L241" s="1623">
        <v>0</v>
      </c>
    </row>
    <row r="242" spans="1:12" x14ac:dyDescent="0.2">
      <c r="A242" s="1319" t="s">
        <v>811</v>
      </c>
      <c r="B242" s="503">
        <v>2230</v>
      </c>
      <c r="C242" s="1723"/>
      <c r="D242" s="1623">
        <v>0</v>
      </c>
      <c r="E242" s="1723"/>
      <c r="F242" s="1723"/>
      <c r="G242" s="1723"/>
      <c r="H242" s="1723"/>
      <c r="I242" s="1723"/>
      <c r="J242" s="1723"/>
      <c r="K242" s="1728">
        <f>D242</f>
        <v>0</v>
      </c>
      <c r="L242" s="1623">
        <v>0</v>
      </c>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0</v>
      </c>
      <c r="E245" s="1723"/>
      <c r="F245" s="1723"/>
      <c r="G245" s="1723"/>
      <c r="H245" s="1723"/>
      <c r="I245" s="1723"/>
      <c r="J245" s="1723"/>
      <c r="K245" s="1728">
        <f>D245</f>
        <v>0</v>
      </c>
      <c r="L245" s="1636">
        <v>0</v>
      </c>
    </row>
    <row r="246" spans="1:12" x14ac:dyDescent="0.2">
      <c r="A246" s="1319" t="s">
        <v>813</v>
      </c>
      <c r="B246" s="503">
        <v>2320</v>
      </c>
      <c r="C246" s="1723"/>
      <c r="D246" s="1623">
        <v>0</v>
      </c>
      <c r="E246" s="1723"/>
      <c r="F246" s="1723"/>
      <c r="G246" s="1723"/>
      <c r="H246" s="1723"/>
      <c r="I246" s="1723"/>
      <c r="J246" s="1723"/>
      <c r="K246" s="1728">
        <f t="shared" ref="K246:K256" si="21">D246</f>
        <v>0</v>
      </c>
      <c r="L246" s="1623">
        <v>0</v>
      </c>
    </row>
    <row r="247" spans="1:12" x14ac:dyDescent="0.2">
      <c r="A247" s="1319" t="s">
        <v>814</v>
      </c>
      <c r="B247" s="503">
        <v>2330</v>
      </c>
      <c r="C247" s="1723"/>
      <c r="D247" s="1623">
        <v>0</v>
      </c>
      <c r="E247" s="1723"/>
      <c r="F247" s="1723"/>
      <c r="G247" s="1723"/>
      <c r="H247" s="1723"/>
      <c r="I247" s="1723"/>
      <c r="J247" s="1723"/>
      <c r="K247" s="1728">
        <f t="shared" si="21"/>
        <v>0</v>
      </c>
      <c r="L247" s="1623">
        <v>0</v>
      </c>
    </row>
    <row r="248" spans="1:12" x14ac:dyDescent="0.2">
      <c r="A248" s="1320" t="s">
        <v>296</v>
      </c>
      <c r="B248" s="494" t="s">
        <v>279</v>
      </c>
      <c r="C248" s="1723"/>
      <c r="D248" s="1629">
        <v>0</v>
      </c>
      <c r="E248" s="1723"/>
      <c r="F248" s="1723"/>
      <c r="G248" s="1723"/>
      <c r="H248" s="1723"/>
      <c r="I248" s="1723"/>
      <c r="J248" s="1723"/>
      <c r="K248" s="1728">
        <f t="shared" si="21"/>
        <v>0</v>
      </c>
      <c r="L248" s="1623">
        <v>0</v>
      </c>
    </row>
    <row r="249" spans="1:12" x14ac:dyDescent="0.2">
      <c r="A249" s="1321" t="s">
        <v>1782</v>
      </c>
      <c r="B249" s="557" t="s">
        <v>280</v>
      </c>
      <c r="C249" s="1723"/>
      <c r="D249" s="1629">
        <v>0</v>
      </c>
      <c r="E249" s="1723"/>
      <c r="F249" s="1723"/>
      <c r="G249" s="1723"/>
      <c r="H249" s="1723"/>
      <c r="I249" s="1723"/>
      <c r="J249" s="1723"/>
      <c r="K249" s="1728">
        <f t="shared" si="21"/>
        <v>0</v>
      </c>
      <c r="L249" s="1623">
        <v>0</v>
      </c>
    </row>
    <row r="250" spans="1:12" x14ac:dyDescent="0.2">
      <c r="A250" s="1320" t="s">
        <v>1783</v>
      </c>
      <c r="B250" s="494" t="s">
        <v>281</v>
      </c>
      <c r="C250" s="1723"/>
      <c r="D250" s="1629">
        <v>0</v>
      </c>
      <c r="E250" s="1723"/>
      <c r="F250" s="1723"/>
      <c r="G250" s="1723"/>
      <c r="H250" s="1723"/>
      <c r="I250" s="1723"/>
      <c r="J250" s="1723"/>
      <c r="K250" s="1728">
        <f t="shared" si="21"/>
        <v>0</v>
      </c>
      <c r="L250" s="1623">
        <v>0</v>
      </c>
    </row>
    <row r="251" spans="1:12" x14ac:dyDescent="0.2">
      <c r="A251" s="1320" t="s">
        <v>236</v>
      </c>
      <c r="B251" s="494" t="s">
        <v>282</v>
      </c>
      <c r="C251" s="1723"/>
      <c r="D251" s="1629">
        <v>0</v>
      </c>
      <c r="E251" s="1723"/>
      <c r="F251" s="1723"/>
      <c r="G251" s="1723"/>
      <c r="H251" s="1723"/>
      <c r="I251" s="1723"/>
      <c r="J251" s="1723"/>
      <c r="K251" s="1728">
        <f t="shared" si="21"/>
        <v>0</v>
      </c>
      <c r="L251" s="1623">
        <v>0</v>
      </c>
    </row>
    <row r="252" spans="1:12" x14ac:dyDescent="0.2">
      <c r="A252" s="1320" t="s">
        <v>697</v>
      </c>
      <c r="B252" s="494" t="s">
        <v>283</v>
      </c>
      <c r="C252" s="1723"/>
      <c r="D252" s="1629">
        <v>0</v>
      </c>
      <c r="E252" s="1723"/>
      <c r="F252" s="1723"/>
      <c r="G252" s="1723"/>
      <c r="H252" s="1723"/>
      <c r="I252" s="1723"/>
      <c r="J252" s="1723"/>
      <c r="K252" s="1728">
        <f t="shared" si="21"/>
        <v>0</v>
      </c>
      <c r="L252" s="1623">
        <v>0</v>
      </c>
    </row>
    <row r="253" spans="1:12" x14ac:dyDescent="0.2">
      <c r="A253" s="1320" t="s">
        <v>237</v>
      </c>
      <c r="B253" s="494" t="s">
        <v>284</v>
      </c>
      <c r="C253" s="1723"/>
      <c r="D253" s="1629">
        <v>0</v>
      </c>
      <c r="E253" s="1723"/>
      <c r="F253" s="1723"/>
      <c r="G253" s="1723"/>
      <c r="H253" s="1723"/>
      <c r="I253" s="1723"/>
      <c r="J253" s="1723"/>
      <c r="K253" s="1728">
        <f t="shared" si="21"/>
        <v>0</v>
      </c>
      <c r="L253" s="1623">
        <v>0</v>
      </c>
    </row>
    <row r="254" spans="1:12" ht="22.5" x14ac:dyDescent="0.2">
      <c r="A254" s="1320" t="s">
        <v>1022</v>
      </c>
      <c r="B254" s="557" t="s">
        <v>285</v>
      </c>
      <c r="C254" s="1723"/>
      <c r="D254" s="1629">
        <v>0</v>
      </c>
      <c r="E254" s="1723"/>
      <c r="F254" s="1723"/>
      <c r="G254" s="1723"/>
      <c r="H254" s="1723"/>
      <c r="I254" s="1723"/>
      <c r="J254" s="1723"/>
      <c r="K254" s="1728">
        <f t="shared" si="21"/>
        <v>0</v>
      </c>
      <c r="L254" s="1623">
        <v>0</v>
      </c>
    </row>
    <row r="255" spans="1:12" x14ac:dyDescent="0.2">
      <c r="A255" s="1320" t="s">
        <v>1023</v>
      </c>
      <c r="B255" s="494" t="s">
        <v>286</v>
      </c>
      <c r="C255" s="1723"/>
      <c r="D255" s="1629">
        <v>0</v>
      </c>
      <c r="E255" s="1723"/>
      <c r="F255" s="1723"/>
      <c r="G255" s="1723"/>
      <c r="H255" s="1723"/>
      <c r="I255" s="1723"/>
      <c r="J255" s="1723"/>
      <c r="K255" s="1728">
        <f t="shared" si="21"/>
        <v>0</v>
      </c>
      <c r="L255" s="1623">
        <v>0</v>
      </c>
    </row>
    <row r="256" spans="1:12" x14ac:dyDescent="0.2">
      <c r="A256" s="1320" t="s">
        <v>965</v>
      </c>
      <c r="B256" s="503" t="s">
        <v>287</v>
      </c>
      <c r="C256" s="1723"/>
      <c r="D256" s="1629">
        <v>0</v>
      </c>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0</v>
      </c>
      <c r="E259" s="1723"/>
      <c r="F259" s="1723"/>
      <c r="G259" s="1723"/>
      <c r="H259" s="1723"/>
      <c r="I259" s="1723"/>
      <c r="J259" s="1723"/>
      <c r="K259" s="1728">
        <f>D259</f>
        <v>0</v>
      </c>
      <c r="L259" s="1636">
        <v>0</v>
      </c>
    </row>
    <row r="260" spans="1:14" s="493" customFormat="1" x14ac:dyDescent="0.2">
      <c r="A260" s="1337" t="s">
        <v>1781</v>
      </c>
      <c r="B260" s="512">
        <v>2490</v>
      </c>
      <c r="C260" s="1723"/>
      <c r="D260" s="1623">
        <v>0</v>
      </c>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0</v>
      </c>
      <c r="E263" s="1723"/>
      <c r="F263" s="1723"/>
      <c r="G263" s="1723"/>
      <c r="H263" s="1723"/>
      <c r="I263" s="1723"/>
      <c r="J263" s="1723"/>
      <c r="K263" s="1728">
        <f>D263</f>
        <v>0</v>
      </c>
      <c r="L263" s="1636">
        <v>0</v>
      </c>
    </row>
    <row r="264" spans="1:14" x14ac:dyDescent="0.2">
      <c r="A264" s="1319" t="s">
        <v>460</v>
      </c>
      <c r="B264" s="559">
        <v>2520</v>
      </c>
      <c r="C264" s="1723"/>
      <c r="D264" s="1623">
        <v>0</v>
      </c>
      <c r="E264" s="1723"/>
      <c r="F264" s="1723"/>
      <c r="G264" s="1723"/>
      <c r="H264" s="1723"/>
      <c r="I264" s="1723"/>
      <c r="J264" s="1723"/>
      <c r="K264" s="1728">
        <f t="shared" ref="K264:K269" si="22">D264</f>
        <v>0</v>
      </c>
      <c r="L264" s="1623">
        <v>0</v>
      </c>
    </row>
    <row r="265" spans="1:14" x14ac:dyDescent="0.2">
      <c r="A265" s="1319" t="s">
        <v>4</v>
      </c>
      <c r="B265" s="503">
        <v>2530</v>
      </c>
      <c r="C265" s="1723"/>
      <c r="D265" s="1623">
        <v>0</v>
      </c>
      <c r="E265" s="1723"/>
      <c r="F265" s="1723"/>
      <c r="G265" s="1723"/>
      <c r="H265" s="1723"/>
      <c r="I265" s="1723"/>
      <c r="J265" s="1723"/>
      <c r="K265" s="1728">
        <f t="shared" si="22"/>
        <v>0</v>
      </c>
      <c r="L265" s="1623">
        <v>0</v>
      </c>
    </row>
    <row r="266" spans="1:14" x14ac:dyDescent="0.2">
      <c r="A266" s="1319" t="s">
        <v>195</v>
      </c>
      <c r="B266" s="503">
        <v>2540</v>
      </c>
      <c r="C266" s="1723"/>
      <c r="D266" s="1623">
        <v>0</v>
      </c>
      <c r="E266" s="1723"/>
      <c r="F266" s="1723"/>
      <c r="G266" s="1723"/>
      <c r="H266" s="1723"/>
      <c r="I266" s="1723"/>
      <c r="J266" s="1723"/>
      <c r="K266" s="1728">
        <f t="shared" si="22"/>
        <v>0</v>
      </c>
      <c r="L266" s="1623">
        <v>0</v>
      </c>
    </row>
    <row r="267" spans="1:14" x14ac:dyDescent="0.2">
      <c r="A267" s="1319" t="s">
        <v>947</v>
      </c>
      <c r="B267" s="503">
        <v>2550</v>
      </c>
      <c r="C267" s="1723"/>
      <c r="D267" s="1623">
        <v>0</v>
      </c>
      <c r="E267" s="1723"/>
      <c r="F267" s="1723"/>
      <c r="G267" s="1723"/>
      <c r="H267" s="1723"/>
      <c r="I267" s="1723"/>
      <c r="J267" s="1723"/>
      <c r="K267" s="1728">
        <f t="shared" si="22"/>
        <v>0</v>
      </c>
      <c r="L267" s="1623">
        <v>0</v>
      </c>
    </row>
    <row r="268" spans="1:14" x14ac:dyDescent="0.2">
      <c r="A268" s="1319" t="s">
        <v>100</v>
      </c>
      <c r="B268" s="503">
        <v>2560</v>
      </c>
      <c r="C268" s="1723"/>
      <c r="D268" s="1623">
        <v>0</v>
      </c>
      <c r="E268" s="1723"/>
      <c r="F268" s="1723"/>
      <c r="G268" s="1723"/>
      <c r="H268" s="1723"/>
      <c r="I268" s="1723"/>
      <c r="J268" s="1723"/>
      <c r="K268" s="1728">
        <f t="shared" si="22"/>
        <v>0</v>
      </c>
      <c r="L268" s="1623">
        <v>0</v>
      </c>
    </row>
    <row r="269" spans="1:14" x14ac:dyDescent="0.2">
      <c r="A269" s="1319" t="s">
        <v>101</v>
      </c>
      <c r="B269" s="503">
        <v>2570</v>
      </c>
      <c r="C269" s="1723"/>
      <c r="D269" s="1623">
        <v>0</v>
      </c>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v>0</v>
      </c>
    </row>
    <row r="273" spans="1:12" x14ac:dyDescent="0.2">
      <c r="A273" s="1319" t="s">
        <v>603</v>
      </c>
      <c r="B273" s="512">
        <v>2620</v>
      </c>
      <c r="C273" s="1723"/>
      <c r="D273" s="1623">
        <v>0</v>
      </c>
      <c r="E273" s="1723"/>
      <c r="F273" s="1723"/>
      <c r="G273" s="1723"/>
      <c r="H273" s="1723"/>
      <c r="I273" s="1723"/>
      <c r="J273" s="1723"/>
      <c r="K273" s="1728">
        <f>D273</f>
        <v>0</v>
      </c>
      <c r="L273" s="1623">
        <v>0</v>
      </c>
    </row>
    <row r="274" spans="1:12" ht="12" customHeight="1" x14ac:dyDescent="0.2">
      <c r="A274" s="1319" t="s">
        <v>1054</v>
      </c>
      <c r="B274" s="503">
        <v>2630</v>
      </c>
      <c r="C274" s="1723"/>
      <c r="D274" s="1623">
        <v>0</v>
      </c>
      <c r="E274" s="1723"/>
      <c r="F274" s="1723"/>
      <c r="G274" s="1723"/>
      <c r="H274" s="1723"/>
      <c r="I274" s="1723"/>
      <c r="J274" s="1723"/>
      <c r="K274" s="1728">
        <f>D274</f>
        <v>0</v>
      </c>
      <c r="L274" s="1623">
        <v>0</v>
      </c>
    </row>
    <row r="275" spans="1:12" x14ac:dyDescent="0.2">
      <c r="A275" s="1319" t="s">
        <v>400</v>
      </c>
      <c r="B275" s="503">
        <v>2640</v>
      </c>
      <c r="C275" s="1723"/>
      <c r="D275" s="1623">
        <v>0</v>
      </c>
      <c r="E275" s="1723"/>
      <c r="F275" s="1723"/>
      <c r="G275" s="1723"/>
      <c r="H275" s="1723"/>
      <c r="I275" s="1723"/>
      <c r="J275" s="1723"/>
      <c r="K275" s="1728">
        <f>D275</f>
        <v>0</v>
      </c>
      <c r="L275" s="1623">
        <v>0</v>
      </c>
    </row>
    <row r="276" spans="1:12" x14ac:dyDescent="0.2">
      <c r="A276" s="1319" t="s">
        <v>401</v>
      </c>
      <c r="B276" s="503">
        <v>2660</v>
      </c>
      <c r="C276" s="1723"/>
      <c r="D276" s="1623">
        <v>0</v>
      </c>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1816</v>
      </c>
      <c r="C282" s="1723"/>
      <c r="D282" s="1624">
        <v>0</v>
      </c>
      <c r="E282" s="1723"/>
      <c r="F282" s="1723"/>
      <c r="G282" s="1723"/>
      <c r="H282" s="1723"/>
      <c r="I282" s="1723"/>
      <c r="J282" s="1723"/>
      <c r="K282" s="1722">
        <f>D282</f>
        <v>0</v>
      </c>
      <c r="L282" s="1624">
        <v>0</v>
      </c>
    </row>
    <row r="283" spans="1:12" x14ac:dyDescent="0.2">
      <c r="A283" s="1319" t="s">
        <v>301</v>
      </c>
      <c r="B283" s="503">
        <v>4120</v>
      </c>
      <c r="C283" s="1723"/>
      <c r="D283" s="1623">
        <v>0</v>
      </c>
      <c r="E283" s="1723"/>
      <c r="F283" s="1723"/>
      <c r="G283" s="1723"/>
      <c r="H283" s="1723"/>
      <c r="I283" s="1723"/>
      <c r="J283" s="1723"/>
      <c r="K283" s="1722">
        <f>D283</f>
        <v>0</v>
      </c>
      <c r="L283" s="1623">
        <v>0</v>
      </c>
    </row>
    <row r="284" spans="1:12" x14ac:dyDescent="0.2">
      <c r="A284" s="1319" t="s">
        <v>692</v>
      </c>
      <c r="B284" s="503">
        <v>4140</v>
      </c>
      <c r="C284" s="1723"/>
      <c r="D284" s="1624">
        <v>0</v>
      </c>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v>0</v>
      </c>
    </row>
    <row r="289" spans="1:14" x14ac:dyDescent="0.2">
      <c r="A289" s="1319" t="s">
        <v>88</v>
      </c>
      <c r="B289" s="503">
        <v>5120</v>
      </c>
      <c r="C289" s="1723"/>
      <c r="D289" s="1723"/>
      <c r="E289" s="1723"/>
      <c r="F289" s="1723"/>
      <c r="G289" s="1723"/>
      <c r="H289" s="1623">
        <v>0</v>
      </c>
      <c r="I289" s="1723"/>
      <c r="J289" s="1723"/>
      <c r="K289" s="1722">
        <f>H289</f>
        <v>0</v>
      </c>
      <c r="L289" s="1623">
        <v>0</v>
      </c>
    </row>
    <row r="290" spans="1:14" ht="12.75" customHeight="1" x14ac:dyDescent="0.2">
      <c r="A290" s="1319" t="s">
        <v>1162</v>
      </c>
      <c r="B290" s="512" t="s">
        <v>613</v>
      </c>
      <c r="C290" s="1723"/>
      <c r="D290" s="1723"/>
      <c r="E290" s="1723"/>
      <c r="F290" s="1723"/>
      <c r="G290" s="1723"/>
      <c r="H290" s="1623">
        <v>0</v>
      </c>
      <c r="I290" s="1723"/>
      <c r="J290" s="1723"/>
      <c r="K290" s="1722">
        <f>H290</f>
        <v>0</v>
      </c>
      <c r="L290" s="1623">
        <v>0</v>
      </c>
    </row>
    <row r="291" spans="1:14" x14ac:dyDescent="0.2">
      <c r="A291" s="1319" t="s">
        <v>89</v>
      </c>
      <c r="B291" s="503" t="s">
        <v>585</v>
      </c>
      <c r="C291" s="1723"/>
      <c r="D291" s="1723"/>
      <c r="E291" s="1723"/>
      <c r="F291" s="1723"/>
      <c r="G291" s="1723"/>
      <c r="H291" s="1623">
        <v>0</v>
      </c>
      <c r="I291" s="1723"/>
      <c r="J291" s="1723"/>
      <c r="K291" s="1722">
        <f>H291</f>
        <v>0</v>
      </c>
      <c r="L291" s="1623">
        <v>0</v>
      </c>
    </row>
    <row r="292" spans="1:14" x14ac:dyDescent="0.2">
      <c r="A292" s="1319" t="s">
        <v>757</v>
      </c>
      <c r="B292" s="503" t="s">
        <v>614</v>
      </c>
      <c r="C292" s="1723"/>
      <c r="D292" s="1723"/>
      <c r="E292" s="1723"/>
      <c r="F292" s="1723"/>
      <c r="G292" s="1723"/>
      <c r="H292" s="1623">
        <v>0</v>
      </c>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349" t="s">
        <v>502</v>
      </c>
      <c r="B295" s="2350"/>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358" t="s">
        <v>989</v>
      </c>
      <c r="B296" s="2359"/>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1" t="s">
        <v>142</v>
      </c>
      <c r="B298" s="2335"/>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v>0</v>
      </c>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1821</v>
      </c>
      <c r="B306" s="562" t="s">
        <v>1816</v>
      </c>
      <c r="C306" s="1723"/>
      <c r="D306" s="1723"/>
      <c r="E306" s="1624">
        <v>0</v>
      </c>
      <c r="F306" s="1723"/>
      <c r="G306" s="1723"/>
      <c r="H306" s="1624">
        <v>0</v>
      </c>
      <c r="I306" s="1723"/>
      <c r="J306" s="1723"/>
      <c r="K306" s="1722">
        <f>SUM(E306,H306)</f>
        <v>0</v>
      </c>
      <c r="L306" s="1624">
        <v>0</v>
      </c>
    </row>
    <row r="307" spans="1:14" x14ac:dyDescent="0.2">
      <c r="A307" s="1319" t="s">
        <v>301</v>
      </c>
      <c r="B307" s="503">
        <v>4120</v>
      </c>
      <c r="C307" s="1723"/>
      <c r="D307" s="1723"/>
      <c r="E307" s="1624">
        <v>0</v>
      </c>
      <c r="F307" s="1723"/>
      <c r="G307" s="1723"/>
      <c r="H307" s="1624">
        <v>0</v>
      </c>
      <c r="I307" s="1632"/>
      <c r="J307" s="1723"/>
      <c r="K307" s="1722">
        <f>SUM(E307,H307)</f>
        <v>0</v>
      </c>
      <c r="L307" s="1623">
        <v>0</v>
      </c>
    </row>
    <row r="308" spans="1:14" x14ac:dyDescent="0.2">
      <c r="A308" s="1319" t="s">
        <v>692</v>
      </c>
      <c r="B308" s="503">
        <v>4140</v>
      </c>
      <c r="C308" s="1723"/>
      <c r="D308" s="1723"/>
      <c r="E308" s="1624">
        <v>0</v>
      </c>
      <c r="F308" s="1723"/>
      <c r="G308" s="1723"/>
      <c r="H308" s="1624">
        <v>0</v>
      </c>
      <c r="I308" s="1632"/>
      <c r="J308" s="1723"/>
      <c r="K308" s="1722">
        <f>SUM(E308,H308)</f>
        <v>0</v>
      </c>
      <c r="L308" s="1623">
        <v>0</v>
      </c>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46" t="s">
        <v>275</v>
      </c>
      <c r="B312" s="2347"/>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2" t="s">
        <v>989</v>
      </c>
      <c r="B313" s="2343"/>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5" t="s">
        <v>148</v>
      </c>
      <c r="B315" s="2356"/>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7" t="s">
        <v>892</v>
      </c>
      <c r="B317" s="2356"/>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v>0</v>
      </c>
      <c r="M319" s="539"/>
      <c r="N319" s="539"/>
    </row>
    <row r="320" spans="1:14" s="548" customFormat="1" x14ac:dyDescent="0.2">
      <c r="A320" s="1338" t="s">
        <v>1782</v>
      </c>
      <c r="B320" s="568" t="s">
        <v>280</v>
      </c>
      <c r="C320" s="1624">
        <v>0</v>
      </c>
      <c r="D320" s="1624">
        <v>0</v>
      </c>
      <c r="E320" s="1624">
        <v>0</v>
      </c>
      <c r="F320" s="1624">
        <v>0</v>
      </c>
      <c r="G320" s="1624">
        <v>0</v>
      </c>
      <c r="H320" s="1624">
        <v>0</v>
      </c>
      <c r="I320" s="1624">
        <v>0</v>
      </c>
      <c r="J320" s="1624">
        <v>0</v>
      </c>
      <c r="K320" s="1722">
        <f t="shared" ref="K320:K327" si="24">SUM(C320:J320)</f>
        <v>0</v>
      </c>
      <c r="L320" s="1624">
        <v>0</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v>0</v>
      </c>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22">
        <f t="shared" si="24"/>
        <v>0</v>
      </c>
      <c r="L322" s="1624">
        <v>0</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v>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v>0</v>
      </c>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22">
        <f t="shared" si="24"/>
        <v>0</v>
      </c>
      <c r="L325" s="1624">
        <v>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v>0</v>
      </c>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22">
        <f t="shared" si="24"/>
        <v>0</v>
      </c>
      <c r="L327" s="1624">
        <v>0</v>
      </c>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v>0</v>
      </c>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v>0</v>
      </c>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1822</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1816</v>
      </c>
      <c r="C332" s="1764"/>
      <c r="D332" s="1764"/>
      <c r="E332" s="1764"/>
      <c r="F332" s="1764"/>
      <c r="G332" s="1764"/>
      <c r="H332" s="1624">
        <v>0</v>
      </c>
      <c r="I332" s="1764"/>
      <c r="J332" s="1764"/>
      <c r="K332" s="1722">
        <f>H332</f>
        <v>0</v>
      </c>
      <c r="L332" s="1624">
        <v>0</v>
      </c>
      <c r="M332" s="539"/>
      <c r="N332" s="539"/>
    </row>
    <row r="333" spans="1:14" s="548" customFormat="1" ht="12.75" customHeight="1" x14ac:dyDescent="0.2">
      <c r="A333" s="1517" t="s">
        <v>301</v>
      </c>
      <c r="B333" s="1512" t="s">
        <v>1818</v>
      </c>
      <c r="C333" s="1764"/>
      <c r="D333" s="1764"/>
      <c r="E333" s="1764"/>
      <c r="F333" s="1764"/>
      <c r="G333" s="1764"/>
      <c r="H333" s="1624">
        <v>0</v>
      </c>
      <c r="I333" s="1764"/>
      <c r="J333" s="1764"/>
      <c r="K333" s="1722">
        <f>H333</f>
        <v>0</v>
      </c>
      <c r="L333" s="1624">
        <v>0</v>
      </c>
      <c r="M333" s="539"/>
      <c r="N333" s="539"/>
    </row>
    <row r="334" spans="1:14" s="548" customFormat="1" ht="12.75" customHeight="1" thickBot="1" x14ac:dyDescent="0.25">
      <c r="A334" s="1517" t="s">
        <v>1823</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v>0</v>
      </c>
    </row>
    <row r="338" spans="1:14" ht="12.75" customHeight="1" x14ac:dyDescent="0.2">
      <c r="A338" s="1333" t="s">
        <v>1162</v>
      </c>
      <c r="B338" s="562" t="s">
        <v>613</v>
      </c>
      <c r="C338" s="1734"/>
      <c r="D338" s="1734"/>
      <c r="E338" s="1734"/>
      <c r="F338" s="1734"/>
      <c r="G338" s="1734"/>
      <c r="H338" s="1633">
        <v>0</v>
      </c>
      <c r="I338" s="1734"/>
      <c r="J338" s="1734"/>
      <c r="K338" s="1722">
        <f>H338</f>
        <v>0</v>
      </c>
      <c r="L338" s="1633">
        <v>0</v>
      </c>
    </row>
    <row r="339" spans="1:14" x14ac:dyDescent="0.2">
      <c r="A339" s="1319" t="s">
        <v>895</v>
      </c>
      <c r="B339" s="512">
        <v>5150</v>
      </c>
      <c r="C339" s="1734"/>
      <c r="D339" s="1734"/>
      <c r="E339" s="1734"/>
      <c r="F339" s="1734"/>
      <c r="G339" s="1734"/>
      <c r="H339" s="1624">
        <v>0</v>
      </c>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344" t="s">
        <v>989</v>
      </c>
      <c r="B343" s="2345"/>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4" t="s">
        <v>960</v>
      </c>
      <c r="B345" s="2335"/>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v>0</v>
      </c>
    </row>
    <row r="349" spans="1:14" x14ac:dyDescent="0.2">
      <c r="A349" s="1319" t="s">
        <v>195</v>
      </c>
      <c r="B349" s="503">
        <v>2540</v>
      </c>
      <c r="C349" s="1623">
        <v>0</v>
      </c>
      <c r="D349" s="1623">
        <v>0</v>
      </c>
      <c r="E349" s="1623">
        <v>0</v>
      </c>
      <c r="F349" s="1623">
        <v>0</v>
      </c>
      <c r="G349" s="1623">
        <v>0</v>
      </c>
      <c r="H349" s="1623">
        <v>0</v>
      </c>
      <c r="I349" s="1624">
        <v>0</v>
      </c>
      <c r="J349" s="1624">
        <v>0</v>
      </c>
      <c r="K349" s="1722">
        <f>SUM(C349:J349)</f>
        <v>0</v>
      </c>
      <c r="L349" s="1623">
        <v>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v>0</v>
      </c>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1824</v>
      </c>
      <c r="B354" s="557" t="s">
        <v>1816</v>
      </c>
      <c r="C354" s="1723"/>
      <c r="D354" s="1723"/>
      <c r="E354" s="1723"/>
      <c r="F354" s="1723"/>
      <c r="G354" s="1723"/>
      <c r="H354" s="1629">
        <v>0</v>
      </c>
      <c r="I354" s="1766"/>
      <c r="J354" s="1723"/>
      <c r="K354" s="1763">
        <f>H354</f>
        <v>0</v>
      </c>
      <c r="L354" s="1627">
        <v>0</v>
      </c>
    </row>
    <row r="355" spans="1:14" ht="12.75" customHeight="1" x14ac:dyDescent="0.2">
      <c r="A355" s="1328" t="s">
        <v>1825</v>
      </c>
      <c r="B355" s="562" t="s">
        <v>1818</v>
      </c>
      <c r="C355" s="1723"/>
      <c r="D355" s="1723"/>
      <c r="E355" s="1723"/>
      <c r="F355" s="1723"/>
      <c r="G355" s="1723"/>
      <c r="H355" s="1624">
        <v>0</v>
      </c>
      <c r="I355" s="1766"/>
      <c r="J355" s="1723"/>
      <c r="K355" s="1657">
        <f>H355</f>
        <v>0</v>
      </c>
      <c r="L355" s="1624">
        <v>0</v>
      </c>
    </row>
    <row r="356" spans="1:14" ht="12.75" customHeight="1" x14ac:dyDescent="0.2">
      <c r="A356" s="1518" t="s">
        <v>693</v>
      </c>
      <c r="B356" s="557" t="s">
        <v>554</v>
      </c>
      <c r="C356" s="1723"/>
      <c r="D356" s="1723"/>
      <c r="E356" s="1723"/>
      <c r="F356" s="1723"/>
      <c r="G356" s="1723"/>
      <c r="H356" s="1634">
        <v>0</v>
      </c>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v>0</v>
      </c>
    </row>
    <row r="361" spans="1:14" ht="12.75" customHeight="1" x14ac:dyDescent="0.2">
      <c r="A361" s="1320" t="s">
        <v>615</v>
      </c>
      <c r="B361" s="494" t="s">
        <v>614</v>
      </c>
      <c r="C361" s="1723"/>
      <c r="D361" s="1723"/>
      <c r="E361" s="1723"/>
      <c r="F361" s="1723"/>
      <c r="G361" s="1723"/>
      <c r="H361" s="1624">
        <v>0</v>
      </c>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v>0</v>
      </c>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58" t="s">
        <v>989</v>
      </c>
      <c r="B368" s="2359"/>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4d435f69-8686-490b-bd6d-b153bf22ab50"/>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6ce3111e-7420-4802-b50a-75d4e9a0b980"/>
    <ds:schemaRef ds:uri="http://schemas.microsoft.com/office/infopath/2007/PartnerControls"/>
    <ds:schemaRef ds:uri="d21dc803-237d-4c68-8692-8d731fd29118"/>
    <ds:schemaRef ds:uri="http://www.w3.org/XML/1998/namespac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2020-12-18T20:09:59Z</cp:lastPrinted>
  <dcterms:created xsi:type="dcterms:W3CDTF">2003-10-29T19:06:34Z</dcterms:created>
  <dcterms:modified xsi:type="dcterms:W3CDTF">2021-01-11T16:26:46Z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