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F712CB53-A368-4879-B9D1-73085796AA01}" xr6:coauthVersionLast="36" xr6:coauthVersionMax="36" xr10:uidLastSave="{00000000-0000-0000-0000-000000000000}"/>
  <bookViews>
    <workbookView xWindow="-120" yWindow="-120" windowWidth="29040" windowHeight="15840" tabRatio="76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L22" i="37" l="1"/>
  <c r="H28" i="118"/>
  <c r="B7696" i="106"/>
  <c r="D7696" i="106" s="1"/>
  <c r="E66" i="184"/>
  <c r="N66" i="184" s="1"/>
  <c r="B7135" i="106"/>
  <c r="D7135" i="106" s="1"/>
  <c r="E58" i="184"/>
  <c r="N58" i="184" s="1"/>
  <c r="I129" i="29"/>
  <c r="B7037" i="106" s="1"/>
  <c r="D7037" i="106" s="1"/>
  <c r="B7162" i="106"/>
  <c r="D7162" i="106" s="1"/>
  <c r="E61" i="184"/>
  <c r="N61"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B7171" i="106"/>
  <c r="D7171" i="106" s="1"/>
  <c r="E62" i="184"/>
  <c r="N62" i="184" s="1"/>
  <c r="B7153" i="106"/>
  <c r="D7153" i="106" s="1"/>
  <c r="E60" i="184"/>
  <c r="N60" i="184" s="1"/>
  <c r="B7189" i="106"/>
  <c r="D7189" i="106" s="1"/>
  <c r="E64" i="184"/>
  <c r="N64" i="184" s="1"/>
  <c r="B7705" i="106"/>
  <c r="D7705" i="106" s="1"/>
  <c r="E67" i="184"/>
  <c r="N67" i="184" s="1"/>
  <c r="J210" i="29"/>
  <c r="B7072" i="106" s="1"/>
  <c r="D707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D44" i="36"/>
  <c r="B7220" i="106"/>
  <c r="D7220" i="106" s="1"/>
  <c r="F75" i="34"/>
  <c r="B7886" i="106" s="1"/>
  <c r="D7886" i="106" s="1"/>
  <c r="N57" i="184"/>
  <c r="N68" i="184" s="1"/>
  <c r="E68" i="184"/>
  <c r="E367" i="29"/>
  <c r="B3635" i="106"/>
  <c r="B7222" i="106"/>
  <c r="D7222" i="106" s="1"/>
  <c r="F76" i="34"/>
  <c r="B7887" i="106" s="1"/>
  <c r="D7887" i="106" s="1"/>
  <c r="H19" i="184"/>
  <c r="L20" i="184" s="1"/>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<sst xmlns="http://schemas.openxmlformats.org/spreadsheetml/2006/main" count="5147" uniqueCount="2080">
  <si>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</si>
  <si>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</si>
  <si>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</si>
  <si>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</si>
  <si>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</si>
  <si>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</si>
  <si>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</si>
  <si>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</si>
  <si>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</si>
  <si>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</si>
  <si>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</si>
  <si>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</si>
  <si>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</si>
  <si>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</si>
  <si>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</si>
  <si>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</si>
  <si>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</si>
  <si>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</si>
  <si>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</si>
  <si>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</si>
  <si>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</si>
  <si>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</si>
  <si>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</si>
  <si>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</si>
  <si>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</si>
  <si>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</si>
  <si>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</si>
  <si>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</si>
  <si>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</si>
  <si>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</si>
  <si>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</si>
  <si>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</si>
  <si>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</si>
  <si>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</si>
  <si>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</si>
  <si>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</si>
  <si>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</si>
  <si>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</si>
  <si>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</si>
  <si>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</si>
  <si>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</si>
  <si>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</si>
  <si>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</si>
  <si>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</si>
  <si>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</si>
  <si>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</si>
  <si>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</si>
  <si>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</si>
  <si>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</si>
  <si>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</si>
  <si>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</si>
  <si>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</si>
  <si>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</si>
  <si>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</si>
  <si>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</si>
  <si>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</si>
  <si>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</si>
  <si>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</si>
  <si>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</si>
  <si>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</si>
  <si>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</si>
  <si>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</si>
  <si>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</si>
  <si>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</si>
  <si>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</si>
  <si>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</si>
  <si>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</si>
  <si>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</si>
  <si>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</si>
  <si>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</si>
  <si>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</si>
  <si>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</si>
  <si>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</si>
  <si>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</si>
  <si>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</si>
  <si>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</si>
  <si>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</si>
  <si>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</si>
  <si>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</si>
  <si>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</si>
  <si>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</si>
  <si>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</si>
  <si>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</si>
  <si>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</si>
  <si>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</si>
  <si>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</si>
  <si>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</si>
  <si>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</si>
  <si>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</si>
  <si>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</si>
  <si>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</si>
  <si>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</si>
  <si>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</si>
  <si>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</si>
  <si>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</si>
  <si>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</si>
  <si>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</si>
  <si>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</si>
  <si>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</si>
  <si>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</si>
  <si>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</si>
  <si>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</si>
  <si>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</si>
  <si>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</si>
  <si>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</si>
  <si>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</si>
  <si>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</si>
  <si>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</si>
  <si>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</si>
  <si>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</si>
  <si>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</si>
  <si>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</si>
  <si>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</si>
  <si>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</si>
  <si>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</si>
  <si>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</si>
  <si>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</si>
  <si>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</si>
  <si>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</si>
  <si>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</si>
  <si>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</si>
  <si>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</si>
  <si>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</si>
  <si>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</si>
  <si>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</si>
  <si>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</si>
  <si>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</si>
  <si>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</si>
  <si>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</si>
  <si>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</si>
  <si>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</si>
  <si>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</si>
  <si>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</si>
  <si>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</si>
  <si>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</si>
  <si>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</si>
  <si>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</si>
  <si>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</si>
  <si>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</si>
  <si>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</si>
  <si>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</si>
  <si>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</si>
  <si>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</si>
  <si>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</si>
  <si>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</si>
  <si>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</si>
  <si>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</si>
  <si>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</si>
  <si>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</si>
  <si>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</si>
  <si>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</si>
  <si>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</si>
  <si>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</si>
  <si>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</si>
  <si>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</si>
  <si>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</si>
  <si>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</si>
  <si>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</si>
  <si>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</si>
  <si>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</si>
  <si>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</si>
  <si>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</si>
  <si>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</si>
  <si>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</si>
  <si>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</si>
  <si>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</si>
  <si>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</si>
  <si>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</si>
  <si>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</si>
  <si>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</si>
  <si>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</si>
  <si>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</si>
  <si>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</si>
  <si>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</si>
  <si>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</si>
  <si>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</si>
  <si>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</si>
  <si>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</si>
  <si>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</si>
  <si>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</si>
  <si>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</si>
  <si>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</si>
  <si>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</si>
  <si>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</si>
  <si>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</si>
  <si>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</si>
  <si>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</si>
  <si>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</si>
  <si>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</si>
  <si>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</si>
  <si>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</si>
  <si>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</si>
  <si>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</si>
  <si>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</si>
  <si>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</si>
  <si>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</si>
  <si>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</si>
  <si>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</si>
  <si>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</si>
  <si>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</si>
  <si>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</si>
  <si>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</si>
  <si>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</si>
  <si>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</si>
  <si>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</si>
  <si>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</si>
  <si>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</si>
  <si>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</si>
  <si>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</si>
  <si>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</si>
  <si>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</si>
  <si>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</si>
  <si>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</si>
  <si>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</si>
  <si>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</si>
  <si>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</si>
  <si>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</si>
  <si>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</si>
  <si>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</si>
  <si>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</si>
  <si>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</si>
  <si>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</si>
  <si>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</si>
  <si>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</si>
  <si>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</si>
  <si>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</si>
  <si>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</si>
  <si>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</si>
  <si>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</si>
  <si>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</si>
  <si>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</si>
  <si>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</si>
  <si>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</si>
  <si>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</si>
  <si>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</si>
  <si>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</si>
  <si>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</si>
  <si>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</si>
  <si>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</si>
  <si>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</si>
  <si>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</si>
  <si>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</si>
  <si>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</si>
  <si>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</si>
  <si>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</si>
  <si>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</si>
  <si>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</si>
  <si>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</si>
  <si>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</si>
  <si>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</si>
  <si>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</si>
  <si>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</si>
  <si>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</si>
  <si>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</si>
  <si>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</si>
  <si>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</si>
  <si>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</si>
  <si>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</si>
  <si>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</si>
  <si>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</si>
  <si>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</si>
  <si>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</si>
  <si>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</si>
  <si>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</si>
  <si>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</si>
  <si>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</si>
  <si>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</si>
  <si>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</si>
  <si>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</si>
  <si>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</si>
  <si>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</si>
  <si>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</si>
  <si>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</si>
  <si>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</si>
  <si>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</si>
  <si>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</si>
  <si>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</si>
  <si>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</si>
  <si>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</si>
  <si>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</si>
  <si>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</si>
  <si>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</si>
  <si>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</si>
  <si>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</si>
  <si>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</si>
  <si>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</si>
  <si>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</si>
  <si>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</si>
  <si>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</si>
  <si>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</si>
  <si>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</si>
  <si>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</si>
  <si>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</si>
  <si>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</si>
  <si>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</si>
  <si>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</si>
  <si>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</si>
  <si>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</si>
  <si>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</si>
  <si>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</si>
  <si>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</si>
  <si>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</si>
  <si>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</si>
  <si>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</si>
  <si>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</si>
  <si>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</si>
  <si>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</si>
  <si>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</si>
  <si>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</si>
  <si>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</si>
  <si>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</si>
  <si>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</si>
  <si>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</si>
  <si>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</si>
  <si>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</si>
  <si>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</si>
  <si>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</si>
  <si>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</si>
  <si>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</si>
  <si>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</si>
  <si>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</si>
  <si>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</si>
  <si>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</si>
  <si>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</si>
  <si>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</si>
  <si>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</si>
  <si>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</si>
  <si>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</si>
  <si>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</si>
  <si>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</si>
  <si>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</si>
  <si>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</si>
  <si>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</si>
  <si>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</si>
  <si>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</si>
  <si>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</si>
  <si>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</si>
  <si>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</si>
  <si>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</si>
  <si>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</si>
  <si>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</si>
  <si>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</si>
  <si>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</si>
  <si>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</si>
  <si>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</si>
  <si>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</si>
  <si>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</si>
  <si>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</si>
  <si>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</si>
  <si>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</si>
  <si>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</si>
  <si>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</si>
  <si>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</si>
  <si>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</si>
  <si>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</si>
  <si>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</si>
  <si>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</si>
  <si>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</si>
  <si>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</si>
  <si>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</si>
  <si>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</si>
  <si>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</si>
  <si>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</si>
  <si>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</si>
  <si>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</si>
  <si>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</si>
  <si>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</si>
  <si>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</si>
  <si>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</si>
  <si>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</si>
  <si>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</si>
  <si>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</si>
  <si>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</si>
  <si>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</si>
  <si>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</si>
  <si>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</si>
  <si>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</si>
  <si>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</si>
  <si>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</si>
  <si>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</si>
  <si>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</si>
  <si>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</si>
  <si>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</si>
  <si>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</si>
  <si>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</si>
  <si>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</si>
  <si>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</si>
  <si>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</si>
  <si>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</si>
  <si>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</si>
  <si>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</si>
  <si>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</si>
  <si>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</si>
  <si>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</si>
  <si>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</si>
  <si>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</si>
  <si>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</si>
  <si>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</si>
  <si>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</si>
  <si>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</si>
  <si>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</si>
  <si>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</si>
  <si>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</si>
  <si>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</si>
  <si>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</si>
  <si>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</si>
  <si>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</si>
  <si>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</si>
  <si>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</si>
  <si>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</si>
  <si>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</si>
  <si>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</si>
  <si>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</si>
  <si>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</si>
  <si>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</si>
  <si>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</si>
  <si>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</si>
  <si>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</si>
  <si>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</si>
  <si>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</si>
  <si>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</si>
  <si>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</si>
  <si>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</si>
  <si>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</si>
  <si>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</si>
  <si>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</si>
  <si>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</si>
  <si>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</si>
  <si>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</si>
  <si>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</si>
  <si>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</si>
  <si>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</si>
  <si>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</si>
  <si>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</si>
  <si>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</si>
  <si>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</si>
  <si>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</si>
  <si>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</si>
  <si>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</si>
  <si>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</si>
  <si>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</si>
  <si>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</si>
  <si>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</si>
  <si>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</si>
  <si>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</si>
  <si>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</si>
  <si>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</si>
  <si>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</si>
  <si>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</si>
  <si>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</si>
  <si>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</si>
  <si>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</si>
  <si>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</si>
  <si>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</si>
  <si>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</si>
  <si>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</si>
  <si>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</si>
  <si>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</si>
  <si>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</si>
  <si>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</si>
  <si>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</si>
  <si>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</si>
  <si>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</si>
  <si>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</si>
  <si>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</si>
  <si>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</si>
  <si>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</si>
  <si>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</si>
  <si>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</si>
  <si>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</si>
  <si>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</si>
  <si>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</si>
  <si>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</si>
  <si>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</si>
  <si>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</si>
  <si>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</si>
  <si>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</si>
  <si>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</si>
  <si>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</si>
  <si>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</si>
  <si>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</si>
  <si>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</si>
  <si>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</si>
  <si>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</si>
  <si>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</si>
  <si>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</si>
  <si>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</si>
  <si>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</si>
  <si>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</si>
  <si>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</si>
  <si>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</si>
  <si>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</si>
  <si>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</si>
  <si>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</si>
  <si>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</si>
  <si>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</si>
  <si>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</si>
  <si>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</si>
  <si>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</si>
  <si>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</si>
  <si>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</si>
  <si>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</si>
  <si>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</si>
  <si>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</si>
  <si>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</si>
  <si>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</si>
  <si>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</si>
  <si>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</si>
  <si>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</si>
  <si>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</si>
  <si>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</si>
  <si>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</si>
  <si>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</si>
  <si>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</si>
  <si>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</si>
  <si>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</si>
  <si>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</si>
  <si>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</si>
  <si>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</si>
  <si>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</si>
  <si>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</si>
  <si>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</si>
  <si>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</si>
  <si>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</si>
  <si>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</si>
  <si>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</si>
  <si>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</si>
  <si>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</si>
  <si>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</si>
  <si>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</si>
  <si>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</si>
  <si>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</si>
  <si>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</si>
  <si>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</si>
  <si>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</si>
  <si>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</si>
  <si>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</si>
  <si>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</si>
  <si>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</si>
  <si>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</si>
  <si>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</si>
  <si>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</si>
  <si>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</si>
  <si>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</si>
  <si>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</si>
  <si>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</si>
  <si>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</si>
  <si>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</si>
  <si>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</si>
  <si>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</si>
  <si>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</si>
  <si>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</si>
  <si>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</si>
  <si>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</si>
  <si>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</si>
  <si>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</si>
  <si>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</si>
  <si>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</si>
  <si>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</si>
  <si>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</si>
  <si>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</si>
  <si>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</si>
  <si>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</si>
  <si>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</si>
  <si>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</si>
  <si>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</si>
  <si>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</si>
  <si>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</si>
  <si>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</si>
  <si>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</si>
  <si>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</si>
  <si>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</si>
  <si>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</si>
  <si>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</si>
  <si>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</si>
  <si>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</si>
  <si>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</si>
  <si>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</si>
  <si>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</si>
  <si>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</si>
  <si>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</si>
  <si>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</si>
  <si>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</si>
  <si>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</si>
  <si>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</si>
  <si>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</si>
  <si>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</si>
  <si>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</si>
  <si>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</si>
  <si>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</si>
  <si>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</si>
  <si>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</si>
  <si>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</si>
  <si>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</si>
  <si>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</si>
  <si>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</si>
  <si>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</si>
  <si>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</si>
  <si>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</si>
  <si>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</si>
  <si>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</si>
  <si>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</si>
  <si>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</si>
  <si>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</si>
  <si>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</si>
  <si>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</si>
  <si>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</si>
  <si>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</si>
  <si>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</si>
  <si>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</si>
  <si>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</si>
  <si>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</si>
  <si>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</si>
  <si>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</si>
  <si>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</si>
  <si>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</si>
  <si>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</si>
  <si>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</si>
  <si>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</si>
  <si>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</si>
  <si>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</si>
  <si>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</si>
  <si>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</si>
  <si>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</si>
  <si>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</si>
  <si>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</si>
  <si>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</si>
  <si>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</si>
  <si>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</si>
  <si>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</si>
  <si>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</si>
  <si>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</si>
  <si>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</si>
  <si>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</si>
  <si>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</si>
  <si>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</si>
  <si>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</si>
  <si>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</si>
  <si>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</si>
  <si>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</si>
  <si>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</si>
  <si>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</si>
  <si>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</si>
  <si>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</si>
  <si>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</si>
  <si>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</si>
  <si>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</si>
  <si>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</si>
  <si>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</si>
  <si>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</si>
  <si>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</si>
  <si>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</si>
  <si>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</si>
  <si>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</si>
  <si>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</si>
  <si>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</si>
  <si>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</si>
  <si>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</si>
  <si>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</si>
  <si>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</si>
  <si>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</si>
  <si>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</si>
  <si>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</si>
  <si>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</si>
  <si>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</si>
  <si>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</si>
  <si>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</si>
  <si>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</si>
  <si>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</si>
  <si>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</si>
  <si>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</si>
  <si>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</si>
  <si>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</si>
  <si>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</si>
  <si>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</si>
  <si>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</si>
  <si>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</si>
  <si>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</si>
  <si>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</si>
  <si>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</si>
  <si>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</si>
  <si>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</si>
  <si>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</si>
  <si>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</si>
  <si>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</si>
  <si>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</si>
  <si>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</si>
  <si>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</si>
  <si>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</si>
  <si>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</si>
  <si>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</si>
  <si>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</si>
  <si>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</si>
  <si>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</si>
  <si>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</si>
  <si>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</si>
  <si>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</si>
  <si>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</si>
  <si>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</si>
  <si>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</si>
  <si>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</si>
  <si>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</si>
  <si>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</si>
  <si>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</si>
  <si>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</si>
  <si>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</si>
  <si>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</si>
  <si>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</si>
  <si>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</si>
  <si>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</si>
  <si>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</si>
  <si>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</si>
  <si>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</si>
  <si>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</si>
  <si>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</si>
  <si>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</si>
  <si>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</si>
  <si>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</si>
  <si>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</si>
  <si>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</si>
  <si>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</si>
  <si>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</si>
  <si>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</si>
  <si>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</si>
  <si>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</si>
  <si>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</si>
  <si>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</si>
  <si>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</si>
  <si>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</si>
  <si>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</si>
  <si>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</si>
  <si>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</si>
  <si>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</si>
  <si>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</si>
  <si>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</si>
  <si>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</si>
  <si>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</si>
  <si>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</si>
  <si>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</si>
  <si>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</si>
  <si>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</si>
  <si>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</si>
  <si>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</si>
  <si>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</si>
  <si>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</si>
  <si>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</si>
  <si>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</si>
  <si>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</si>
  <si>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</si>
  <si>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</si>
  <si>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</si>
  <si>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</si>
  <si>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</si>
  <si>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</si>
  <si>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</si>
  <si>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</si>
  <si>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</si>
  <si>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</si>
  <si>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</si>
  <si>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</si>
  <si>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</si>
  <si>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</si>
  <si>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</si>
  <si>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</si>
  <si>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</si>
  <si>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</si>
  <si>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</si>
  <si>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</si>
  <si>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</si>
  <si>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</si>
  <si>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</si>
  <si>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</si>
  <si>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</si>
  <si>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</si>
  <si>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</si>
  <si>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</si>
  <si>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</si>
  <si>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</si>
  <si>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</si>
  <si>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</si>
  <si>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</si>
  <si>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</si>
  <si>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</si>
  <si>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</si>
  <si>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</si>
  <si>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</si>
  <si>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</si>
  <si>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</si>
  <si>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</si>
  <si>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</si>
  <si>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</si>
  <si>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</si>
  <si>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</si>
  <si>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</si>
  <si>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</si>
  <si>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</si>
  <si>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</si>
  <si>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</si>
  <si>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</si>
  <si>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</si>
  <si>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</si>
  <si>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</si>
  <si>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</si>
  <si>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</si>
  <si>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</si>
  <si>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</si>
  <si>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</si>
  <si>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</si>
  <si>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</si>
  <si>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</si>
  <si>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</si>
  <si>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</si>
  <si>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</si>
  <si>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</si>
  <si>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</si>
  <si>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</si>
  <si>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</si>
  <si>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</si>
  <si>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</si>
  <si>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</si>
  <si>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</si>
  <si>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</si>
  <si>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</si>
  <si>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</si>
  <si>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</si>
  <si>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</si>
  <si>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</si>
  <si>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</si>
  <si>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</si>
  <si>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</si>
  <si>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</si>
  <si>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</si>
  <si>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</si>
  <si>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</si>
  <si>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</si>
  <si>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</si>
  <si>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</si>
  <si>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</si>
  <si>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</si>
  <si>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</si>
  <si>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</si>
  <si>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</si>
  <si>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</si>
  <si>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</si>
  <si>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</si>
  <si>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</si>
  <si>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</si>
  <si>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</si>
  <si>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</si>
  <si>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</si>
  <si>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</si>
  <si>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</si>
  <si>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</si>
  <si>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</si>
  <si>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</si>
  <si>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</si>
  <si>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</si>
  <si>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</si>
  <si>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</si>
  <si>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</si>
  <si>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</si>
  <si>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</si>
  <si>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</si>
  <si>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</si>
  <si>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</si>
  <si>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</si>
  <si>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</si>
  <si>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</si>
  <si>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</si>
  <si>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</si>
  <si>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</si>
  <si>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</si>
  <si>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</si>
  <si>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</si>
  <si>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</si>
  <si>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</si>
  <si>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</si>
  <si>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</si>
  <si>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</si>
  <si>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</si>
  <si>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</si>
  <si>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</si>
  <si>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</si>
  <si>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</si>
  <si>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</si>
  <si>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</si>
  <si>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</si>
  <si>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</si>
  <si>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</si>
  <si>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</si>
  <si>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</si>
  <si>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</si>
  <si>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</si>
  <si>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</si>
  <si>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</si>
  <si>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</si>
  <si>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</si>
  <si>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</si>
  <si>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</si>
  <si>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</si>
  <si>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</si>
  <si>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</si>
  <si>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</si>
  <si>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</si>
  <si>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</si>
  <si>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</si>
  <si>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</si>
  <si>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</si>
  <si>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</si>
  <si>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</si>
  <si>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</si>
  <si>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</si>
  <si>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</si>
  <si>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</si>
  <si>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</si>
  <si>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</si>
  <si>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</si>
  <si>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</si>
  <si>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</si>
  <si>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</si>
  <si>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</si>
  <si>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</si>
  <si>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</si>
  <si>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</si>
  <si>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</si>
  <si>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</si>
  <si>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</si>
  <si>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</si>
  <si>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</si>
  <si>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</si>
  <si>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</si>
  <si>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</si>
  <si>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</si>
  <si>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</si>
  <si>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</si>
  <si>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</si>
  <si>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</si>
  <si>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</si>
  <si>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</si>
  <si>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</si>
  <si>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</si>
  <si>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</si>
  <si>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</si>
  <si>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</si>
  <si>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</si>
  <si>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</si>
  <si>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</si>
  <si>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</si>
  <si>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</si>
  <si>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</si>
  <si>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</si>
  <si>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</si>
  <si>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</si>
  <si>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</si>
  <si>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</si>
  <si>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</si>
  <si>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</si>
  <si>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</si>
  <si>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</si>
  <si>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</si>
  <si>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</si>
  <si>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</si>
  <si>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</si>
  <si>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</si>
  <si>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</si>
  <si>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</si>
  <si>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</si>
  <si>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</si>
  <si>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</si>
  <si>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</si>
  <si>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</si>
  <si>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</si>
  <si>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</si>
  <si>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</si>
  <si>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</si>
  <si>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</si>
  <si>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</si>
  <si>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</si>
  <si>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</si>
  <si>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</si>
  <si>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</si>
  <si>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</si>
  <si>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</si>
  <si>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</si>
  <si>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</si>
  <si>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</si>
  <si>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</si>
  <si>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</si>
  <si>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</si>
  <si>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</si>
  <si>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</si>
  <si>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</si>
  <si>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</si>
  <si>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</si>
  <si>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</si>
  <si>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</si>
  <si>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</si>
  <si>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</si>
  <si>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</si>
  <si>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</si>
  <si>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</si>
  <si>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</si>
  <si>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</si>
  <si>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</si>
  <si>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</si>
  <si>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</si>
  <si>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</si>
  <si>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</si>
  <si>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</si>
  <si>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</si>
  <si>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</si>
  <si>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</si>
  <si>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</si>
  <si>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</si>
  <si>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</si>
  <si>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</si>
  <si>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</si>
  <si>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</si>
  <si>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</si>
  <si>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</si>
  <si>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</si>
  <si>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</si>
  <si>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</si>
  <si>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</si>
  <si>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</si>
  <si>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</si>
  <si>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</si>
  <si>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</si>
  <si>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</si>
  <si>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</si>
  <si>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</si>
  <si>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</si>
  <si>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</si>
  <si>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</si>
  <si>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</si>
  <si>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</si>
  <si>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</si>
  <si>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</si>
  <si>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</si>
  <si>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</si>
  <si>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</si>
  <si>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</si>
  <si>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</si>
  <si>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</si>
  <si>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</si>
  <si>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</si>
  <si>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</si>
  <si>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</si>
  <si>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</si>
  <si>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</si>
  <si>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</si>
  <si>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</si>
  <si>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</si>
  <si>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</si>
  <si>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</si>
  <si>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</si>
  <si>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</si>
  <si>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</si>
  <si>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</si>
  <si>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</si>
  <si>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</si>
  <si>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</si>
  <si>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</si>
  <si>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</si>
  <si>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</si>
  <si>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</si>
  <si>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</si>
  <si>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</si>
  <si>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</si>
  <si>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</si>
  <si>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</si>
  <si>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</si>
  <si>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</si>
  <si>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</si>
  <si>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</si>
  <si>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</si>
  <si>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</si>
  <si>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</si>
  <si>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</si>
  <si>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</si>
  <si>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</si>
  <si>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</si>
  <si>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</si>
  <si>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</si>
  <si>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</si>
  <si>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</si>
  <si>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</si>
  <si>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</si>
  <si>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</si>
  <si>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</si>
  <si>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</si>
  <si>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</si>
  <si>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</si>
  <si>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</si>
  <si>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</si>
  <si>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</si>
  <si>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</si>
  <si>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</si>
  <si>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</si>
  <si>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</si>
  <si>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</si>
  <si>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</si>
  <si>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</si>
  <si>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</si>
  <si>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</si>
  <si>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</si>
  <si>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</si>
  <si>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</si>
  <si>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</si>
  <si>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</si>
  <si>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</si>
  <si>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</si>
  <si>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</si>
  <si>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</si>
  <si>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</si>
  <si>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</si>
  <si>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</si>
  <si>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</si>
  <si>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</si>
  <si>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</si>
  <si>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</si>
  <si>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</si>
  <si>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</si>
  <si>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</si>
  <si>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</si>
  <si>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</si>
  <si>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</si>
  <si>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</si>
  <si>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</si>
  <si>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</si>
  <si>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</si>
  <si>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</si>
  <si>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</si>
  <si>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</si>
  <si>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</si>
  <si>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</si>
  <si>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</si>
  <si>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</si>
  <si>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</si>
  <si>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</si>
  <si>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</si>
  <si>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</si>
  <si>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</si>
  <si>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</si>
  <si>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</si>
  <si>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</si>
  <si>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</si>
  <si>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</si>
  <si>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</si>
  <si>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</si>
  <si>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</si>
  <si>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</si>
  <si>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</si>
  <si>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</si>
  <si>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</si>
  <si>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</si>
  <si>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</si>
  <si>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</si>
  <si>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</si>
  <si>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</si>
  <si>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</si>
  <si>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</si>
  <si>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</si>
  <si>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</si>
  <si>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</si>
  <si>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</si>
  <si>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</si>
  <si>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</si>
  <si>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</si>
  <si>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</si>
  <si>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</si>
  <si>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</si>
  <si>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</si>
  <si>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</si>
  <si>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</si>
  <si>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</si>
  <si>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</si>
  <si>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</si>
  <si>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</si>
  <si>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</si>
  <si>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</si>
  <si>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</si>
  <si>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</si>
  <si>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</si>
  <si>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</si>
  <si>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</si>
  <si>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</si>
  <si>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</si>
  <si>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</si>
  <si>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</si>
  <si>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</si>
  <si>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</si>
  <si>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</si>
  <si>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</si>
  <si>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</si>
  <si>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</si>
  <si>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</si>
  <si>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</si>
  <si>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</si>
  <si>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</si>
  <si>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</si>
  <si>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</si>
  <si>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</si>
  <si>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</si>
  <si>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</si>
  <si>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</si>
  <si>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</si>
  <si>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</si>
  <si>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</si>
  <si>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</si>
  <si>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</si>
  <si>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</si>
  <si>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</si>
  <si>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</si>
  <si>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</si>
  <si>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</si>
  <si>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</si>
  <si>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</si>
  <si>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</si>
  <si>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</si>
  <si>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</si>
  <si>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</si>
  <si>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</si>
  <si>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</si>
  <si>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</si>
  <si>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</si>
  <si>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</si>
  <si>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</si>
  <si>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</si>
  <si>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</si>
  <si>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</si>
  <si>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</si>
  <si>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</si>
  <si>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</si>
  <si>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</si>
  <si>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</si>
  <si>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</si>
  <si>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</si>
  <si>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</si>
  <si>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</si>
  <si>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</si>
  <si>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</si>
  <si>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</si>
  <si>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</si>
  <si>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</si>
  <si>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</si>
  <si>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</si>
  <si>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</si>
  <si>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</si>
  <si>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</si>
  <si>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</si>
  <si>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</si>
  <si>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</si>
  <si>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</si>
  <si>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</si>
  <si>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</si>
  <si>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</si>
  <si>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</si>
  <si>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</si>
  <si>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</si>
  <si>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</si>
  <si>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</si>
  <si>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</si>
  <si>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</si>
  <si>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</si>
  <si>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</si>
  <si>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</si>
  <si>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</si>
  <si>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</si>
  <si>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</si>
  <si>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</si>
  <si>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</si>
  <si>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</si>
  <si>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</si>
  <si>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</si>
  <si>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</si>
  <si>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</si>
  <si>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</si>
  <si>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</si>
  <si>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</si>
  <si>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</si>
  <si>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</si>
  <si>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</si>
  <si>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</si>
  <si>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</si>
  <si>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</si>
  <si>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</si>
  <si>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</si>
  <si>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</si>
  <si>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</si>
  <si>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</si>
  <si>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</si>
  <si>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</si>
  <si>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</si>
  <si>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</si>
  <si>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</si>
  <si>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</si>
  <si>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</si>
  <si>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</si>
  <si>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</si>
  <si>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</si>
  <si>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</si>
  <si>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</si>
  <si>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</si>
  <si>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</si>
  <si>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</si>
  <si>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</si>
  <si>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</si>
  <si>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</si>
  <si>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</si>
  <si>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</si>
  <si>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</si>
  <si>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</si>
  <si>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</si>
  <si>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</si>
  <si>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</si>
  <si>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</si>
  <si>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</si>
  <si>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</si>
  <si>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</si>
  <si>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</si>
  <si>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</si>
  <si>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</si>
  <si>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</si>
  <si>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</si>
  <si>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</si>
  <si>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</si>
  <si>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</si>
  <si>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</si>
  <si>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</si>
  <si>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</si>
  <si>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</si>
  <si>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</si>
  <si>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</si>
  <si>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</si>
  <si>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</si>
  <si>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</si>
  <si>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</si>
  <si>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</si>
  <si>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</si>
  <si>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</si>
  <si>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</si>
  <si>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</si>
  <si>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</si>
  <si>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</si>
  <si>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</si>
  <si>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</si>
  <si>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</si>
  <si>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</si>
  <si>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</si>
  <si>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</si>
  <si>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</si>
  <si>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</si>
  <si>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</si>
  <si>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</si>
  <si>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</si>
  <si>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</si>
  <si>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</si>
  <si>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</si>
  <si>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</si>
  <si>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</si>
  <si>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</si>
  <si>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</si>
  <si>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</si>
  <si>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</si>
  <si>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</si>
  <si>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</si>
  <si>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</si>
  <si>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</si>
  <si>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</si>
  <si>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</si>
  <si>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</si>
  <si>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</si>
  <si>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</si>
  <si>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</si>
  <si>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</si>
  <si>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</si>
  <si>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</si>
  <si>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</si>
  <si>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</si>
  <si>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</si>
  <si>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</si>
  <si>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</si>
  <si>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</si>
  <si>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</si>
  <si>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</si>
  <si>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</si>
  <si>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</si>
  <si>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</si>
  <si>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</si>
  <si>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</si>
  <si>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</si>
  <si>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</si>
  <si>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</si>
  <si>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</si>
  <si>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</si>
  <si>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</si>
  <si>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</si>
  <si>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</si>
  <si>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</si>
  <si>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</si>
  <si>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</si>
  <si>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</si>
  <si>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</si>
  <si>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</si>
  <si>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</si>
  <si>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</si>
  <si>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</si>
  <si>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</si>
  <si>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</si>
  <si>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</si>
  <si>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</si>
  <si>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</si>
  <si>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</si>
  <si>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</si>
  <si>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</si>
  <si>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</si>
  <si>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</si>
  <si>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</si>
  <si>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</si>
  <si>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</si>
  <si>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</si>
  <si>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</si>
  <si>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</si>
  <si>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</si>
  <si>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</si>
  <si>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</si>
  <si>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</si>
  <si>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</si>
  <si>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</si>
  <si>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</si>
  <si>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</si>
  <si>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</si>
  <si>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</si>
  <si>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</si>
  <si>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</si>
  <si>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</si>
  <si>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</si>
  <si>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</si>
  <si>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</si>
  <si>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</si>
  <si>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</si>
  <si>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</si>
  <si>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</si>
  <si>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</si>
  <si>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</si>
  <si>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</si>
  <si>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</si>
  <si>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</si>
  <si>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</si>
  <si>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</si>
  <si>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</si>
  <si>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</si>
  <si>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</si>
  <si>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</si>
  <si>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</si>
  <si>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</si>
  <si>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</si>
  <si>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</si>
  <si>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</si>
  <si>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</si>
  <si>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</si>
  <si>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</si>
  <si>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</si>
  <si>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</si>
  <si>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</si>
  <si>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</si>
  <si>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</si>
  <si>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</si>
  <si>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</si>
  <si>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</si>
  <si>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</si>
  <si>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</si>
  <si>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</si>
  <si>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</si>
  <si>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</si>
  <si>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</si>
  <si>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</si>
  <si>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</si>
  <si>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</si>
  <si>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</si>
  <si>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</si>
  <si>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</si>
  <si>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</si>
  <si>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</si>
  <si>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</si>
  <si>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</si>
  <si>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</si>
  <si>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</si>
  <si>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</si>
  <si>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</si>
  <si>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</si>
  <si>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</si>
  <si>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</si>
  <si>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</si>
  <si>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</si>
  <si>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</si>
  <si>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</si>
  <si>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</si>
  <si>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</si>
  <si>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</si>
  <si>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</si>
  <si>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</si>
  <si>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</si>
  <si>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</si>
  <si>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</si>
  <si>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</si>
  <si>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</si>
  <si>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</si>
  <si>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</si>
  <si>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</si>
  <si>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</si>
  <si>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</si>
  <si>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</si>
  <si>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</si>
  <si>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</si>
  <si>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</si>
  <si>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</si>
  <si>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</si>
  <si>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</si>
  <si>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</si>
  <si>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</si>
  <si>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</si>
  <si>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</si>
  <si>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</si>
  <si>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</si>
  <si>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</si>
  <si>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</si>
  <si>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</si>
  <si>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</si>
  <si>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</si>
  <si>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</si>
  <si>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</si>
  <si>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</si>
  <si>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</si>
  <si>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</si>
  <si>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</si>
  <si>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</si>
  <si>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</si>
  <si>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</si>
  <si>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</si>
  <si>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</si>
  <si>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</si>
  <si>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</si>
  <si>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</si>
  <si>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</si>
  <si>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</si>
  <si>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</si>
  <si>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</si>
  <si>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</si>
  <si>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</si>
  <si>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</si>
  <si>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</si>
  <si>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</si>
  <si>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</si>
  <si>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</si>
  <si>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</si>
  <si>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</si>
  <si>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</si>
  <si>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</si>
  <si>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</si>
  <si>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</si>
  <si>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</si>
  <si>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</si>
  <si>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</si>
  <si>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</si>
  <si>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</si>
  <si>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</si>
  <si>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</si>
  <si>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</si>
  <si>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</si>
  <si>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</si>
  <si>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</si>
  <si>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</si>
  <si>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</si>
  <si>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</si>
  <si>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</si>
  <si>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</si>
  <si>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</si>
  <si>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</si>
  <si>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</si>
  <si>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</si>
  <si>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</si>
  <si>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</si>
  <si>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</si>
  <si>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</si>
  <si>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</si>
  <si>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</si>
  <si>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</si>
  <si>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</si>
  <si>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</si>
  <si>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</si>
  <si>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</si>
  <si>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</si>
  <si>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</si>
  <si>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</si>
  <si>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</si>
  <si>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</si>
  <si>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</si>
  <si>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</si>
  <si>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</si>
  <si>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</si>
  <si>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</si>
  <si>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</si>
  <si>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</si>
  <si>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</si>
  <si>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</si>
  <si>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</si>
  <si>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</si>
  <si>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</si>
  <si>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</si>
  <si>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</si>
  <si>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</si>
  <si>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</si>
  <si>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</si>
  <si>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</si>
  <si>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</si>
  <si>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</si>
  <si>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</si>
  <si>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</si>
  <si>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</si>
  <si>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</si>
  <si>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</si>
  <si>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</si>
  <si>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</si>
  <si>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</si>
  <si>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</si>
  <si>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</si>
  <si>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</si>
  <si>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</si>
  <si>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</si>
  <si>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</si>
  <si>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</si>
  <si>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</si>
  <si>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</si>
  <si>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</si>
  <si>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</si>
  <si>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</si>
  <si>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</si>
  <si>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</si>
  <si>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</si>
  <si>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</si>
  <si>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</si>
  <si>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</si>
  <si>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</si>
  <si>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</si>
  <si>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</si>
  <si>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</si>
  <si>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</si>
  <si>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</si>
  <si>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</si>
  <si>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</si>
  <si>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</si>
  <si>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</si>
  <si>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</si>
  <si>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</si>
  <si>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</si>
  <si>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</si>
  <si>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</si>
  <si>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</si>
  <si>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</si>
  <si>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</si>
  <si>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</si>
  <si>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</si>
  <si>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</si>
  <si>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</si>
  <si>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</si>
  <si>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</si>
  <si>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</si>
  <si>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</si>
  <si>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</si>
  <si>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</si>
  <si>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</si>
  <si>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</si>
  <si>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</si>
  <si>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</si>
  <si>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</si>
  <si>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</si>
  <si>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</si>
  <si>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</si>
  <si>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</si>
  <si>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</si>
  <si>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</si>
  <si>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</si>
  <si>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</si>
  <si>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</si>
  <si>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</si>
  <si>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</si>
  <si>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</si>
  <si>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</si>
  <si>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</si>
  <si>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</si>
  <si>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</si>
  <si>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</si>
  <si>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</si>
  <si>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</si>
  <si>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</si>
  <si>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</si>
  <si>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</si>
  <si>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</si>
  <si>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</si>
  <si>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</si>
  <si>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</si>
  <si>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</si>
  <si>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</si>
  <si>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</si>
  <si>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</si>
  <si>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</si>
  <si>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</si>
  <si>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</si>
  <si>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</si>
  <si>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</si>
  <si>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</si>
  <si>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</si>
  <si>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</si>
  <si>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</si>
  <si>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</si>
  <si>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</si>
  <si>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</si>
  <si>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</si>
  <si>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</si>
  <si>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</si>
  <si>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</si>
  <si>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</si>
  <si>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</si>
  <si>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</si>
  <si>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</si>
  <si>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</si>
  <si>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</si>
  <si>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</si>
  <si>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</si>
  <si>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</si>
  <si>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</si>
  <si>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</si>
  <si>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</si>
  <si>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</si>
  <si>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</si>
  <si>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</si>
  <si>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</si>
  <si>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</si>
  <si>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</si>
  <si>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</si>
  <si>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</si>
  <si>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</si>
  <si>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</si>
  <si>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</si>
  <si>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</si>
  <si>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</si>
  <si>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</si>
  <si>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</si>
  <si>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</si>
  <si>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</si>
  <si>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</si>
  <si>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</si>
  <si>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</si>
  <si>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</si>
  <si>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</si>
  <si>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</si>
  <si>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</si>
  <si>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</si>
  <si>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</si>
  <si>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</si>
  <si>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</si>
  <si>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</si>
  <si>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</si>
  <si>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</si>
  <si>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</si>
  <si>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</si>
  <si>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</si>
  <si>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</si>
  <si>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</si>
  <si>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</si>
  <si>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</si>
  <si>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</si>
  <si>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</si>
  <si>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</si>
  <si>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</si>
  <si>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</si>
  <si>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</si>
  <si>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</si>
  <si>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</si>
  <si>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</si>
  <si>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</si>
  <si>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</si>
  <si>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</si>
  <si>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</si>
  <si>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</si>
  <si>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</si>
  <si>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</si>
  <si>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</si>
  <si>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</si>
  <si>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</si>
  <si>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</si>
  <si>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</si>
  <si>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</si>
  <si>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</si>
  <si>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</si>
  <si>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</si>
  <si>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</si>
  <si>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</si>
  <si>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</si>
  <si>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</si>
  <si>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</si>
  <si>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</si>
  <si>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</si>
  <si>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</si>
  <si>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</si>
  <si>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</si>
  <si>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</si>
  <si>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</si>
  <si>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</si>
  <si>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</si>
  <si>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</si>
  <si>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</si>
  <si>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</si>
  <si>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</si>
  <si>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</si>
  <si>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</si>
  <si>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</si>
  <si>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</si>
  <si>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</si>
  <si>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</si>
  <si>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</si>
  <si>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</si>
  <si>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</si>
  <si>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</si>
  <si>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</si>
  <si>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</si>
  <si>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</si>
  <si>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</si>
  <si>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</si>
  <si>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</si>
  <si>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</si>
  <si>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</si>
  <si>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</si>
  <si>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</si>
  <si>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</si>
  <si>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</si>
  <si>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</si>
  <si>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</si>
  <si>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</si>
  <si>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</si>
  <si>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</si>
  <si>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</si>
  <si>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</si>
  <si>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</si>
  <si>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</si>
  <si>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</si>
  <si>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</si>
  <si>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</si>
  <si>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</si>
  <si>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</si>
  <si>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</si>
  <si>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</si>
  <si>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</si>
  <si>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</si>
  <si>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</si>
  <si>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</si>
  <si>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</si>
  <si>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</si>
  <si>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</si>
  <si>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</si>
  <si>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</si>
  <si>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</si>
  <si>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</si>
  <si>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</si>
  <si>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</si>
  <si>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</si>
  <si>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</si>
  <si>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</si>
  <si>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</si>
  <si>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</si>
  <si>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</si>
  <si>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</si>
  <si>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</si>
  <si>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</si>
  <si>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</si>
  <si>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</si>
  <si>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</si>
  <si>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</si>
  <si>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</si>
  <si>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</si>
  <si>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</si>
  <si>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</si>
  <si>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</si>
  <si>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</si>
  <si>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</si>
  <si>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</si>
  <si>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</si>
  <si>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</si>
  <si>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</si>
  <si>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</si>
  <si>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</si>
  <si>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</si>
  <si>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</si>
  <si>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</si>
  <si>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</si>
  <si>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</si>
  <si>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</si>
  <si>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</si>
  <si>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</si>
  <si>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</si>
  <si>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</si>
  <si>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</si>
  <si>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</si>
  <si>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</si>
  <si>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</si>
  <si>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</si>
  <si>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</si>
  <si>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</si>
  <si>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</si>
  <si>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</si>
  <si>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</si>
  <si>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</si>
  <si>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</si>
  <si>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</si>
  <si>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</si>
  <si>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</si>
  <si>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</si>
  <si>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</si>
  <si>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</si>
  <si>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</si>
  <si>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</si>
  <si>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</si>
  <si>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</si>
  <si>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</si>
  <si>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</si>
  <si>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</si>
  <si>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</si>
  <si>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</si>
  <si>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</si>
  <si>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</si>
  <si>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</si>
  <si>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</si>
  <si>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</si>
  <si>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</si>
  <si>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</si>
  <si>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</si>
  <si>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</si>
  <si>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</si>
  <si>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</si>
  <si>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</si>
  <si>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</si>
  <si>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</si>
  <si>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</si>
  <si>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</si>
  <si>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</si>
  <si>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</si>
  <si>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</si>
  <si>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</si>
  <si>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</si>
  <si>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</si>
  <si>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</si>
  <si>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</si>
  <si>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</si>
  <si>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</si>
  <si>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</si>
  <si>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</si>
  <si>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</si>
  <si>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</si>
  <si>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</si>
  <si>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</si>
  <si>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</si>
  <si>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</si>
  <si>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</si>
  <si>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</si>
  <si>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</si>
  <si>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</si>
  <si>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</si>
  <si>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</si>
  <si>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</si>
  <si>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</si>
  <si>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</si>
  <si>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</si>
  <si>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</si>
  <si>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</si>
  <si>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</si>
  <si>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</si>
  <si>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</si>
  <si>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</si>
  <si>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</si>
  <si>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</si>
  <si>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</si>
  <si>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</si>
  <si>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</si>
  <si>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</si>
  <si>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</si>
  <si>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</si>
  <si>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</si>
  <si>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</si>
  <si>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</si>
  <si>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</si>
  <si>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</si>
  <si>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</si>
  <si>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</si>
  <si>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</si>
  <si>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</si>
  <si>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</si>
  <si>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</si>
  <si>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</si>
  <si>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</si>
  <si>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</si>
  <si>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</si>
  <si>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</si>
  <si>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</si>
  <si>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</si>
  <si>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</si>
  <si>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</si>
  <si>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</si>
  <si>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</si>
  <si>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</si>
  <si>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</si>
  <si>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</si>
  <si>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</si>
  <si>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</si>
  <si>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</si>
  <si>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</si>
  <si>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</si>
  <si>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</si>
  <si>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</si>
  <si>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</si>
  <si>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</si>
  <si>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</si>
  <si>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</si>
  <si>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</si>
  <si>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</si>
  <si>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</si>
  <si>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</si>
  <si>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</si>
  <si>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</si>
  <si>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</si>
  <si>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</si>
  <si>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</si>
  <si>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</si>
  <si>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</si>
  <si>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</si>
  <si>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</si>
  <si>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</si>
  <si>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</si>
  <si>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</si>
  <si>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</si>
  <si>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</si>
  <si>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</si>
  <si>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</si>
  <si>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</si>
  <si>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</si>
  <si>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</si>
  <si>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</si>
  <si>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</si>
  <si>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</si>
  <si>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</si>
  <si>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</si>
  <si>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Williamson</t>
  </si>
  <si>
    <t>411 South Court Street</t>
  </si>
  <si>
    <t>Marion</t>
  </si>
  <si>
    <t>jami.hodge@wces.co</t>
  </si>
  <si>
    <t>Jami Hodge</t>
  </si>
  <si>
    <t>ATLAS CPAs &amp; Advisors LLC</t>
  </si>
  <si>
    <t>Karla R. Bryk</t>
  </si>
  <si>
    <t>P.O. Box 1728</t>
  </si>
  <si>
    <t>IL</t>
  </si>
  <si>
    <t>618-993-2647</t>
  </si>
  <si>
    <t>618-551-3088</t>
  </si>
  <si>
    <t>karla.bryk@atlasfirms.com</t>
  </si>
  <si>
    <t>618-993-2138</t>
  </si>
  <si>
    <t>618-997-3950</t>
  </si>
  <si>
    <t>No contracts</t>
  </si>
  <si>
    <t>Grant funds receivable 6/30/20</t>
  </si>
  <si>
    <t>Unmodified</t>
  </si>
  <si>
    <t>Lack of segregation of duties due to limited staff.</t>
  </si>
  <si>
    <t>Internal controls are limited due to small staff size.</t>
  </si>
  <si>
    <t>There is currently only one person performing many bookkeeping functions.</t>
  </si>
  <si>
    <t>Lack of segregation of duties.</t>
  </si>
  <si>
    <t>The causes are small staff size and limited resources.</t>
  </si>
  <si>
    <t>Consideration should be given to implementing more internal controls.</t>
  </si>
  <si>
    <t>This is not practical due to limited resources.</t>
  </si>
  <si>
    <t>2018-001</t>
  </si>
  <si>
    <t>No change from prior year.</t>
  </si>
  <si>
    <t>066-005337</t>
  </si>
  <si>
    <t xml:space="preserve">  Williamson Co CTE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</si>
</sst>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50C7AC2D-60C4-449B-BE7D-4F7D4964837C}"/>
    <cellStyle name="Normal 3 2 2 3" xfId="25" xr:uid="{81656C2E-49B1-471C-8628-4150B26376AB}"/>
    <cellStyle name="Normal 3 2 3" xfId="27" xr:uid="{EB2D8B63-5754-49EB-A76D-45191B347BA8}"/>
    <cellStyle name="Normal 3 2 4" xfId="22" xr:uid="{01F827B9-BA93-4F35-B21C-A05A54A800B9}"/>
    <cellStyle name="Normal 3 3" xfId="26" xr:uid="{6F717DB4-4D11-43B7-8737-BB4672DC5241}"/>
    <cellStyle name="Normal 3 4" xfId="21" xr:uid="{1DB38AA8-C7F8-430B-A96B-301190FFE619}"/>
    <cellStyle name="Normal 4" xfId="16" xr:uid="{00000000-0005-0000-0000-000008000000}"/>
    <cellStyle name="Normal 4 2" xfId="28" xr:uid="{B4D7183A-220F-4995-B3A3-F85C21E0C1E6}"/>
    <cellStyle name="Normal 4 3" xfId="23" xr:uid="{330E0BF6-C8F1-4AA2-B434-66D3EBA5DE13}"/>
    <cellStyle name="Normal 5" xfId="17" xr:uid="{00000000-0005-0000-0000-000009000000}"/>
    <cellStyle name="Normal 5 2" xfId="19" xr:uid="{00000000-0005-0000-0000-00000A000000}"/>
    <cellStyle name="Normal 5 2 2" xfId="29" xr:uid="{A21F111F-4042-4CE4-BD20-DC3D77DA577B}"/>
    <cellStyle name="Normal 5 3" xfId="24" xr:uid="{D5849A09-3808-4F4C-937E-168151825A33}"/>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87AB7DD-7BE5-44B1-8F96-B6CE11FC4DE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1</xdr:row>
          <xdr:rowOff>0</xdr:rowOff>
        </xdr:from>
        <xdr:to>
          <xdr:col>1</xdr:col>
          <xdr:colOff>2228850</xdr:colOff>
          <xdr:row>5</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7F97FFF6-8BCF-4346-93F4-17919E2014E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2051</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086">
        <v>21100801046</v>
      </c>
      <c r="B13" s="2087"/>
      <c r="C13" s="2087"/>
      <c r="D13" s="2087"/>
      <c r="E13" s="2087"/>
      <c r="F13" s="2087"/>
      <c r="G13" s="2087"/>
      <c r="H13" s="2088"/>
      <c r="I13" s="31"/>
      <c r="J13" s="30"/>
      <c r="K13" s="28"/>
      <c r="L13" s="30"/>
      <c r="M13" s="30"/>
      <c r="N13" s="30"/>
      <c r="O13" s="30"/>
      <c r="P13" s="30"/>
      <c r="Q13" s="30"/>
      <c r="R13" s="30"/>
      <c r="S13" s="30"/>
      <c r="T13" s="2091" t="s">
        <v>2057</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2052</v>
      </c>
      <c r="B15" s="2089"/>
      <c r="C15" s="2089"/>
      <c r="D15" s="2089"/>
      <c r="E15" s="2089"/>
      <c r="F15" s="2089"/>
      <c r="G15" s="2089"/>
      <c r="H15" s="2090"/>
      <c r="T15" s="2052" t="s">
        <v>2058</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2079</v>
      </c>
      <c r="B17" s="2114"/>
      <c r="C17" s="2114"/>
      <c r="D17" s="2114"/>
      <c r="E17" s="2114"/>
      <c r="F17" s="2114"/>
      <c r="G17" s="2114"/>
      <c r="H17" s="2115"/>
      <c r="T17" s="2101" t="s">
        <v>2059</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2053</v>
      </c>
      <c r="B19" s="2085"/>
      <c r="C19" s="2085"/>
      <c r="D19" s="2085"/>
      <c r="E19" s="2085"/>
      <c r="F19" s="2085"/>
      <c r="G19" s="2085"/>
      <c r="H19" s="2083"/>
      <c r="I19" s="30"/>
      <c r="J19" s="96"/>
      <c r="K19" s="40"/>
      <c r="L19" s="38"/>
      <c r="M19" s="109" t="s">
        <v>312</v>
      </c>
      <c r="P19" s="27"/>
      <c r="Q19" s="27"/>
      <c r="R19" s="27"/>
      <c r="S19" s="31"/>
      <c r="T19" s="2084" t="s">
        <v>2054</v>
      </c>
      <c r="U19" s="2082"/>
      <c r="V19" s="2082"/>
      <c r="W19" s="2083"/>
      <c r="X19" s="2099" t="s">
        <v>2060</v>
      </c>
      <c r="Y19" s="2100"/>
      <c r="Z19" s="2097">
        <v>62959</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2054</v>
      </c>
      <c r="B21" s="2082"/>
      <c r="C21" s="2082"/>
      <c r="D21" s="2082"/>
      <c r="E21" s="2082"/>
      <c r="F21" s="2082"/>
      <c r="G21" s="2082"/>
      <c r="H21" s="2083"/>
      <c r="I21" s="2107" t="s">
        <v>673</v>
      </c>
      <c r="J21" s="2070"/>
      <c r="K21" s="2070"/>
      <c r="L21" s="2070"/>
      <c r="M21" s="2070"/>
      <c r="N21" s="2070"/>
      <c r="O21" s="2070"/>
      <c r="P21" s="2070"/>
      <c r="Q21" s="2070"/>
      <c r="R21" s="2070"/>
      <c r="S21" s="2071"/>
      <c r="T21" s="2049" t="s">
        <v>2061</v>
      </c>
      <c r="U21" s="2050"/>
      <c r="V21" s="2050"/>
      <c r="W21" s="2050"/>
      <c r="X21" s="2063" t="s">
        <v>2062</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2055</v>
      </c>
      <c r="B23" s="2105"/>
      <c r="C23" s="2105"/>
      <c r="D23" s="2105"/>
      <c r="E23" s="2105"/>
      <c r="F23" s="2105"/>
      <c r="G23" s="2105"/>
      <c r="H23" s="2106"/>
      <c r="T23" s="2044" t="s">
        <v>2078</v>
      </c>
      <c r="U23" s="2045"/>
      <c r="V23" s="2045"/>
      <c r="W23" s="2045"/>
      <c r="X23" s="2060">
        <v>44469</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62959</v>
      </c>
      <c r="B25" s="2082"/>
      <c r="C25" s="2082"/>
      <c r="D25" s="2082"/>
      <c r="E25" s="2082"/>
      <c r="F25" s="2082"/>
      <c r="G25" s="2082"/>
      <c r="H25" s="2083"/>
      <c r="I25" s="110"/>
      <c r="J25" s="2148"/>
      <c r="K25" s="2148"/>
      <c r="L25" s="2148"/>
      <c r="M25" s="2148"/>
      <c r="N25" s="2148"/>
      <c r="O25" s="2148"/>
      <c r="P25" s="2148"/>
      <c r="Q25" s="2148"/>
      <c r="R25" s="2148"/>
      <c r="S25" s="2149"/>
      <c r="T25" s="2041" t="s">
        <v>2063</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2056</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2055</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2064</v>
      </c>
      <c r="B42" s="2131"/>
      <c r="C42" s="2132"/>
      <c r="D42" s="2145" t="s">
        <v>2065</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Normal="10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2" colorId="8" zoomScaleNormal="10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970487</v>
      </c>
      <c r="D12" s="1771">
        <v>26780</v>
      </c>
      <c r="E12" s="1771">
        <v>84922</v>
      </c>
      <c r="F12" s="1765">
        <f>(C12+D12)-E12</f>
        <v>912345</v>
      </c>
      <c r="G12" s="681">
        <v>10</v>
      </c>
      <c r="H12" s="619">
        <v>725439</v>
      </c>
      <c r="I12" s="619">
        <v>64818</v>
      </c>
      <c r="J12" s="619">
        <v>82967</v>
      </c>
      <c r="K12" s="1442">
        <f>(H12+I12)-J12</f>
        <v>707290</v>
      </c>
      <c r="L12" s="1442">
        <f>F12-K12</f>
        <v>205055</v>
      </c>
    </row>
    <row r="13" spans="1:14" ht="14.25" thickTop="1" thickBot="1" x14ac:dyDescent="0.25">
      <c r="A13" s="684" t="s">
        <v>1112</v>
      </c>
      <c r="B13" s="679">
        <v>252</v>
      </c>
      <c r="C13" s="1771">
        <v>239055</v>
      </c>
      <c r="D13" s="1771">
        <v>20965</v>
      </c>
      <c r="E13" s="1771">
        <v>4763</v>
      </c>
      <c r="F13" s="1765">
        <f>(C13+D13)-E13</f>
        <v>255257</v>
      </c>
      <c r="G13" s="681">
        <v>5</v>
      </c>
      <c r="H13" s="619">
        <v>158012</v>
      </c>
      <c r="I13" s="619">
        <v>32377</v>
      </c>
      <c r="J13" s="619">
        <v>4763</v>
      </c>
      <c r="K13" s="1442">
        <f>(H13+I13)-J13</f>
        <v>185626</v>
      </c>
      <c r="L13" s="1442">
        <f>F13-K13</f>
        <v>69631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1209542</v>
      </c>
      <c r="D16" s="1765">
        <f>SUM(D3,D5:D6,D8:D10,D12:D15)</f>
        <v>47745</v>
      </c>
      <c r="E16" s="1765">
        <f>SUM(E3,E5:E6,E8:E10,E12:E15)</f>
        <v>89685</v>
      </c>
      <c r="F16" s="1765">
        <f>SUM(F3,F5:F6,F8:F10,F12:F15)</f>
        <v>1167602</v>
      </c>
      <c r="G16" s="681"/>
      <c r="H16" s="1435">
        <f>SUM(H3,H6,H8:H10,H12:H14,)</f>
        <v>883451</v>
      </c>
      <c r="I16" s="1435">
        <f>SUM(I3,I6,I8:I10,I12:I14,)</f>
        <v>97195</v>
      </c>
      <c r="J16" s="1435">
        <f>SUM(J3,J6,J8:J10,J12:J14,)</f>
        <v>87730</v>
      </c>
      <c r="K16" s="1435">
        <f>(H16+I16)-J16</f>
        <v>892916</v>
      </c>
      <c r="L16" s="1435">
        <f>F16-K16</f>
        <v>274686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8906</v>
      </c>
      <c r="G17" s="676">
        <v>10</v>
      </c>
      <c r="H17" s="621"/>
      <c r="I17" s="1442">
        <f>F17/G17</f>
        <v>890.6</v>
      </c>
      <c r="J17" s="621"/>
      <c r="K17" s="638"/>
      <c r="L17" s="638"/>
    </row>
    <row r="18" spans="1:12" ht="14.25" thickTop="1" thickBot="1" x14ac:dyDescent="0.25">
      <c r="A18" s="1440" t="s">
        <v>680</v>
      </c>
      <c r="B18" s="1441"/>
      <c r="C18" s="623"/>
      <c r="D18" s="623"/>
      <c r="E18" s="623"/>
      <c r="F18" s="686"/>
      <c r="G18" s="687"/>
      <c r="H18" s="624"/>
      <c r="I18" s="1435">
        <f>SUM(I16,I17)</f>
        <v>98085.6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6" colorId="8" zoomScaleNormal="100" workbookViewId="0">
      <selection activeCell="F77" sqref="F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427147</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427147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136291</v>
      </c>
      <c r="G53" s="701"/>
    </row>
    <row r="54" spans="1:7" x14ac:dyDescent="0.2">
      <c r="A54" s="705" t="s">
        <v>456</v>
      </c>
      <c r="B54" s="705" t="s">
        <v>1459</v>
      </c>
      <c r="C54" s="724" t="s">
        <v>975</v>
      </c>
      <c r="D54" s="720" t="s">
        <v>1086</v>
      </c>
      <c r="E54" s="704"/>
      <c r="F54" s="1782">
        <f>'Expenditures 15-22'!G114</f>
        <v>47746</v>
      </c>
      <c r="G54" s="701"/>
    </row>
    <row r="55" spans="1:7" x14ac:dyDescent="0.2">
      <c r="A55" s="705" t="s">
        <v>456</v>
      </c>
      <c r="B55" s="705" t="s">
        <v>1460</v>
      </c>
      <c r="C55" s="724" t="s">
        <v>975</v>
      </c>
      <c r="D55" s="720" t="s">
        <v>288</v>
      </c>
      <c r="E55" s="704"/>
      <c r="F55" s="1782">
        <f>'Expenditures 15-22'!I114</f>
        <v>8906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192943</v>
      </c>
      <c r="G77" s="701"/>
    </row>
    <row r="78" spans="1:9" s="728" customFormat="1" ht="12" customHeight="1" thickTop="1" thickBot="1" x14ac:dyDescent="0.25">
      <c r="A78" s="1450"/>
      <c r="B78" s="1448"/>
      <c r="C78" s="1445"/>
      <c r="D78" s="1449" t="s">
        <v>2012</v>
      </c>
      <c r="E78" s="1447"/>
      <c r="F78" s="1788">
        <f>(F14-F77)</f>
        <v>234204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2904</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330857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117353</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451114</v>
      </c>
    </row>
    <row r="176" spans="1:7" ht="12" customHeight="1" x14ac:dyDescent="0.2">
      <c r="A176" s="1443"/>
      <c r="B176" s="1453"/>
      <c r="C176" s="1454"/>
      <c r="D176" s="1455" t="s">
        <v>2014</v>
      </c>
      <c r="E176" s="1456"/>
      <c r="F176" s="1793">
        <f>'PCTC-OEPP 27-28'!F78-F175</f>
        <v>-216910</v>
      </c>
    </row>
    <row r="177" spans="1:9" ht="12" customHeight="1" x14ac:dyDescent="0.2">
      <c r="A177" s="1443"/>
      <c r="B177" s="1453"/>
      <c r="C177" s="1454"/>
      <c r="D177" s="1455" t="s">
        <v>1794</v>
      </c>
      <c r="E177" s="1456"/>
      <c r="F177" s="1793">
        <f>'Cap Outlay Deprec 26'!I18</f>
        <v>98085.6</v>
      </c>
    </row>
    <row r="178" spans="1:9" ht="12" customHeight="1" x14ac:dyDescent="0.2">
      <c r="A178" s="1443"/>
      <c r="B178" s="1453"/>
      <c r="C178" s="1454"/>
      <c r="D178" s="1455" t="s">
        <v>2015</v>
      </c>
      <c r="E178" s="1456"/>
      <c r="F178" s="1793">
        <f>F176+F177</f>
        <v>-118824.4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4" sqref="A4:F5"/>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2066</v>
      </c>
      <c r="B18" s="1908"/>
      <c r="C18" s="2036" t="s">
        <v>2066</v>
      </c>
      <c r="D18" s="1886">
        <v>0</v>
      </c>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Normal="100" workbookViewId="0">
      <selection activeCell="E26" sqref="E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142711</v>
      </c>
      <c r="F19" s="1802"/>
      <c r="G19" s="1804">
        <f>'Expenditures 15-22'!K33-SUM('Expenditures 15-22'!G33,'Expenditures 15-22'!I33)+'Expenditures 15-22'!D229</f>
        <v>142711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3912</v>
      </c>
      <c r="F21" s="1805"/>
      <c r="G21" s="1808">
        <f>'Expenditures 15-22'!K42-SUM('Expenditures 15-22'!G42,'Expenditures 15-22'!I42)+'Expenditures 15-22'!K120-SUM('Expenditures 15-22'!G120,'Expenditures 15-22'!I120)+'Expenditures 15-22'!K180-SUM('Expenditures 15-22'!G180,'Expenditures 15-22'!I180)+'Expenditures 15-22'!D238</f>
        <v>3912</v>
      </c>
      <c r="H21" s="817"/>
      <c r="I21" s="157"/>
    </row>
    <row r="22" spans="1:9" s="542" customFormat="1" ht="12" customHeight="1" x14ac:dyDescent="0.2">
      <c r="A22" s="824" t="s">
        <v>560</v>
      </c>
      <c r="B22" s="825"/>
      <c r="C22" s="823">
        <v>2200</v>
      </c>
      <c r="D22" s="1805"/>
      <c r="E22" s="1807">
        <f>'Expenditures 15-22'!K47-SUM('Expenditures 15-22'!G47,'Expenditures 15-22'!I47)+'Expenditures 15-22'!D243</f>
        <v>14889</v>
      </c>
      <c r="F22" s="1805"/>
      <c r="G22" s="1808">
        <f>'Expenditures 15-22'!K47-SUM('Expenditures 15-22'!G47,'Expenditures 15-22'!I47)+'Expenditures 15-22'!D243</f>
        <v>14889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72692</v>
      </c>
      <c r="F23" s="1805"/>
      <c r="G23" s="1807">
        <f>'Expenditures 15-22'!K53-SUM('Expenditures 15-22'!G53,'Expenditures 15-22'!I53)+'Expenditures 15-22'!D257+'Expenditures 15-22'!K330-SUM('Expenditures 15-22'!G330,'Expenditures 15-22'!I330)</f>
        <v>72692</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234204</v>
      </c>
      <c r="F41" s="1809">
        <f>SUM(F19:F39)</f>
        <v>0</v>
      </c>
      <c r="G41" s="1809">
        <f>SUM(G19:G40)</f>
        <v>234204</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234204</v>
      </c>
      <c r="F44" s="1458" t="s">
        <v>471</v>
      </c>
      <c r="G44" s="1810">
        <f>G41</f>
        <v>234204</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selection activeCell="B9" sqref="B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Williamson Co CTE System</v>
      </c>
      <c r="D6" s="2404"/>
      <c r="E6" s="2404"/>
      <c r="F6" s="1482"/>
      <c r="G6" s="1507"/>
      <c r="L6" s="1507"/>
      <c r="M6" s="1855"/>
      <c r="N6" s="1855"/>
      <c r="O6" s="1855"/>
    </row>
    <row r="7" spans="1:15" ht="11.25" customHeight="1" thickBot="1" x14ac:dyDescent="0.3">
      <c r="A7" s="1480"/>
      <c r="B7" s="1481"/>
      <c r="C7" s="2405">
        <f>COVER!A13</f>
        <v>21100801046</v>
      </c>
      <c r="D7" s="2405"/>
      <c r="E7" s="2405"/>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N59" sqref="N59"/>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Williamson Co CTE System</v>
      </c>
      <c r="K6" s="2420"/>
      <c r="L6" s="2421"/>
      <c r="M6" s="838"/>
      <c r="N6" s="1998"/>
    </row>
    <row r="7" spans="1:14" x14ac:dyDescent="0.2">
      <c r="A7" s="2422" t="s">
        <v>864</v>
      </c>
      <c r="B7" s="2423"/>
      <c r="C7" s="2423"/>
      <c r="D7" s="2423"/>
      <c r="E7" s="2424"/>
      <c r="F7" s="839"/>
      <c r="G7" s="838"/>
      <c r="H7" s="838"/>
      <c r="I7" s="1924" t="s">
        <v>369</v>
      </c>
      <c r="J7" s="2425">
        <f>COVER!A13</f>
        <v>21100801046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72692</v>
      </c>
      <c r="F12" s="1942"/>
      <c r="G12" s="1968">
        <f>G68</f>
        <v>0</v>
      </c>
      <c r="H12" s="1944">
        <f t="shared" ref="H12:H18" si="0">SUM(E12:G12)</f>
        <v>72692</v>
      </c>
      <c r="I12" s="1943"/>
      <c r="J12" s="1942"/>
      <c r="K12" s="1943"/>
      <c r="L12" s="1944">
        <f t="shared" ref="L12:L18" si="1">SUM(I12:K12)</f>
        <v>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72692</v>
      </c>
      <c r="F19" s="1950">
        <f t="shared" si="2"/>
        <v>0</v>
      </c>
      <c r="G19" s="1950">
        <f t="shared" ref="G19" si="3">SUM(G12:G17)-G18</f>
        <v>0</v>
      </c>
      <c r="H19" s="1950">
        <f t="shared" si="2"/>
        <v>72692</v>
      </c>
      <c r="I19" s="1950">
        <f t="shared" si="2"/>
        <v>0</v>
      </c>
      <c r="J19" s="1950">
        <f t="shared" si="2"/>
        <v>0</v>
      </c>
      <c r="K19" s="1950">
        <f t="shared" si="2"/>
        <v>0</v>
      </c>
      <c r="L19" s="1950">
        <f t="shared" si="2"/>
        <v>0</v>
      </c>
      <c r="M19" s="838"/>
      <c r="N19" s="1998"/>
    </row>
    <row r="20" spans="1:14" ht="13.5" thickTop="1" x14ac:dyDescent="0.2">
      <c r="A20" s="2003">
        <v>9</v>
      </c>
      <c r="B20" s="2432" t="s">
        <v>2021</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Williamson Co CTE System</v>
      </c>
      <c r="M52" s="2420"/>
      <c r="N52" s="2450"/>
    </row>
    <row r="53" spans="1:14" x14ac:dyDescent="0.2">
      <c r="A53" s="1982"/>
      <c r="B53" s="1983"/>
      <c r="C53" s="1983"/>
      <c r="D53" s="1983"/>
      <c r="E53" s="1983"/>
      <c r="F53" s="1983"/>
      <c r="G53" s="1983"/>
      <c r="H53" s="1983"/>
      <c r="I53" s="1983"/>
      <c r="J53" s="1983"/>
      <c r="K53" s="1924" t="s">
        <v>369</v>
      </c>
      <c r="L53" s="2425">
        <f>J7</f>
        <v>21100801046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Normal="10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Williamson Co CTE System</v>
      </c>
    </row>
    <row r="65" spans="2:2" x14ac:dyDescent="0.2">
      <c r="B65" s="849">
        <f>COVER!A13</f>
        <v>21100801046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9" zoomScaleNormal="10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1314450</xdr:colOff>
                <xdr:row>1</xdr:row>
                <xdr:rowOff>0</xdr:rowOff>
              </from>
              <to>
                <xdr:col>1</xdr:col>
                <xdr:colOff>2228850</xdr:colOff>
                <xdr:row>5</xdr:row>
                <xdr:rowOff>123825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Normal="100" workbookViewId="0">
      <selection activeCell="A9" sqref="A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451114</v>
      </c>
      <c r="C8" s="1813">
        <f>'Acct Summary 7-8'!D8</f>
        <v>0</v>
      </c>
      <c r="D8" s="1813">
        <f>'Acct Summary 7-8'!F8</f>
        <v>0</v>
      </c>
      <c r="E8" s="1813">
        <f>'Acct Summary 7-8'!I8</f>
        <v>0</v>
      </c>
      <c r="F8" s="1813">
        <f>SUM(B8:E8)</f>
        <v>451114</v>
      </c>
    </row>
    <row r="9" spans="1:8" s="858" customFormat="1" ht="14.25" customHeight="1" thickBot="1" x14ac:dyDescent="0.25">
      <c r="A9" s="857" t="s">
        <v>1353</v>
      </c>
      <c r="B9" s="1814">
        <f>'Acct Summary 7-8'!C17</f>
        <v>427147</v>
      </c>
      <c r="C9" s="1814">
        <f>'Acct Summary 7-8'!D17</f>
        <v>0</v>
      </c>
      <c r="D9" s="1814">
        <f>'Acct Summary 7-8'!F17</f>
        <v>0</v>
      </c>
      <c r="E9" s="1813"/>
      <c r="F9" s="1813">
        <f>SUM(B9:E9)</f>
        <v>427147</v>
      </c>
    </row>
    <row r="10" spans="1:8" s="858" customFormat="1" ht="14.25" thickTop="1" thickBot="1" x14ac:dyDescent="0.25">
      <c r="A10" s="859" t="s">
        <v>1354</v>
      </c>
      <c r="B10" s="1815">
        <f>(B8-B9)</f>
        <v>23967</v>
      </c>
      <c r="C10" s="1815">
        <f>(C8-C9)</f>
        <v>0</v>
      </c>
      <c r="D10" s="1815">
        <f>(D8-D9)</f>
        <v>0</v>
      </c>
      <c r="E10" s="1814">
        <f>(E8-E9)</f>
        <v>0</v>
      </c>
      <c r="F10" s="1816">
        <f>SUM(F8-F9)</f>
        <v>23967</v>
      </c>
    </row>
    <row r="11" spans="1:8" s="858" customFormat="1" ht="14.25" thickTop="1" thickBot="1" x14ac:dyDescent="0.25">
      <c r="A11" s="860" t="s">
        <v>1903</v>
      </c>
      <c r="B11" s="1817">
        <f>'Acct Summary 7-8'!C81</f>
        <v>77607</v>
      </c>
      <c r="C11" s="1817">
        <f>'Acct Summary 7-8'!D81</f>
        <v>0</v>
      </c>
      <c r="D11" s="1817">
        <f>'Acct Summary 7-8'!F81</f>
        <v>0</v>
      </c>
      <c r="E11" s="1817">
        <f>'Acct Summary 7-8'!I81</f>
        <v>0</v>
      </c>
      <c r="F11" s="1818">
        <f>SUM(B11:E11)</f>
        <v>77607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Normal="10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ENTER ACCOUNTING INFO</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21100801046</v>
      </c>
      <c r="E2" s="1542">
        <v>2020</v>
      </c>
      <c r="F2" s="1542">
        <v>1</v>
      </c>
      <c r="G2" s="1899">
        <v>101000300</v>
      </c>
    </row>
    <row r="3" spans="1:7" ht="15" x14ac:dyDescent="0.25">
      <c r="A3" t="s">
        <v>950</v>
      </c>
      <c r="B3" s="135" t="str">
        <f>COVER!A15</f>
        <v>Williamson</v>
      </c>
      <c r="E3" s="1830" t="s">
        <v>1971</v>
      </c>
      <c r="F3" s="1830" t="s">
        <v>1970</v>
      </c>
      <c r="G3" s="1899">
        <v>101000400</v>
      </c>
    </row>
    <row r="4" spans="1:7" ht="15" x14ac:dyDescent="0.25">
      <c r="A4" t="s">
        <v>1000</v>
      </c>
      <c r="B4" s="135" t="str">
        <f>COVER!A17</f>
        <v xml:space="preserve">  Williamson Co CTE System</v>
      </c>
      <c r="E4" s="1828">
        <v>44119</v>
      </c>
      <c r="F4" s="1829">
        <v>44151</v>
      </c>
      <c r="G4" s="1899">
        <v>101000600</v>
      </c>
    </row>
    <row r="5" spans="1:7" ht="15" x14ac:dyDescent="0.25">
      <c r="A5" t="s">
        <v>699</v>
      </c>
      <c r="B5" s="135" t="str">
        <f>COVER!A38</f>
        <v>Jami Hodge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066-005337</v>
      </c>
      <c r="G15" s="1899">
        <v>402100400</v>
      </c>
    </row>
    <row r="16" spans="1:7" ht="15" x14ac:dyDescent="0.25">
      <c r="A16" t="s">
        <v>419</v>
      </c>
      <c r="B16" s="135" t="str">
        <f>COVER!T13</f>
        <v>ATLAS CPAs &amp; Advisors LLC</v>
      </c>
      <c r="G16" s="1899">
        <v>402100600</v>
      </c>
    </row>
    <row r="17" spans="1:7" ht="15" x14ac:dyDescent="0.25">
      <c r="A17" t="s">
        <v>878</v>
      </c>
      <c r="B17" s="135" t="str">
        <f>COVER!T15</f>
        <v>Karla R. Bryk</v>
      </c>
      <c r="G17" s="1899">
        <v>402100800</v>
      </c>
    </row>
    <row r="18" spans="1:7" ht="15" x14ac:dyDescent="0.25">
      <c r="A18" t="s">
        <v>1140</v>
      </c>
      <c r="B18" s="135" t="str">
        <f>COVER!T17</f>
        <v>P.O. Box 1728</v>
      </c>
      <c r="G18" s="1899">
        <v>102200300</v>
      </c>
    </row>
    <row r="19" spans="1:7" ht="15" x14ac:dyDescent="0.25">
      <c r="A19" t="s">
        <v>880</v>
      </c>
      <c r="B19" s="135" t="str">
        <f>COVER!T25</f>
        <v>karla.bryk@atlasfirms.com</v>
      </c>
      <c r="G19" s="1899">
        <v>102200400</v>
      </c>
    </row>
    <row r="20" spans="1:7" ht="15" x14ac:dyDescent="0.25">
      <c r="A20" t="s">
        <v>881</v>
      </c>
      <c r="B20" s="135" t="str">
        <f>COVER!T19</f>
        <v>Marion</v>
      </c>
      <c r="G20" s="1899">
        <v>102200600</v>
      </c>
    </row>
    <row r="21" spans="1:7" ht="15" x14ac:dyDescent="0.25">
      <c r="A21" t="s">
        <v>476</v>
      </c>
      <c r="B21" s="135" t="str">
        <f>COVER!X19</f>
        <v>IL</v>
      </c>
      <c r="G21" s="1899">
        <v>102200800</v>
      </c>
    </row>
    <row r="22" spans="1:7" ht="15" x14ac:dyDescent="0.25">
      <c r="A22" t="s">
        <v>882</v>
      </c>
      <c r="B22" s="135">
        <f>COVER!Z19</f>
        <v>62959</v>
      </c>
      <c r="G22" s="1899">
        <v>102300300</v>
      </c>
    </row>
    <row r="23" spans="1:7" ht="15" x14ac:dyDescent="0.25">
      <c r="A23" t="s">
        <v>1142</v>
      </c>
      <c r="B23" s="135" t="str">
        <f>COVER!T21</f>
        <v>618-993-2647</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143297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65690</v>
      </c>
      <c r="C91" s="2" t="s">
        <v>569</v>
      </c>
      <c r="D91" s="2" t="str">
        <f t="shared" si="0"/>
        <v>Error?</v>
      </c>
      <c r="G91" s="1899">
        <v>102640400</v>
      </c>
    </row>
    <row r="92" spans="1:7" ht="15" x14ac:dyDescent="0.25">
      <c r="A92" s="5">
        <v>31</v>
      </c>
      <c r="B92" s="1832">
        <f>'Assets-Liab 5-6'!C39</f>
        <v>77607</v>
      </c>
      <c r="D92" s="2" t="str">
        <f t="shared" si="0"/>
        <v>Error?</v>
      </c>
      <c r="G92" s="1899">
        <v>102640600</v>
      </c>
    </row>
    <row r="93" spans="1:7" ht="15" x14ac:dyDescent="0.25">
      <c r="A93" s="5">
        <v>32</v>
      </c>
      <c r="B93" s="1832">
        <f>'Assets-Liab 5-6'!C41</f>
        <v>143297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274686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274686</v>
      </c>
      <c r="C279" s="2" t="s">
        <v>569</v>
      </c>
      <c r="D279" s="2" t="str">
        <f t="shared" si="3"/>
        <v>Error?</v>
      </c>
    </row>
    <row r="280" spans="1:4" x14ac:dyDescent="0.2">
      <c r="A280" s="5">
        <v>219</v>
      </c>
      <c r="B280" s="1832">
        <f>'Assets-Liab 5-6'!M40</f>
        <v>274686</v>
      </c>
      <c r="D280" s="2" t="str">
        <f t="shared" si="3"/>
        <v>Error?</v>
      </c>
    </row>
    <row r="281" spans="1:4" x14ac:dyDescent="0.2">
      <c r="A281" s="5">
        <v>220</v>
      </c>
      <c r="B281" s="1832">
        <f>'Assets-Liab 5-6'!M41</f>
        <v>274686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59707</v>
      </c>
      <c r="D733" s="2" t="str">
        <f t="shared" si="10"/>
        <v>Error?</v>
      </c>
    </row>
    <row r="734" spans="1:4" x14ac:dyDescent="0.2">
      <c r="A734" s="5">
        <v>673</v>
      </c>
      <c r="B734" s="1832">
        <f>'Expenditures 15-22'!C53</f>
        <v>59707</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59707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59707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7190</v>
      </c>
      <c r="D791" s="2" t="str">
        <f t="shared" si="11"/>
        <v>Error?</v>
      </c>
    </row>
    <row r="792" spans="1:4" x14ac:dyDescent="0.2">
      <c r="A792" s="5">
        <v>731</v>
      </c>
      <c r="B792" s="1832">
        <f>'Expenditures 15-22'!D53</f>
        <v>7190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7190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7190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15928</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15928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3912</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3912</v>
      </c>
      <c r="C843" s="2" t="s">
        <v>569</v>
      </c>
      <c r="D843" s="2" t="str">
        <f t="shared" si="12"/>
        <v>Error?</v>
      </c>
    </row>
    <row r="844" spans="1:4" x14ac:dyDescent="0.2">
      <c r="A844" s="5">
        <v>783</v>
      </c>
      <c r="B844" s="1832">
        <f>'Expenditures 15-22'!E44</f>
        <v>13822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925</v>
      </c>
      <c r="D846" s="2" t="str">
        <f t="shared" si="12"/>
        <v>Error?</v>
      </c>
    </row>
    <row r="847" spans="1:4" x14ac:dyDescent="0.2">
      <c r="A847" s="5">
        <v>786</v>
      </c>
      <c r="B847" s="1832">
        <f>'Expenditures 15-22'!E47</f>
        <v>14747</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5582</v>
      </c>
      <c r="D849" s="2" t="str">
        <f t="shared" si="12"/>
        <v>Error?</v>
      </c>
    </row>
    <row r="850" spans="1:4" x14ac:dyDescent="0.2">
      <c r="A850" s="5">
        <v>789</v>
      </c>
      <c r="B850" s="1832">
        <f>'Expenditures 15-22'!E53</f>
        <v>5582</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24241</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40169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126783</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126783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142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213</v>
      </c>
      <c r="D907" s="2" t="str">
        <f t="shared" si="13"/>
        <v>Error?</v>
      </c>
    </row>
    <row r="908" spans="1:4" x14ac:dyDescent="0.2">
      <c r="A908" s="5">
        <v>847</v>
      </c>
      <c r="B908" s="1832">
        <f>'Expenditures 15-22'!F53</f>
        <v>213</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355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127138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47746</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47746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47746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136291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136291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199363</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199363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3912</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3912</v>
      </c>
      <c r="C1115" s="2" t="s">
        <v>569</v>
      </c>
      <c r="D1115" s="2" t="str">
        <f t="shared" si="16"/>
        <v>Error?</v>
      </c>
    </row>
    <row r="1116" spans="1:4" x14ac:dyDescent="0.2">
      <c r="A1116" s="5">
        <v>1055</v>
      </c>
      <c r="B1116" s="1832">
        <f>'Expenditures 15-22'!K44</f>
        <v>13964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925</v>
      </c>
      <c r="C1118" s="2" t="s">
        <v>569</v>
      </c>
      <c r="D1118" s="2" t="str">
        <f t="shared" si="16"/>
        <v>Error?</v>
      </c>
    </row>
    <row r="1119" spans="1:4" x14ac:dyDescent="0.2">
      <c r="A1119" s="5">
        <v>1058</v>
      </c>
      <c r="B1119" s="1832">
        <f>'Expenditures 15-22'!K47</f>
        <v>14889</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72692</v>
      </c>
      <c r="C1121" s="2" t="s">
        <v>569</v>
      </c>
      <c r="D1121" s="2" t="str">
        <f t="shared" si="16"/>
        <v>Error?</v>
      </c>
    </row>
    <row r="1122" spans="1:4" x14ac:dyDescent="0.2">
      <c r="A1122" s="5">
        <v>1061</v>
      </c>
      <c r="B1122" s="1832">
        <f>'Expenditures 15-22'!K53</f>
        <v>72692</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91493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136291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427147</v>
      </c>
      <c r="C1152" s="2" t="s">
        <v>569</v>
      </c>
      <c r="D1152" s="2" t="str">
        <f t="shared" si="17"/>
        <v>Error?</v>
      </c>
    </row>
    <row r="1153" spans="1:4" x14ac:dyDescent="0.2">
      <c r="A1153" s="5">
        <v>1092</v>
      </c>
      <c r="B1153" s="1832">
        <f>'Expenditures 15-22'!K115</f>
        <v>23967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53640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77607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970487</v>
      </c>
      <c r="D2011" s="2" t="str">
        <f t="shared" si="30"/>
        <v>Error?</v>
      </c>
    </row>
    <row r="2012" spans="1:4" x14ac:dyDescent="0.2">
      <c r="A2012" s="5">
        <v>1951</v>
      </c>
      <c r="B2012" s="1832">
        <f>'Cap Outlay Deprec 26'!C13</f>
        <v>239055</v>
      </c>
      <c r="D2012" s="2" t="str">
        <f t="shared" si="30"/>
        <v>Error?</v>
      </c>
    </row>
    <row r="2013" spans="1:4" x14ac:dyDescent="0.2">
      <c r="A2013" s="5">
        <v>1952</v>
      </c>
      <c r="B2013" s="1832">
        <f>'Cap Outlay Deprec 26'!C16</f>
        <v>1209542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26780</v>
      </c>
      <c r="D2017" s="2" t="str">
        <f t="shared" si="30"/>
        <v>Error?</v>
      </c>
    </row>
    <row r="2018" spans="1:4" x14ac:dyDescent="0.2">
      <c r="A2018" s="5">
        <v>1957</v>
      </c>
      <c r="B2018" s="1832">
        <f>'Cap Outlay Deprec 26'!D13</f>
        <v>20965</v>
      </c>
      <c r="D2018" s="2" t="str">
        <f t="shared" si="30"/>
        <v>Error?</v>
      </c>
    </row>
    <row r="2019" spans="1:4" x14ac:dyDescent="0.2">
      <c r="A2019" s="5">
        <v>1958</v>
      </c>
      <c r="B2019" s="1832">
        <f>'Cap Outlay Deprec 26'!D16</f>
        <v>47745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84922</v>
      </c>
      <c r="D2023" s="2" t="str">
        <f t="shared" si="30"/>
        <v>Error?</v>
      </c>
    </row>
    <row r="2024" spans="1:4" x14ac:dyDescent="0.2">
      <c r="A2024" s="5">
        <v>1963</v>
      </c>
      <c r="B2024" s="1832">
        <f>'Cap Outlay Deprec 26'!E13</f>
        <v>4763</v>
      </c>
      <c r="D2024" s="2" t="str">
        <f t="shared" si="30"/>
        <v>Error?</v>
      </c>
    </row>
    <row r="2025" spans="1:4" x14ac:dyDescent="0.2">
      <c r="A2025" s="5">
        <v>1964</v>
      </c>
      <c r="B2025" s="1832">
        <f>'Cap Outlay Deprec 26'!E16</f>
        <v>89685</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912345</v>
      </c>
      <c r="C2029" s="2" t="s">
        <v>569</v>
      </c>
      <c r="D2029" s="2" t="str">
        <f t="shared" si="30"/>
        <v>Error?</v>
      </c>
    </row>
    <row r="2030" spans="1:4" x14ac:dyDescent="0.2">
      <c r="A2030" s="5">
        <v>1969</v>
      </c>
      <c r="B2030" s="1832">
        <f>'Cap Outlay Deprec 26'!F13</f>
        <v>255257</v>
      </c>
      <c r="C2030" s="2" t="s">
        <v>569</v>
      </c>
      <c r="D2030" s="2" t="str">
        <f t="shared" si="30"/>
        <v>Error?</v>
      </c>
    </row>
    <row r="2031" spans="1:4" x14ac:dyDescent="0.2">
      <c r="A2031" s="5">
        <v>1970</v>
      </c>
      <c r="B2031" s="1832">
        <f>'Cap Outlay Deprec 26'!F16</f>
        <v>1167602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725439</v>
      </c>
      <c r="D2035" s="2" t="str">
        <f t="shared" si="30"/>
        <v>Error?</v>
      </c>
    </row>
    <row r="2036" spans="1:4" x14ac:dyDescent="0.2">
      <c r="A2036" s="5">
        <v>1975</v>
      </c>
      <c r="B2036" s="1832">
        <f>'Cap Outlay Deprec 26'!H13</f>
        <v>158012</v>
      </c>
      <c r="D2036" s="2" t="str">
        <f t="shared" si="30"/>
        <v>Error?</v>
      </c>
    </row>
    <row r="2037" spans="1:4" x14ac:dyDescent="0.2">
      <c r="A2037" s="5">
        <v>1976</v>
      </c>
      <c r="B2037" s="1832">
        <f>'Cap Outlay Deprec 26'!H16</f>
        <v>883451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64818</v>
      </c>
      <c r="D2041" s="2" t="str">
        <f t="shared" si="30"/>
        <v>Error?</v>
      </c>
    </row>
    <row r="2042" spans="1:4" x14ac:dyDescent="0.2">
      <c r="A2042" s="5">
        <v>1981</v>
      </c>
      <c r="B2042" s="1832">
        <f>'Cap Outlay Deprec 26'!I13</f>
        <v>32377</v>
      </c>
      <c r="D2042" s="2" t="str">
        <f t="shared" si="30"/>
        <v>Error?</v>
      </c>
    </row>
    <row r="2043" spans="1:4" x14ac:dyDescent="0.2">
      <c r="A2043" s="5">
        <v>1982</v>
      </c>
      <c r="B2043" s="1832">
        <f>'Cap Outlay Deprec 26'!I16</f>
        <v>97195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82967</v>
      </c>
      <c r="D2047" s="2" t="str">
        <f t="shared" ref="D2047:D2110" si="31">IF(ISBLANK(B2047),"OK",IF(A2047-B2047=0,"OK","Error?"))</f>
        <v>Error?</v>
      </c>
    </row>
    <row r="2048" spans="1:4" x14ac:dyDescent="0.2">
      <c r="A2048" s="5">
        <v>1987</v>
      </c>
      <c r="B2048" s="1832">
        <f>'Cap Outlay Deprec 26'!J13</f>
        <v>4763</v>
      </c>
      <c r="D2048" s="2" t="str">
        <f t="shared" si="31"/>
        <v>Error?</v>
      </c>
    </row>
    <row r="2049" spans="1:4" x14ac:dyDescent="0.2">
      <c r="A2049" s="5">
        <v>1988</v>
      </c>
      <c r="B2049" s="1832">
        <f>'Cap Outlay Deprec 26'!J16</f>
        <v>87730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707290</v>
      </c>
      <c r="C2053" s="2" t="s">
        <v>569</v>
      </c>
      <c r="D2053" s="2" t="str">
        <f t="shared" si="31"/>
        <v>Error?</v>
      </c>
    </row>
    <row r="2054" spans="1:4" x14ac:dyDescent="0.2">
      <c r="A2054" s="5">
        <v>1993</v>
      </c>
      <c r="B2054" s="1832">
        <f>'Cap Outlay Deprec 26'!K13</f>
        <v>185626</v>
      </c>
      <c r="C2054" s="2" t="s">
        <v>569</v>
      </c>
      <c r="D2054" s="2" t="str">
        <f t="shared" si="31"/>
        <v>Error?</v>
      </c>
    </row>
    <row r="2055" spans="1:4" x14ac:dyDescent="0.2">
      <c r="A2055" s="5">
        <v>1994</v>
      </c>
      <c r="B2055" s="1832">
        <f>'Cap Outlay Deprec 26'!K16</f>
        <v>892916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205055</v>
      </c>
      <c r="C2059" s="2" t="s">
        <v>569</v>
      </c>
      <c r="D2059" s="2" t="str">
        <f t="shared" si="31"/>
        <v>Error?</v>
      </c>
    </row>
    <row r="2060" spans="1:4" x14ac:dyDescent="0.2">
      <c r="A2060" s="5">
        <v>1999</v>
      </c>
      <c r="B2060" s="1832">
        <f>'Cap Outlay Deprec 26'!L13</f>
        <v>69631</v>
      </c>
      <c r="C2060" s="2" t="s">
        <v>569</v>
      </c>
      <c r="D2060" s="2" t="str">
        <f t="shared" si="31"/>
        <v>Error?</v>
      </c>
    </row>
    <row r="2061" spans="1:4" x14ac:dyDescent="0.2">
      <c r="A2061" s="5">
        <v>2000</v>
      </c>
      <c r="B2061" s="1832">
        <f>'Cap Outlay Deprec 26'!L16</f>
        <v>274686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136291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136291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2904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330857</v>
      </c>
      <c r="C2553" s="2" t="s">
        <v>569</v>
      </c>
      <c r="D2553" s="2" t="str">
        <f t="shared" si="38"/>
        <v>Error?</v>
      </c>
    </row>
    <row r="2554" spans="1:4" x14ac:dyDescent="0.2">
      <c r="A2554" s="5">
        <v>2493</v>
      </c>
      <c r="B2554" s="1832">
        <f>'Acct Summary 7-8'!C7</f>
        <v>117353</v>
      </c>
      <c r="C2554" s="2" t="s">
        <v>569</v>
      </c>
      <c r="D2554" s="2" t="str">
        <f t="shared" si="38"/>
        <v>Error?</v>
      </c>
    </row>
    <row r="2555" spans="1:4" x14ac:dyDescent="0.2">
      <c r="A2555" s="5">
        <v>2494</v>
      </c>
      <c r="B2555" s="1832">
        <f>'Acct Summary 7-8'!C8</f>
        <v>451114</v>
      </c>
      <c r="C2555" s="2" t="s">
        <v>569</v>
      </c>
      <c r="D2555" s="2" t="str">
        <f t="shared" si="38"/>
        <v>Error?</v>
      </c>
    </row>
    <row r="2556" spans="1:4" x14ac:dyDescent="0.2">
      <c r="A2556" s="5">
        <v>2495</v>
      </c>
      <c r="B2556" s="1832">
        <f>'Acct Summary 7-8'!C12</f>
        <v>199363</v>
      </c>
      <c r="C2556" s="2" t="s">
        <v>569</v>
      </c>
      <c r="D2556" s="2" t="str">
        <f t="shared" si="38"/>
        <v>Error?</v>
      </c>
    </row>
    <row r="2557" spans="1:4" x14ac:dyDescent="0.2">
      <c r="A2557" s="5">
        <v>2496</v>
      </c>
      <c r="B2557" s="1832">
        <f>'Acct Summary 7-8'!C13</f>
        <v>91493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136291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427147</v>
      </c>
      <c r="C2561" s="2" t="s">
        <v>569</v>
      </c>
      <c r="D2561" s="2" t="str">
        <f t="shared" si="39"/>
        <v>Error?</v>
      </c>
    </row>
    <row r="2562" spans="1:4" x14ac:dyDescent="0.2">
      <c r="A2562" s="5">
        <v>2501</v>
      </c>
      <c r="B2562" s="1832">
        <f>'Acct Summary 7-8'!C20</f>
        <v>23967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136291</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136291</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23967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112303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451114</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427147</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77607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2904</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2904</v>
      </c>
      <c r="C5120" s="2" t="s">
        <v>569</v>
      </c>
      <c r="D5120" s="2" t="str">
        <f t="shared" si="79"/>
        <v>Error?</v>
      </c>
    </row>
    <row r="5121" spans="1:4" x14ac:dyDescent="0.2">
      <c r="A5121" s="5">
        <v>5060</v>
      </c>
      <c r="B5121" s="1832">
        <f>'Revenues 9-14'!C109</f>
        <v>2904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330857</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330857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330857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330857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117353</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117353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117353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117353</v>
      </c>
      <c r="C5326" s="2" t="s">
        <v>569</v>
      </c>
      <c r="D5326" s="2" t="str">
        <f t="shared" si="82"/>
        <v>Error?</v>
      </c>
    </row>
    <row r="5327" spans="1:5" x14ac:dyDescent="0.2">
      <c r="A5327" s="5">
        <v>5266</v>
      </c>
      <c r="B5327" s="1832">
        <f>'Revenues 9-14'!C268</f>
        <v>451114</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30994</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48503</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16684</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503</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23967</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0.30882523483706364</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8906</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8906</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8906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8906</v>
      </c>
      <c r="D7624" s="2" t="str">
        <f t="shared" si="124"/>
        <v>Error?</v>
      </c>
      <c r="E7624" s="2" t="s">
        <v>19</v>
      </c>
    </row>
    <row r="7625" spans="1:5" x14ac:dyDescent="0.2">
      <c r="A7625">
        <f t="shared" si="123"/>
        <v>7564</v>
      </c>
      <c r="B7625" s="1832">
        <f>'Cap Outlay Deprec 26'!I17</f>
        <v>890.6</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98085.6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427147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192943</v>
      </c>
      <c r="D7834" s="2" t="str">
        <f t="shared" si="129"/>
        <v>Error?</v>
      </c>
      <c r="E7834" s="4" t="s">
        <v>1998</v>
      </c>
    </row>
    <row r="7835" spans="1:5" x14ac:dyDescent="0.2">
      <c r="A7835">
        <v>7774</v>
      </c>
      <c r="B7835" s="1832">
        <f>'PCTC-OEPP 27-28'!F78</f>
        <v>234204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2904</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330857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117353</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451114</v>
      </c>
      <c r="D7877" s="2" t="str">
        <f t="shared" si="129"/>
        <v>Error?</v>
      </c>
      <c r="E7877" s="4" t="s">
        <v>1998</v>
      </c>
    </row>
    <row r="7878" spans="1:5" x14ac:dyDescent="0.2">
      <c r="A7878">
        <v>7817</v>
      </c>
      <c r="B7878" s="1832">
        <f>'PCTC-OEPP 27-28'!F176</f>
        <v>-216910</v>
      </c>
      <c r="D7878" s="2" t="str">
        <f t="shared" si="129"/>
        <v>Error?</v>
      </c>
      <c r="E7878" s="4" t="s">
        <v>1998</v>
      </c>
    </row>
    <row r="7879" spans="1:5" x14ac:dyDescent="0.2">
      <c r="A7879">
        <v>7818</v>
      </c>
      <c r="B7879" s="1832">
        <f>'PCTC-OEPP 27-28'!F178</f>
        <v>-118824.4</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Normal="100" workbookViewId="0">
      <selection activeCell="A17" sqref="A17:F1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Williamson Co CTE System</v>
      </c>
      <c r="B7" s="2536"/>
      <c r="C7" s="2536"/>
      <c r="D7" s="2537"/>
      <c r="E7" s="2538">
        <f>COVER!A13</f>
        <v>21100801046</v>
      </c>
      <c r="F7" s="2539"/>
      <c r="G7" s="2545" t="str">
        <f>COVER!T23</f>
        <v>066-005337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ATLAS CPAs &amp; Advisors LLC</v>
      </c>
      <c r="H9" s="2551"/>
      <c r="I9" s="2551"/>
      <c r="J9" s="2551"/>
      <c r="K9" s="2551"/>
      <c r="L9" s="2552"/>
    </row>
    <row r="10" spans="1:29" ht="13.5" customHeight="1" x14ac:dyDescent="0.2">
      <c r="A10" s="2524" t="str">
        <f>COVER!A38</f>
        <v>Jami Hodge</v>
      </c>
      <c r="B10" s="2525"/>
      <c r="C10" s="2525"/>
      <c r="D10" s="2525"/>
      <c r="E10" s="2525"/>
      <c r="F10" s="2526"/>
      <c r="G10" s="2518" t="str">
        <f>COVER!T17</f>
        <v>P.O. Box 1728</v>
      </c>
      <c r="H10" s="2519"/>
      <c r="I10" s="2519"/>
      <c r="J10" s="2519"/>
      <c r="K10" s="2519"/>
      <c r="L10" s="2520"/>
    </row>
    <row r="11" spans="1:29" ht="13.5" customHeight="1" x14ac:dyDescent="0.2">
      <c r="A11" s="963" t="s">
        <v>1502</v>
      </c>
      <c r="B11" s="964"/>
      <c r="C11" s="965"/>
      <c r="D11" s="970"/>
      <c r="E11" s="965"/>
      <c r="F11" s="969"/>
      <c r="G11" s="2518" t="str">
        <f>COVER!T19</f>
        <v>Marion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karla.bryk@atlasfirms.com</v>
      </c>
      <c r="J13" s="2531"/>
      <c r="K13" s="2531"/>
      <c r="L13" s="2532"/>
    </row>
    <row r="14" spans="1:29" ht="13.5" customHeight="1" x14ac:dyDescent="0.2">
      <c r="A14" s="2518" t="str">
        <f>COVER!A19</f>
        <v>411 South Court Street</v>
      </c>
      <c r="B14" s="2519"/>
      <c r="C14" s="2519"/>
      <c r="D14" s="2519"/>
      <c r="E14" s="2519"/>
      <c r="F14" s="2520"/>
      <c r="G14" s="974" t="s">
        <v>1175</v>
      </c>
      <c r="H14" s="972"/>
      <c r="I14" s="972"/>
      <c r="J14" s="972"/>
      <c r="K14" s="972"/>
      <c r="L14" s="973"/>
    </row>
    <row r="15" spans="1:29" ht="13.5" customHeight="1" x14ac:dyDescent="0.2">
      <c r="A15" s="2518" t="str">
        <f>COVER!A21</f>
        <v>Marion</v>
      </c>
      <c r="B15" s="2519"/>
      <c r="C15" s="2519"/>
      <c r="D15" s="2519"/>
      <c r="E15" s="2519"/>
      <c r="F15" s="2520"/>
      <c r="G15" s="2515" t="str">
        <f>COVER!T15</f>
        <v>Karla R. Bryk</v>
      </c>
      <c r="H15" s="2516"/>
      <c r="I15" s="2516"/>
      <c r="J15" s="2516"/>
      <c r="K15" s="2516"/>
      <c r="L15" s="2517"/>
    </row>
    <row r="16" spans="1:29" ht="12.2" customHeight="1" x14ac:dyDescent="0.2">
      <c r="A16" s="2541">
        <f>COVER!A25</f>
        <v>62959</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618-993-2647</v>
      </c>
      <c r="H18" s="2536"/>
      <c r="I18" s="2536"/>
      <c r="J18" s="2536"/>
      <c r="K18" s="2535" t="str">
        <f>COVER!X21</f>
        <v>618-551-3088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Normal="100"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Williamson Co CTE System</v>
      </c>
      <c r="B1" s="2558"/>
      <c r="C1" s="2558"/>
      <c r="D1" s="2558"/>
    </row>
    <row r="2" spans="1:11" s="991" customFormat="1" ht="12.75" x14ac:dyDescent="0.2">
      <c r="A2" s="2559">
        <f>'Single Audit Cover'!E7</f>
        <v>21100801046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Normal="100" zoomScaleSheetLayoutView="100" workbookViewId="0">
      <selection activeCell="D23" sqref="D2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Williamson Co CTE System</v>
      </c>
      <c r="B1" s="2562"/>
      <c r="C1" s="2562"/>
      <c r="D1" s="2562"/>
      <c r="E1" s="2562"/>
    </row>
    <row r="2" spans="1:5" x14ac:dyDescent="0.2">
      <c r="A2" s="2563">
        <f>'Single Audit Cover'!E7</f>
        <v>21100801046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117353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117353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t="s">
        <v>2067</v>
      </c>
      <c r="B24" s="2564"/>
      <c r="D24" s="1044">
        <v>-1637</v>
      </c>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115716</v>
      </c>
    </row>
    <row r="33" spans="1:4" x14ac:dyDescent="0.2">
      <c r="D33" s="1045"/>
    </row>
    <row r="34" spans="1:4" x14ac:dyDescent="0.2">
      <c r="A34" s="295" t="s">
        <v>1221</v>
      </c>
    </row>
    <row r="35" spans="1:4" x14ac:dyDescent="0.2">
      <c r="A35" s="295" t="s">
        <v>1220</v>
      </c>
      <c r="B35" s="1034" t="s">
        <v>1219</v>
      </c>
      <c r="D35" s="1046">
        <v>115716</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115716</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Williamson Co CTE System</v>
      </c>
      <c r="C1" s="2566"/>
      <c r="D1" s="2566"/>
      <c r="E1" s="2566"/>
      <c r="F1" s="2566"/>
      <c r="G1" s="2566"/>
      <c r="H1" s="2566"/>
      <c r="I1" s="2566"/>
      <c r="J1" s="2566"/>
      <c r="K1" s="2566"/>
      <c r="L1" s="2566"/>
      <c r="M1" s="2566"/>
    </row>
    <row r="2" spans="2:14" ht="15" x14ac:dyDescent="0.2">
      <c r="B2" s="2567">
        <f>'Single Audit Cover'!E7</f>
        <v>21100801046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Williamson Co CTE System</v>
      </c>
      <c r="B1" s="2579"/>
      <c r="C1" s="2579"/>
      <c r="D1" s="2579"/>
      <c r="E1" s="2579"/>
      <c r="F1" s="2579"/>
    </row>
    <row r="2" spans="1:7" ht="13.5" customHeight="1" x14ac:dyDescent="0.2">
      <c r="A2" s="2567">
        <f>'Single Audit Cover'!E7</f>
        <v>21100801046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2057</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23" sqref="G2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Williamson Co CTE System</v>
      </c>
      <c r="C1" s="2594"/>
      <c r="D1" s="2594"/>
      <c r="E1" s="2594"/>
      <c r="F1" s="2594"/>
      <c r="G1" s="2594"/>
      <c r="H1" s="2594"/>
      <c r="I1" s="2594"/>
      <c r="J1" s="1178"/>
    </row>
    <row r="2" spans="2:10" s="295" customFormat="1" ht="12.75" customHeight="1" x14ac:dyDescent="0.2">
      <c r="B2" s="2595">
        <f>'Single Audit Cover'!E7</f>
        <v>21100801046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2068</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2051</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2051</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2051</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1"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Williamson Co CTE System</v>
      </c>
      <c r="C1" s="2593"/>
      <c r="D1" s="2593"/>
      <c r="E1" s="2593"/>
      <c r="F1" s="2593"/>
      <c r="G1" s="2593"/>
      <c r="H1" s="2593"/>
      <c r="I1" s="2593"/>
      <c r="J1" s="2593"/>
      <c r="K1" s="2593"/>
      <c r="L1" s="1144"/>
      <c r="M1" s="1144"/>
    </row>
    <row r="2" spans="1:13" ht="12" customHeight="1" x14ac:dyDescent="0.2">
      <c r="B2" s="2595">
        <f>'Single Audit Cover'!E7</f>
        <v>21100801046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2069</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2070</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t="s">
        <v>2071</v>
      </c>
      <c r="C20" s="2612"/>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2072</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2073</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2074</v>
      </c>
      <c r="C29" s="2608"/>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2075</v>
      </c>
      <c r="C32" s="2608"/>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Williamson Co CTE System</v>
      </c>
      <c r="C1" s="2616"/>
      <c r="D1" s="2616"/>
      <c r="E1" s="2616"/>
      <c r="F1" s="2616"/>
      <c r="G1" s="2616"/>
      <c r="H1" s="2616"/>
      <c r="I1" s="2616"/>
      <c r="J1" s="2616"/>
      <c r="K1" s="2616"/>
      <c r="L1" s="1221"/>
    </row>
    <row r="2" spans="1:12" ht="12.75" customHeight="1" x14ac:dyDescent="0.2">
      <c r="B2" s="2617">
        <f>'Single Audit Cover'!E7</f>
        <v>21100801046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Williamson Co CTE System</v>
      </c>
      <c r="C1" s="2593"/>
      <c r="D1" s="2593"/>
      <c r="E1" s="1240"/>
    </row>
    <row r="2" spans="2:5" s="1058" customFormat="1" ht="12.75" customHeight="1" x14ac:dyDescent="0.2">
      <c r="B2" s="2595">
        <f>'Single Audit Cover'!E7</f>
        <v>21100801046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2076</v>
      </c>
      <c r="C7" s="302" t="s">
        <v>2072</v>
      </c>
      <c r="D7" s="302" t="s">
        <v>2077</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451114</v>
      </c>
      <c r="E16" s="1547"/>
      <c r="F16" s="1546">
        <f>SUM('Acct Summary 7-8'!C17,'Acct Summary 7-8'!D17,'Acct Summary 7-8'!F17)</f>
        <v>427147</v>
      </c>
      <c r="G16" s="1547"/>
      <c r="H16" s="1546">
        <f>SUM(D16-F16)</f>
        <v>23967</v>
      </c>
      <c r="I16" s="1548"/>
      <c r="J16" s="1546">
        <f>SUM('Acct Summary 7-8'!C81,'Acct Summary 7-8'!D81,'Acct Summary 7-8'!F81,'Acct Summary 7-8'!I81)</f>
        <v>77607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Normal="10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Williamson Co CTE System</v>
      </c>
      <c r="E7" s="368"/>
      <c r="G7" s="247"/>
      <c r="H7" s="364"/>
      <c r="I7" s="364"/>
      <c r="J7" s="364"/>
      <c r="K7" s="364"/>
      <c r="L7" s="307"/>
      <c r="M7" s="307"/>
      <c r="N7" s="307"/>
      <c r="O7" s="307"/>
      <c r="P7" s="307"/>
    </row>
    <row r="8" spans="1:18" ht="12.75" x14ac:dyDescent="0.2">
      <c r="A8" s="307"/>
      <c r="B8" s="307"/>
      <c r="C8" s="366" t="s">
        <v>1115</v>
      </c>
      <c r="D8" s="369">
        <f>COVER!A13</f>
        <v>21100801046</v>
      </c>
      <c r="E8" s="370"/>
      <c r="G8" s="307"/>
      <c r="H8" s="307"/>
      <c r="I8" s="307"/>
      <c r="J8" s="307"/>
      <c r="K8" s="307"/>
      <c r="L8" s="307"/>
      <c r="M8" s="307"/>
      <c r="N8" s="307"/>
      <c r="O8" s="307"/>
      <c r="P8" s="307"/>
    </row>
    <row r="9" spans="1:18" ht="12.75" x14ac:dyDescent="0.2">
      <c r="A9" s="307"/>
      <c r="B9" s="307"/>
      <c r="C9" s="366" t="s">
        <v>708</v>
      </c>
      <c r="D9" s="371" t="str">
        <f>COVER!A15</f>
        <v>Williamson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77607</v>
      </c>
      <c r="I12" s="380"/>
      <c r="J12" s="380"/>
      <c r="K12" s="1559">
        <f>TRUNC((H12/H13*100000),5)/100000</f>
        <v>0.1720341199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451114</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427147</v>
      </c>
      <c r="I17" s="380"/>
      <c r="J17" s="389"/>
      <c r="K17" s="1559">
        <f>TRUNC((H17/H18*100000),5)/100000</f>
        <v>0.94687152239999994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451114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112303</v>
      </c>
      <c r="I24" s="394"/>
      <c r="J24" s="394"/>
      <c r="K24" s="1555">
        <f>TRUNC(((H24/H25*100000)/100000),2)</f>
        <v>94.64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1186.51944</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C1" colorId="8" zoomScale="90" zoomScaleNormal="9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112303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30994</v>
      </c>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143297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274686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274686</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48503</v>
      </c>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16684</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v>503</v>
      </c>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65690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77607</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274686</v>
      </c>
      <c r="N40" s="1604"/>
    </row>
    <row r="41" spans="1:14" ht="13.5" customHeight="1" thickBot="1" x14ac:dyDescent="0.25">
      <c r="A41" s="1426" t="s">
        <v>650</v>
      </c>
      <c r="B41" s="1405"/>
      <c r="C41" s="1594">
        <f>(SUM(C34,C37,C38,C39))</f>
        <v>143297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274686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C1" colorId="8" zoomScaleNormal="100" zoomScaleSheetLayoutView="100" workbookViewId="0">
      <pane ySplit="2" topLeftCell="A8"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2904</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330857</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117353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451114</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451114</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199363</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91493</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136291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427147</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427147</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23967</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23967</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53640</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77607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23967</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0.30882523483706364</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C1" colorId="8" zoomScaleNormal="100" zoomScaleSheetLayoutView="75" workbookViewId="0">
      <pane ySplit="2" topLeftCell="A199" activePane="bottomLeft" state="frozen"/>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0</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2904</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2904</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2904</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330857</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330857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330857</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330857</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117353</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117353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117353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117353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451114</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Normal="100" workbookViewId="0">
      <pane ySplit="2" topLeftCell="A127" activePane="bottomLeft" state="frozen"/>
      <selection pane="bottomLeft" activeCell="C21" sqref="C2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15928</v>
      </c>
      <c r="F13" s="1573">
        <v>126783</v>
      </c>
      <c r="G13" s="1573">
        <v>47746</v>
      </c>
      <c r="H13" s="1573"/>
      <c r="I13" s="1574">
        <v>8906</v>
      </c>
      <c r="J13" s="1574"/>
      <c r="K13" s="1672">
        <f t="shared" si="0"/>
        <v>199363</v>
      </c>
      <c r="L13" s="1573">
        <v>209888</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15928</v>
      </c>
      <c r="F33" s="1674">
        <f t="shared" si="1"/>
        <v>126783</v>
      </c>
      <c r="G33" s="1674">
        <f t="shared" si="1"/>
        <v>47746</v>
      </c>
      <c r="H33" s="1674">
        <f t="shared" si="1"/>
        <v>0</v>
      </c>
      <c r="I33" s="1674">
        <f t="shared" si="1"/>
        <v>8906</v>
      </c>
      <c r="J33" s="1674">
        <f t="shared" si="1"/>
        <v>0</v>
      </c>
      <c r="K33" s="1674">
        <f t="shared" si="1"/>
        <v>199363</v>
      </c>
      <c r="L33" s="1674">
        <f t="shared" si="1"/>
        <v>209888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3912</v>
      </c>
      <c r="F37" s="1573"/>
      <c r="G37" s="1573"/>
      <c r="H37" s="1573"/>
      <c r="I37" s="1574"/>
      <c r="J37" s="1574"/>
      <c r="K37" s="1672">
        <f t="shared" si="2"/>
        <v>3912</v>
      </c>
      <c r="L37" s="1573">
        <v>7214</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3912</v>
      </c>
      <c r="F42" s="1674">
        <f t="shared" si="3"/>
        <v>0</v>
      </c>
      <c r="G42" s="1674">
        <f t="shared" si="3"/>
        <v>0</v>
      </c>
      <c r="H42" s="1674">
        <f t="shared" si="3"/>
        <v>0</v>
      </c>
      <c r="I42" s="1674">
        <f t="shared" si="3"/>
        <v>0</v>
      </c>
      <c r="J42" s="1674">
        <f t="shared" si="3"/>
        <v>0</v>
      </c>
      <c r="K42" s="1674">
        <f t="shared" si="3"/>
        <v>3912</v>
      </c>
      <c r="L42" s="1674">
        <f t="shared" si="3"/>
        <v>7214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13822</v>
      </c>
      <c r="F44" s="1586">
        <v>142</v>
      </c>
      <c r="G44" s="1586"/>
      <c r="H44" s="1586"/>
      <c r="I44" s="1574"/>
      <c r="J44" s="1574"/>
      <c r="K44" s="1678">
        <f>SUM(C44:J44)</f>
        <v>13964</v>
      </c>
      <c r="L44" s="1586">
        <v>16511</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925</v>
      </c>
      <c r="F46" s="1573"/>
      <c r="G46" s="1573"/>
      <c r="H46" s="1573"/>
      <c r="I46" s="1574"/>
      <c r="J46" s="1574"/>
      <c r="K46" s="1678">
        <f>SUM(C46:J46)</f>
        <v>925</v>
      </c>
      <c r="L46" s="1573">
        <v>995</v>
      </c>
    </row>
    <row r="47" spans="1:14" ht="12.75" customHeight="1" thickBot="1" x14ac:dyDescent="0.25">
      <c r="A47" s="1380" t="s">
        <v>557</v>
      </c>
      <c r="B47" s="1381" t="s">
        <v>32</v>
      </c>
      <c r="C47" s="1674">
        <f>SUM(C44:C46)</f>
        <v>0</v>
      </c>
      <c r="D47" s="1674">
        <f t="shared" ref="D47:K47" si="4">SUM(D44:D46)</f>
        <v>0</v>
      </c>
      <c r="E47" s="1674">
        <f t="shared" si="4"/>
        <v>14747</v>
      </c>
      <c r="F47" s="1674">
        <f t="shared" si="4"/>
        <v>142</v>
      </c>
      <c r="G47" s="1674">
        <f t="shared" si="4"/>
        <v>0</v>
      </c>
      <c r="H47" s="1674">
        <f t="shared" si="4"/>
        <v>0</v>
      </c>
      <c r="I47" s="1674">
        <f t="shared" si="4"/>
        <v>0</v>
      </c>
      <c r="J47" s="1674">
        <f t="shared" si="4"/>
        <v>0</v>
      </c>
      <c r="K47" s="1674">
        <f t="shared" si="4"/>
        <v>14889</v>
      </c>
      <c r="L47" s="1674">
        <f>SUM(L44:L46)</f>
        <v>17506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59707</v>
      </c>
      <c r="D50" s="1573">
        <v>7190</v>
      </c>
      <c r="E50" s="1573">
        <v>5582</v>
      </c>
      <c r="F50" s="1573">
        <v>213</v>
      </c>
      <c r="G50" s="1573"/>
      <c r="H50" s="1573"/>
      <c r="I50" s="1574"/>
      <c r="J50" s="1574"/>
      <c r="K50" s="1678">
        <f>SUM(C50:J50)</f>
        <v>72692</v>
      </c>
      <c r="L50" s="1573">
        <v>77560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59707</v>
      </c>
      <c r="D53" s="1674">
        <f t="shared" ref="D53:L53" si="5">SUM(D49:D52)</f>
        <v>7190</v>
      </c>
      <c r="E53" s="1674">
        <f t="shared" si="5"/>
        <v>5582</v>
      </c>
      <c r="F53" s="1674">
        <f t="shared" si="5"/>
        <v>213</v>
      </c>
      <c r="G53" s="1674">
        <f t="shared" si="5"/>
        <v>0</v>
      </c>
      <c r="H53" s="1674">
        <f t="shared" si="5"/>
        <v>0</v>
      </c>
      <c r="I53" s="1674">
        <f t="shared" si="5"/>
        <v>0</v>
      </c>
      <c r="J53" s="1674">
        <f t="shared" si="5"/>
        <v>0</v>
      </c>
      <c r="K53" s="1674">
        <f t="shared" si="5"/>
        <v>72692</v>
      </c>
      <c r="L53" s="1674">
        <f t="shared" si="5"/>
        <v>77560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59707</v>
      </c>
      <c r="D74" s="1681">
        <f t="shared" ref="D74:K74" si="10">SUM(D42,D47,D53,D57,D65,D72,D73)</f>
        <v>7190</v>
      </c>
      <c r="E74" s="1681">
        <f t="shared" si="10"/>
        <v>24241</v>
      </c>
      <c r="F74" s="1681">
        <f t="shared" si="10"/>
        <v>355</v>
      </c>
      <c r="G74" s="1681">
        <f t="shared" si="10"/>
        <v>0</v>
      </c>
      <c r="H74" s="1681">
        <f t="shared" si="10"/>
        <v>0</v>
      </c>
      <c r="I74" s="1681">
        <f t="shared" si="10"/>
        <v>0</v>
      </c>
      <c r="J74" s="1681">
        <f t="shared" si="10"/>
        <v>0</v>
      </c>
      <c r="K74" s="1681">
        <f t="shared" si="10"/>
        <v>91493</v>
      </c>
      <c r="L74" s="1681">
        <f>SUM(L42,L47,L53,L57,L65,L72,L73)</f>
        <v>102280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136291</v>
      </c>
      <c r="I81" s="1582"/>
      <c r="J81" s="1582"/>
      <c r="K81" s="1672">
        <f t="shared" si="11"/>
        <v>136291</v>
      </c>
      <c r="L81" s="1573">
        <v>166024</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136291</v>
      </c>
      <c r="I84" s="1582"/>
      <c r="J84" s="1582"/>
      <c r="K84" s="1674">
        <f>SUM(K78:K83)</f>
        <v>136291</v>
      </c>
      <c r="L84" s="1674">
        <f>SUM(L78:L83)</f>
        <v>166024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136291</v>
      </c>
      <c r="I102" s="1582"/>
      <c r="J102" s="1582"/>
      <c r="K102" s="1681">
        <f>SUM(K84,K92,K100,K101)</f>
        <v>136291</v>
      </c>
      <c r="L102" s="1681">
        <f>SUM(L84,L92,L100,L101)</f>
        <v>166024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59707</v>
      </c>
      <c r="D114" s="1674">
        <f t="shared" ref="D114:K114" si="13">SUM(D33,D74,D75,D102,D112,D113)</f>
        <v>7190</v>
      </c>
      <c r="E114" s="1674">
        <f t="shared" si="13"/>
        <v>40169</v>
      </c>
      <c r="F114" s="1674">
        <f t="shared" si="13"/>
        <v>127138</v>
      </c>
      <c r="G114" s="1674">
        <f t="shared" si="13"/>
        <v>47746</v>
      </c>
      <c r="H114" s="1674">
        <f>SUM(H33,H74,H75,H102,H112,H113)</f>
        <v>136291</v>
      </c>
      <c r="I114" s="1674">
        <f t="shared" si="13"/>
        <v>8906</v>
      </c>
      <c r="J114" s="1674">
        <f t="shared" si="13"/>
        <v>0</v>
      </c>
      <c r="K114" s="1674">
        <f t="shared" si="13"/>
        <v>427147</v>
      </c>
      <c r="L114" s="1674">
        <f>SUM(L33,L74,L75,L102,L112,L113)</f>
        <v>478192</v>
      </c>
    </row>
    <row r="115" spans="1:14" ht="13.5" thickTop="1" x14ac:dyDescent="0.2">
      <c r="A115" s="2286" t="s">
        <v>989</v>
      </c>
      <c r="B115" s="2287"/>
      <c r="C115" s="1675"/>
      <c r="D115" s="1675"/>
      <c r="E115" s="1675"/>
      <c r="F115" s="1675"/>
      <c r="G115" s="1675"/>
      <c r="H115" s="1675"/>
      <c r="I115" s="1675"/>
      <c r="J115" s="1675"/>
      <c r="K115" s="1689">
        <f>'Revenues 9-14'!C268-'Expenditures 15-22'!K114</f>
        <v>23967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http://www.w3.org/XML/1998/namespace"/>
    <ds:schemaRef ds:uri="http://schemas.microsoft.com/office/infopath/2007/PartnerControls"/>
    <ds:schemaRef ds:uri="http://schemas.openxmlformats.org/package/2006/metadata/core-properties"/>
    <ds:schemaRef ds:uri="http://purl.org/dc/terms/"/>
    <ds:schemaRef ds:uri="4d435f69-8686-490b-bd6d-b153bf22ab50"/>
    <ds:schemaRef ds:uri="http://schemas.microsoft.com/office/2006/metadata/propertie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2020-10-07T12:17:31Z</cp:lastPrinted>
  <dcterms:created xsi:type="dcterms:W3CDTF">2003-10-29T19:06:34Z</dcterms:created>
  <dcterms:modified xsi:type="dcterms:W3CDTF">2020-10-16T13:15:38Z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