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E6A43CF0-ACC1-4D8C-A985-E3B1AFEED58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69" i="34" l="1"/>
  <c r="G35" i="108"/>
  <c r="B2805" i="106"/>
  <c r="D2805" i="106" s="1"/>
  <c r="D14" i="4"/>
  <c r="B2570" i="106" s="1"/>
  <c r="D2570" i="106" s="1"/>
  <c r="B2724" i="106"/>
  <c r="D2724" i="106" s="1"/>
  <c r="C129" i="29"/>
  <c r="B1225" i="106" s="1"/>
  <c r="D1225" i="106" s="1"/>
  <c r="F42" i="34"/>
  <c r="F50" i="34"/>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L114" i="29"/>
  <c r="C367" i="29"/>
  <c r="B3622" i="106" s="1"/>
  <c r="D3622" i="106" s="1"/>
  <c r="J16" i="4"/>
  <c r="B6226" i="106" s="1"/>
  <c r="D6226" i="106" s="1"/>
  <c r="I151" i="29"/>
  <c r="F59" i="34"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36" i="36"/>
  <c r="D13" i="3"/>
  <c r="D34" i="36"/>
  <c r="B1645" i="106"/>
  <c r="D1645" i="106" s="1"/>
  <c r="B3321" i="106"/>
  <c r="D3321" i="106" s="1"/>
  <c r="B1687" i="106"/>
  <c r="D1687" i="106" s="1"/>
  <c r="B3414" i="106" l="1"/>
  <c r="D3414" i="106" s="1"/>
  <c r="D35" i="36"/>
  <c r="H24" i="118"/>
  <c r="K24" i="118" s="1"/>
  <c r="O23" i="118" s="1"/>
  <c r="O25" i="118"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<sst xmlns="http://schemas.openxmlformats.org/spreadsheetml/2006/main" count="5168" uniqueCount="2077">
  <si>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</si>
  <si>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</si>
  <si>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</si>
  <si>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</si>
  <si>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</si>
  <si>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</si>
  <si>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</si>
  <si>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</si>
  <si>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</si>
  <si>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</si>
  <si>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</si>
  <si>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</si>
  <si>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</si>
  <si>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</si>
  <si>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</si>
  <si>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</si>
  <si>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</si>
  <si>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</si>
  <si>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</si>
  <si>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</si>
  <si>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</si>
  <si>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</si>
  <si>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</si>
  <si>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</si>
  <si>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</si>
  <si>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</si>
  <si>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</si>
  <si>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</si>
  <si>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</si>
  <si>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</si>
  <si>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</si>
  <si>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</si>
  <si>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</si>
  <si>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</si>
  <si>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</si>
  <si>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</si>
  <si>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</si>
  <si>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</si>
  <si>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</si>
  <si>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</si>
  <si>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</si>
  <si>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</si>
  <si>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</si>
  <si>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</si>
  <si>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</si>
  <si>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</si>
  <si>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</si>
  <si>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</si>
  <si>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</si>
  <si>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</si>
  <si>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</si>
  <si>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</si>
  <si>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</si>
  <si>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</si>
  <si>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</si>
  <si>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</si>
  <si>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</si>
  <si>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</si>
  <si>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</si>
  <si>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</si>
  <si>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</si>
  <si>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</si>
  <si>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</si>
  <si>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</si>
  <si>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</si>
  <si>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</si>
  <si>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</si>
  <si>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</si>
  <si>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</si>
  <si>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</si>
  <si>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</si>
  <si>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</si>
  <si>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</si>
  <si>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</si>
  <si>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</si>
  <si>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</si>
  <si>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</si>
  <si>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</si>
  <si>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</si>
  <si>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</si>
  <si>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</si>
  <si>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</si>
  <si>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</si>
  <si>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</si>
  <si>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</si>
  <si>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</si>
  <si>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</si>
  <si>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</si>
  <si>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</si>
  <si>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</si>
  <si>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</si>
  <si>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</si>
  <si>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</si>
  <si>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</si>
  <si>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</si>
  <si>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</si>
  <si>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</si>
  <si>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</si>
  <si>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</si>
  <si>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</si>
  <si>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</si>
  <si>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</si>
  <si>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</si>
  <si>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</si>
  <si>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</si>
  <si>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</si>
  <si>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</si>
  <si>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</si>
  <si>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</si>
  <si>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</si>
  <si>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</si>
  <si>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</si>
  <si>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</si>
  <si>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</si>
  <si>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</si>
  <si>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</si>
  <si>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</si>
  <si>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</si>
  <si>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</si>
  <si>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</si>
  <si>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</si>
  <si>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</si>
  <si>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</si>
  <si>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</si>
  <si>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</si>
  <si>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</si>
  <si>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</si>
  <si>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</si>
  <si>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</si>
  <si>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</si>
  <si>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</si>
  <si>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</si>
  <si>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</si>
  <si>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</si>
  <si>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</si>
  <si>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</si>
  <si>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</si>
  <si>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</si>
  <si>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</si>
  <si>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</si>
  <si>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</si>
  <si>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</si>
  <si>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</si>
  <si>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</si>
  <si>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</si>
  <si>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</si>
  <si>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</si>
  <si>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</si>
  <si>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</si>
  <si>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</si>
  <si>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</si>
  <si>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</si>
  <si>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</si>
  <si>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</si>
  <si>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</si>
  <si>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</si>
  <si>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</si>
  <si>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</si>
  <si>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</si>
  <si>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</si>
  <si>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</si>
  <si>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</si>
  <si>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</si>
  <si>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</si>
  <si>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</si>
  <si>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</si>
  <si>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</si>
  <si>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</si>
  <si>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</si>
  <si>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</si>
  <si>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</si>
  <si>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</si>
  <si>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</si>
  <si>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</si>
  <si>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</si>
  <si>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</si>
  <si>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</si>
  <si>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</si>
  <si>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</si>
  <si>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</si>
  <si>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</si>
  <si>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</si>
  <si>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</si>
  <si>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</si>
  <si>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</si>
  <si>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</si>
  <si>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</si>
  <si>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</si>
  <si>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</si>
  <si>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</si>
  <si>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</si>
  <si>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</si>
  <si>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</si>
  <si>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</si>
  <si>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</si>
  <si>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</si>
  <si>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</si>
  <si>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</si>
  <si>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</si>
  <si>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</si>
  <si>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</si>
  <si>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</si>
  <si>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</si>
  <si>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</si>
  <si>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</si>
  <si>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</si>
  <si>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</si>
  <si>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</si>
  <si>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</si>
  <si>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</si>
  <si>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</si>
  <si>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</si>
  <si>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</si>
  <si>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</si>
  <si>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</si>
  <si>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</si>
  <si>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</si>
  <si>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</si>
  <si>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</si>
  <si>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</si>
  <si>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</si>
  <si>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</si>
  <si>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</si>
  <si>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</si>
  <si>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</si>
  <si>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</si>
  <si>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</si>
  <si>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</si>
  <si>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</si>
  <si>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</si>
  <si>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</si>
  <si>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</si>
  <si>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</si>
  <si>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</si>
  <si>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</si>
  <si>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</si>
  <si>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</si>
  <si>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</si>
  <si>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</si>
  <si>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</si>
  <si>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</si>
  <si>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</si>
  <si>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</si>
  <si>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</si>
  <si>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</si>
  <si>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</si>
  <si>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</si>
  <si>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</si>
  <si>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</si>
  <si>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</si>
  <si>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</si>
  <si>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</si>
  <si>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</si>
  <si>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</si>
  <si>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</si>
  <si>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</si>
  <si>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</si>
  <si>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</si>
  <si>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</si>
  <si>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</si>
  <si>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</si>
  <si>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</si>
  <si>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</si>
  <si>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</si>
  <si>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</si>
  <si>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</si>
  <si>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</si>
  <si>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</si>
  <si>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</si>
  <si>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</si>
  <si>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</si>
  <si>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</si>
  <si>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</si>
  <si>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</si>
  <si>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</si>
  <si>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</si>
  <si>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</si>
  <si>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</si>
  <si>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</si>
  <si>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</si>
  <si>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</si>
  <si>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</si>
  <si>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</si>
  <si>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</si>
  <si>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</si>
  <si>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</si>
  <si>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</si>
  <si>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</si>
  <si>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</si>
  <si>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</si>
  <si>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</si>
  <si>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</si>
  <si>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</si>
  <si>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</si>
  <si>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</si>
  <si>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</si>
  <si>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</si>
  <si>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</si>
  <si>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</si>
  <si>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</si>
  <si>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</si>
  <si>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</si>
  <si>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</si>
  <si>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</si>
  <si>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</si>
  <si>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</si>
  <si>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</si>
  <si>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</si>
  <si>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</si>
  <si>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</si>
  <si>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</si>
  <si>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</si>
  <si>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</si>
  <si>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</si>
  <si>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</si>
  <si>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</si>
  <si>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</si>
  <si>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</si>
  <si>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</si>
  <si>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</si>
  <si>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</si>
  <si>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</si>
  <si>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</si>
  <si>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</si>
  <si>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</si>
  <si>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</si>
  <si>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</si>
  <si>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</si>
  <si>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</si>
  <si>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</si>
  <si>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</si>
  <si>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</si>
  <si>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</si>
  <si>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</si>
  <si>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</si>
  <si>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</si>
  <si>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</si>
  <si>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</si>
  <si>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</si>
  <si>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</si>
  <si>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</si>
  <si>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</si>
  <si>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</si>
  <si>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</si>
  <si>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</si>
  <si>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</si>
  <si>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</si>
  <si>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</si>
  <si>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</si>
  <si>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</si>
  <si>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</si>
  <si>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</si>
  <si>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</si>
  <si>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</si>
  <si>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</si>
  <si>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</si>
  <si>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</si>
  <si>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</si>
  <si>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</si>
  <si>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</si>
  <si>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</si>
  <si>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</si>
  <si>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</si>
  <si>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</si>
  <si>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</si>
  <si>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</si>
  <si>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</si>
  <si>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</si>
  <si>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</si>
  <si>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</si>
  <si>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</si>
  <si>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</si>
  <si>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</si>
  <si>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</si>
  <si>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</si>
  <si>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</si>
  <si>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</si>
  <si>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</si>
  <si>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</si>
  <si>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</si>
  <si>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</si>
  <si>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</si>
  <si>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</si>
  <si>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</si>
  <si>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</si>
  <si>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</si>
  <si>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</si>
  <si>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</si>
  <si>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</si>
  <si>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</si>
  <si>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</si>
  <si>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</si>
  <si>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</si>
  <si>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</si>
  <si>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</si>
  <si>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</si>
  <si>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</si>
  <si>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</si>
  <si>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</si>
  <si>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</si>
  <si>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</si>
  <si>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</si>
  <si>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</si>
  <si>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</si>
  <si>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</si>
  <si>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</si>
  <si>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</si>
  <si>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</si>
  <si>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</si>
  <si>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</si>
  <si>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</si>
  <si>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</si>
  <si>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</si>
  <si>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</si>
  <si>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</si>
  <si>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</si>
  <si>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</si>
  <si>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</si>
  <si>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</si>
  <si>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</si>
  <si>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</si>
  <si>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</si>
  <si>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</si>
  <si>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</si>
  <si>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</si>
  <si>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</si>
  <si>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</si>
  <si>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</si>
  <si>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</si>
  <si>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</si>
  <si>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</si>
  <si>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</si>
  <si>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</si>
  <si>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</si>
  <si>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</si>
  <si>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</si>
  <si>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</si>
  <si>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</si>
  <si>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</si>
  <si>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</si>
  <si>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</si>
  <si>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</si>
  <si>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</si>
  <si>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</si>
  <si>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</si>
  <si>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</si>
  <si>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</si>
  <si>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</si>
  <si>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</si>
  <si>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</si>
  <si>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</si>
  <si>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</si>
  <si>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</si>
  <si>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</si>
  <si>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</si>
  <si>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</si>
  <si>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</si>
  <si>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</si>
  <si>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</si>
  <si>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</si>
  <si>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</si>
  <si>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</si>
  <si>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</si>
  <si>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</si>
  <si>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</si>
  <si>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</si>
  <si>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</si>
  <si>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</si>
  <si>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</si>
  <si>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</si>
  <si>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</si>
  <si>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</si>
  <si>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</si>
  <si>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</si>
  <si>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</si>
  <si>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</si>
  <si>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</si>
  <si>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</si>
  <si>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</si>
  <si>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</si>
  <si>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</si>
  <si>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</si>
  <si>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</si>
  <si>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</si>
  <si>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</si>
  <si>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</si>
  <si>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</si>
  <si>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</si>
  <si>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</si>
  <si>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</si>
  <si>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</si>
  <si>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</si>
  <si>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</si>
  <si>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</si>
  <si>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</si>
  <si>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</si>
  <si>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</si>
  <si>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</si>
  <si>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</si>
  <si>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</si>
  <si>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</si>
  <si>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</si>
  <si>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</si>
  <si>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</si>
  <si>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</si>
  <si>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</si>
  <si>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</si>
  <si>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</si>
  <si>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</si>
  <si>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</si>
  <si>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</si>
  <si>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</si>
  <si>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</si>
  <si>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</si>
  <si>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</si>
  <si>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</si>
  <si>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</si>
  <si>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</si>
  <si>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</si>
  <si>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</si>
  <si>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</si>
  <si>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</si>
  <si>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</si>
  <si>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</si>
  <si>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</si>
  <si>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</si>
  <si>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</si>
  <si>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</si>
  <si>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</si>
  <si>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</si>
  <si>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</si>
  <si>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</si>
  <si>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</si>
  <si>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</si>
  <si>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</si>
  <si>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</si>
  <si>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</si>
  <si>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</si>
  <si>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</si>
  <si>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</si>
  <si>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</si>
  <si>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</si>
  <si>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</si>
  <si>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</si>
  <si>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</si>
  <si>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</si>
  <si>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</si>
  <si>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</si>
  <si>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</si>
  <si>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</si>
  <si>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</si>
  <si>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</si>
  <si>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</si>
  <si>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</si>
  <si>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</si>
  <si>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</si>
  <si>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</si>
  <si>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</si>
  <si>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</si>
  <si>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</si>
  <si>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</si>
  <si>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</si>
  <si>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</si>
  <si>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</si>
  <si>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</si>
  <si>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</si>
  <si>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</si>
  <si>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</si>
  <si>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</si>
  <si>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</si>
  <si>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</si>
  <si>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</si>
  <si>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</si>
  <si>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</si>
  <si>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</si>
  <si>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</si>
  <si>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</si>
  <si>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</si>
  <si>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</si>
  <si>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</si>
  <si>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</si>
  <si>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</si>
  <si>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</si>
  <si>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</si>
  <si>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</si>
  <si>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</si>
  <si>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</si>
  <si>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</si>
  <si>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</si>
  <si>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</si>
  <si>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</si>
  <si>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</si>
  <si>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</si>
  <si>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</si>
  <si>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</si>
  <si>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</si>
  <si>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</si>
  <si>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</si>
  <si>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</si>
  <si>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</si>
  <si>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</si>
  <si>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</si>
  <si>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</si>
  <si>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</si>
  <si>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</si>
  <si>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</si>
  <si>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</si>
  <si>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</si>
  <si>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</si>
  <si>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</si>
  <si>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</si>
  <si>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</si>
  <si>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</si>
  <si>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</si>
  <si>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</si>
  <si>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</si>
  <si>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</si>
  <si>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</si>
  <si>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</si>
  <si>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</si>
  <si>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</si>
  <si>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</si>
  <si>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</si>
  <si>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</si>
  <si>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</si>
  <si>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</si>
  <si>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</si>
  <si>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</si>
  <si>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</si>
  <si>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</si>
  <si>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</si>
  <si>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</si>
  <si>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</si>
  <si>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</si>
  <si>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</si>
  <si>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</si>
  <si>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</si>
  <si>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</si>
  <si>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</si>
  <si>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</si>
  <si>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</si>
  <si>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</si>
  <si>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</si>
  <si>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</si>
  <si>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</si>
  <si>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</si>
  <si>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</si>
  <si>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</si>
  <si>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</si>
  <si>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</si>
  <si>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</si>
  <si>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</si>
  <si>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</si>
  <si>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</si>
  <si>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</si>
  <si>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</si>
  <si>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</si>
  <si>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</si>
  <si>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</si>
  <si>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</si>
  <si>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</si>
  <si>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</si>
  <si>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</si>
  <si>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</si>
  <si>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</si>
  <si>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</si>
  <si>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</si>
  <si>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</si>
  <si>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</si>
  <si>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</si>
  <si>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</si>
  <si>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</si>
  <si>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</si>
  <si>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</si>
  <si>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</si>
  <si>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</si>
  <si>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</si>
  <si>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</si>
  <si>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</si>
  <si>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</si>
  <si>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</si>
  <si>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</si>
  <si>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</si>
  <si>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</si>
  <si>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</si>
  <si>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</si>
  <si>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</si>
  <si>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</si>
  <si>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</si>
  <si>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</si>
  <si>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</si>
  <si>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</si>
  <si>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</si>
  <si>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</si>
  <si>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</si>
  <si>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</si>
  <si>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</si>
  <si>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</si>
  <si>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</si>
  <si>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</si>
  <si>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</si>
  <si>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</si>
  <si>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</si>
  <si>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</si>
  <si>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</si>
  <si>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</si>
  <si>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</si>
  <si>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</si>
  <si>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</si>
  <si>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</si>
  <si>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</si>
  <si>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</si>
  <si>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</si>
  <si>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</si>
  <si>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</si>
  <si>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</si>
  <si>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</si>
  <si>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</si>
  <si>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</si>
  <si>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</si>
  <si>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</si>
  <si>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</si>
  <si>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</si>
  <si>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</si>
  <si>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</si>
  <si>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</si>
  <si>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</si>
  <si>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</si>
  <si>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</si>
  <si>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</si>
  <si>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</si>
  <si>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</si>
  <si>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</si>
  <si>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</si>
  <si>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</si>
  <si>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</si>
  <si>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</si>
  <si>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</si>
  <si>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</si>
  <si>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</si>
  <si>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</si>
  <si>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</si>
  <si>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</si>
  <si>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</si>
  <si>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</si>
  <si>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</si>
  <si>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</si>
  <si>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</si>
  <si>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</si>
  <si>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</si>
  <si>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</si>
  <si>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</si>
  <si>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</si>
  <si>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</si>
  <si>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</si>
  <si>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</si>
  <si>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</si>
  <si>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</si>
  <si>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</si>
  <si>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</si>
  <si>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</si>
  <si>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</si>
  <si>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</si>
  <si>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</si>
  <si>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</si>
  <si>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</si>
  <si>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</si>
  <si>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</si>
  <si>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</si>
  <si>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</si>
  <si>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</si>
  <si>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</si>
  <si>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</si>
  <si>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</si>
  <si>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</si>
  <si>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</si>
  <si>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</si>
  <si>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</si>
  <si>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</si>
  <si>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</si>
  <si>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</si>
  <si>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</si>
  <si>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</si>
  <si>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</si>
  <si>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</si>
  <si>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</si>
  <si>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</si>
  <si>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</si>
  <si>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</si>
  <si>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</si>
  <si>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</si>
  <si>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</si>
  <si>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</si>
  <si>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</si>
  <si>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</si>
  <si>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</si>
  <si>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</si>
  <si>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</si>
  <si>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</si>
  <si>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</si>
  <si>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</si>
  <si>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</si>
  <si>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</si>
  <si>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</si>
  <si>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</si>
  <si>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</si>
  <si>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</si>
  <si>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</si>
  <si>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</si>
  <si>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</si>
  <si>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</si>
  <si>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</si>
  <si>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</si>
  <si>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</si>
  <si>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</si>
  <si>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</si>
  <si>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</si>
  <si>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</si>
  <si>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</si>
  <si>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</si>
  <si>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</si>
  <si>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</si>
  <si>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</si>
  <si>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</si>
  <si>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</si>
  <si>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</si>
  <si>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</si>
  <si>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</si>
  <si>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</si>
  <si>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</si>
  <si>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</si>
  <si>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</si>
  <si>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</si>
  <si>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</si>
  <si>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</si>
  <si>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</si>
  <si>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</si>
  <si>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</si>
  <si>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</si>
  <si>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</si>
  <si>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</si>
  <si>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</si>
  <si>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</si>
  <si>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</si>
  <si>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</si>
  <si>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</si>
  <si>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</si>
  <si>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</si>
  <si>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</si>
  <si>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</si>
  <si>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</si>
  <si>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</si>
  <si>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</si>
  <si>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</si>
  <si>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</si>
  <si>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</si>
  <si>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</si>
  <si>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</si>
  <si>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</si>
  <si>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</si>
  <si>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</si>
  <si>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</si>
  <si>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</si>
  <si>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</si>
  <si>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</si>
  <si>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</si>
  <si>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</si>
  <si>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</si>
  <si>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</si>
  <si>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</si>
  <si>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</si>
  <si>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</si>
  <si>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</si>
  <si>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</si>
  <si>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</si>
  <si>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</si>
  <si>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</si>
  <si>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</si>
  <si>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</si>
  <si>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</si>
  <si>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</si>
  <si>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</si>
  <si>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</si>
  <si>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</si>
  <si>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</si>
  <si>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</si>
  <si>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</si>
  <si>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</si>
  <si>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</si>
  <si>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</si>
  <si>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</si>
  <si>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</si>
  <si>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</si>
  <si>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</si>
  <si>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</si>
  <si>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</si>
  <si>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</si>
  <si>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</si>
  <si>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</si>
  <si>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</si>
  <si>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</si>
  <si>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</si>
  <si>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</si>
  <si>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</si>
  <si>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</si>
  <si>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</si>
  <si>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</si>
  <si>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</si>
  <si>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</si>
  <si>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</si>
  <si>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</si>
  <si>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</si>
  <si>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</si>
  <si>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</si>
  <si>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</si>
  <si>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</si>
  <si>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</si>
  <si>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</si>
  <si>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</si>
  <si>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</si>
  <si>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</si>
  <si>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</si>
  <si>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</si>
  <si>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</si>
  <si>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</si>
  <si>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</si>
  <si>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</si>
  <si>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</si>
  <si>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</si>
  <si>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</si>
  <si>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</si>
  <si>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</si>
  <si>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</si>
  <si>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</si>
  <si>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</si>
  <si>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</si>
  <si>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</si>
  <si>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</si>
  <si>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</si>
  <si>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</si>
  <si>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</si>
  <si>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</si>
  <si>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</si>
  <si>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</si>
  <si>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</si>
  <si>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</si>
  <si>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</si>
  <si>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</si>
  <si>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</si>
  <si>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</si>
  <si>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</si>
  <si>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</si>
  <si>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</si>
  <si>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</si>
  <si>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</si>
  <si>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</si>
  <si>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</si>
  <si>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</si>
  <si>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</si>
  <si>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</si>
  <si>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</si>
  <si>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</si>
  <si>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</si>
  <si>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</si>
  <si>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</si>
  <si>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</si>
  <si>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</si>
  <si>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</si>
  <si>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</si>
  <si>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</si>
  <si>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</si>
  <si>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</si>
  <si>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</si>
  <si>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</si>
  <si>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</si>
  <si>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</si>
  <si>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</si>
  <si>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</si>
  <si>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</si>
  <si>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</si>
  <si>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</si>
  <si>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</si>
  <si>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</si>
  <si>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</si>
  <si>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</si>
  <si>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</si>
  <si>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</si>
  <si>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</si>
  <si>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</si>
  <si>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</si>
  <si>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</si>
  <si>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</si>
  <si>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</si>
  <si>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</si>
  <si>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</si>
  <si>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</si>
  <si>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</si>
  <si>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</si>
  <si>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</si>
  <si>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</si>
  <si>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</si>
  <si>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</si>
  <si>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</si>
  <si>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</si>
  <si>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</si>
  <si>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</si>
  <si>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</si>
  <si>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</si>
  <si>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</si>
  <si>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</si>
  <si>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</si>
  <si>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</si>
  <si>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</si>
  <si>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</si>
  <si>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</si>
  <si>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</si>
  <si>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</si>
  <si>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</si>
  <si>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</si>
  <si>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</si>
  <si>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</si>
  <si>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</si>
  <si>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</si>
  <si>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</si>
  <si>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</si>
  <si>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</si>
  <si>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</si>
  <si>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</si>
  <si>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</si>
  <si>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</si>
  <si>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</si>
  <si>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</si>
  <si>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</si>
  <si>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</si>
  <si>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</si>
  <si>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</si>
  <si>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</si>
  <si>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</si>
  <si>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</si>
  <si>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</si>
  <si>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</si>
  <si>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</si>
  <si>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</si>
  <si>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</si>
  <si>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</si>
  <si>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</si>
  <si>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</si>
  <si>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</si>
  <si>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</si>
  <si>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</si>
  <si>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</si>
  <si>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</si>
  <si>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</si>
  <si>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</si>
  <si>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</si>
  <si>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</si>
  <si>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</si>
  <si>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</si>
  <si>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</si>
  <si>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</si>
  <si>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</si>
  <si>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</si>
  <si>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</si>
  <si>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</si>
  <si>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</si>
  <si>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</si>
  <si>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</si>
  <si>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</si>
  <si>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</si>
  <si>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</si>
  <si>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</si>
  <si>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</si>
  <si>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</si>
  <si>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</si>
  <si>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</si>
  <si>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</si>
  <si>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</si>
  <si>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</si>
  <si>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</si>
  <si>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</si>
  <si>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</si>
  <si>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</si>
  <si>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</si>
  <si>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</si>
  <si>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</si>
  <si>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</si>
  <si>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</si>
  <si>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</si>
  <si>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</si>
  <si>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</si>
  <si>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</si>
  <si>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</si>
  <si>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</si>
  <si>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</si>
  <si>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</si>
  <si>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</si>
  <si>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</si>
  <si>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</si>
  <si>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</si>
  <si>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</si>
  <si>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</si>
  <si>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</si>
  <si>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</si>
  <si>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</si>
  <si>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</si>
  <si>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</si>
  <si>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</si>
  <si>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</si>
  <si>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</si>
  <si>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</si>
  <si>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</si>
  <si>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</si>
  <si>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</si>
  <si>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</si>
  <si>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</si>
  <si>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</si>
  <si>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</si>
  <si>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</si>
  <si>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</si>
  <si>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</si>
  <si>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</si>
  <si>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</si>
  <si>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</si>
  <si>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</si>
  <si>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</si>
  <si>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</si>
  <si>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</si>
  <si>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</si>
  <si>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</si>
  <si>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</si>
  <si>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</si>
  <si>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</si>
  <si>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</si>
  <si>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</si>
  <si>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</si>
  <si>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</si>
  <si>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</si>
  <si>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</si>
  <si>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</si>
  <si>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</si>
  <si>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</si>
  <si>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</si>
  <si>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</si>
  <si>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</si>
  <si>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</si>
  <si>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</si>
  <si>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</si>
  <si>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</si>
  <si>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</si>
  <si>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</si>
  <si>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</si>
  <si>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</si>
  <si>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</si>
  <si>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</si>
  <si>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</si>
  <si>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</si>
  <si>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</si>
  <si>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</si>
  <si>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</si>
  <si>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</si>
  <si>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</si>
  <si>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</si>
  <si>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</si>
  <si>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</si>
  <si>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</si>
  <si>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</si>
  <si>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</si>
  <si>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</si>
  <si>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</si>
  <si>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</si>
  <si>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</si>
  <si>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</si>
  <si>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</si>
  <si>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</si>
  <si>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</si>
  <si>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</si>
  <si>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</si>
  <si>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</si>
  <si>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</si>
  <si>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</si>
  <si>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</si>
  <si>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</si>
  <si>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</si>
  <si>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</si>
  <si>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</si>
  <si>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</si>
  <si>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</si>
  <si>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</si>
  <si>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</si>
  <si>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</si>
  <si>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</si>
  <si>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</si>
  <si>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</si>
  <si>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</si>
  <si>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</si>
  <si>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</si>
  <si>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</si>
  <si>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</si>
  <si>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</si>
  <si>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</si>
  <si>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</si>
  <si>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</si>
  <si>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</si>
  <si>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</si>
  <si>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</si>
  <si>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</si>
  <si>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</si>
  <si>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</si>
  <si>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</si>
  <si>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</si>
  <si>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</si>
  <si>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</si>
  <si>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</si>
  <si>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</si>
  <si>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</si>
  <si>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</si>
  <si>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</si>
  <si>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</si>
  <si>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</si>
  <si>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</si>
  <si>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</si>
  <si>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</si>
  <si>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</si>
  <si>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</si>
  <si>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</si>
  <si>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</si>
  <si>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</si>
  <si>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</si>
  <si>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</si>
  <si>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</si>
  <si>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</si>
  <si>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</si>
  <si>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</si>
  <si>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</si>
  <si>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</si>
  <si>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</si>
  <si>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</si>
  <si>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</si>
  <si>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</si>
  <si>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</si>
  <si>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</si>
  <si>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</si>
  <si>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</si>
  <si>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</si>
  <si>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</si>
  <si>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</si>
  <si>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</si>
  <si>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</si>
  <si>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</si>
  <si>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</si>
  <si>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</si>
  <si>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</si>
  <si>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</si>
  <si>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</si>
  <si>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</si>
  <si>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</si>
  <si>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</si>
  <si>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</si>
  <si>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</si>
  <si>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</si>
  <si>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</si>
  <si>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</si>
  <si>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</si>
  <si>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</si>
  <si>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</si>
  <si>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</si>
  <si>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</si>
  <si>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</si>
  <si>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</si>
  <si>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</si>
  <si>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</si>
  <si>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</si>
  <si>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</si>
  <si>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</si>
  <si>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</si>
  <si>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</si>
  <si>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</si>
  <si>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</si>
  <si>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</si>
  <si>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</si>
  <si>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</si>
  <si>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</si>
  <si>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</si>
  <si>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</si>
  <si>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</si>
  <si>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</si>
  <si>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</si>
  <si>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</si>
  <si>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</si>
  <si>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</si>
  <si>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</si>
  <si>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</si>
  <si>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</si>
  <si>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</si>
  <si>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</si>
  <si>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</si>
  <si>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</si>
  <si>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</si>
  <si>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</si>
  <si>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</si>
  <si>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</si>
  <si>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</si>
  <si>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</si>
  <si>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</si>
  <si>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</si>
  <si>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</si>
  <si>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</si>
  <si>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</si>
  <si>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</si>
  <si>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</si>
  <si>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</si>
  <si>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</si>
  <si>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</si>
  <si>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</si>
  <si>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</si>
  <si>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</si>
  <si>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</si>
  <si>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</si>
  <si>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</si>
  <si>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</si>
  <si>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</si>
  <si>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</si>
  <si>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</si>
  <si>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</si>
  <si>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</si>
  <si>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</si>
  <si>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</si>
  <si>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</si>
  <si>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</si>
  <si>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</si>
  <si>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</si>
  <si>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</si>
  <si>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</si>
  <si>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</si>
  <si>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</si>
  <si>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</si>
  <si>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</si>
  <si>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</si>
  <si>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</si>
  <si>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</si>
  <si>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</si>
  <si>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</si>
  <si>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</si>
  <si>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</si>
  <si>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</si>
  <si>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</si>
  <si>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</si>
  <si>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</si>
  <si>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</si>
  <si>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</si>
  <si>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</si>
  <si>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</si>
  <si>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</si>
  <si>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</si>
  <si>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</si>
  <si>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</si>
  <si>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</si>
  <si>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</si>
  <si>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</si>
  <si>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</si>
  <si>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</si>
  <si>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</si>
  <si>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</si>
  <si>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</si>
  <si>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</si>
  <si>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</si>
  <si>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</si>
  <si>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</si>
  <si>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</si>
  <si>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</si>
  <si>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</si>
  <si>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</si>
  <si>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</si>
  <si>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</si>
  <si>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</si>
  <si>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</si>
  <si>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</si>
  <si>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</si>
  <si>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</si>
  <si>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</si>
  <si>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</si>
  <si>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</si>
  <si>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</si>
  <si>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</si>
  <si>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</si>
  <si>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</si>
  <si>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</si>
  <si>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</si>
  <si>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</si>
  <si>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</si>
  <si>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</si>
  <si>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</si>
  <si>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</si>
  <si>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</si>
  <si>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</si>
  <si>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</si>
  <si>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</si>
  <si>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</si>
  <si>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</si>
  <si>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</si>
  <si>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</si>
  <si>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</si>
  <si>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</si>
  <si>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</si>
  <si>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</si>
  <si>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</si>
  <si>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</si>
  <si>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</si>
  <si>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</si>
  <si>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</si>
  <si>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</si>
  <si>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</si>
  <si>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</si>
  <si>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</si>
  <si>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</si>
  <si>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</si>
  <si>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</si>
  <si>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</si>
  <si>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</si>
  <si>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</si>
  <si>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</si>
  <si>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</si>
  <si>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</si>
  <si>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</si>
  <si>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</si>
  <si>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</si>
  <si>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</si>
  <si>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</si>
  <si>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</si>
  <si>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</si>
  <si>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</si>
  <si>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</si>
  <si>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</si>
  <si>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</si>
  <si>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</si>
  <si>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</si>
  <si>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</si>
  <si>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</si>
  <si>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</si>
  <si>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</si>
  <si>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</si>
  <si>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</si>
  <si>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</si>
  <si>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</si>
  <si>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</si>
  <si>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</si>
  <si>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</si>
  <si>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</si>
  <si>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</si>
  <si>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</si>
  <si>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</si>
  <si>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</si>
  <si>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</si>
  <si>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</si>
  <si>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</si>
  <si>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</si>
  <si>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</si>
  <si>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</si>
  <si>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</si>
  <si>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</si>
  <si>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</si>
  <si>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</si>
  <si>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</si>
  <si>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</si>
  <si>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</si>
  <si>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</si>
  <si>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</si>
  <si>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</si>
  <si>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</si>
  <si>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</si>
  <si>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</si>
  <si>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</si>
  <si>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</si>
  <si>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</si>
  <si>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</si>
  <si>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</si>
  <si>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</si>
  <si>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</si>
  <si>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</si>
  <si>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</si>
  <si>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</si>
  <si>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</si>
  <si>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</si>
  <si>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</si>
  <si>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</si>
  <si>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</si>
  <si>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</si>
  <si>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</si>
  <si>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</si>
  <si>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</si>
  <si>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</si>
  <si>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</si>
  <si>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</si>
  <si>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</si>
  <si>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</si>
  <si>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</si>
  <si>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</si>
  <si>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</si>
  <si>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</si>
  <si>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</si>
  <si>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</si>
  <si>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</si>
  <si>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</si>
  <si>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</si>
  <si>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</si>
  <si>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</si>
  <si>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</si>
  <si>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</si>
  <si>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</si>
  <si>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</si>
  <si>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</si>
  <si>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</si>
  <si>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</si>
  <si>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</si>
  <si>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</si>
  <si>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</si>
  <si>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</si>
  <si>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</si>
  <si>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</si>
  <si>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</si>
  <si>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</si>
  <si>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</si>
  <si>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</si>
  <si>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</si>
  <si>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</si>
  <si>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</si>
  <si>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</si>
  <si>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</si>
  <si>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</si>
  <si>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</si>
  <si>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</si>
  <si>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</si>
  <si>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</si>
  <si>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</si>
  <si>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</si>
  <si>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</si>
  <si>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</si>
  <si>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</si>
  <si>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</si>
  <si>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</si>
  <si>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</si>
  <si>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</si>
  <si>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</si>
  <si>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</si>
  <si>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</si>
  <si>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</si>
  <si>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</si>
  <si>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</si>
  <si>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</si>
  <si>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</si>
  <si>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</si>
  <si>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</si>
  <si>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</si>
  <si>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</si>
  <si>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</si>
  <si>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</si>
  <si>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</si>
  <si>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</si>
  <si>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</si>
  <si>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</si>
  <si>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</si>
  <si>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</si>
  <si>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</si>
  <si>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</si>
  <si>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</si>
  <si>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</si>
  <si>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</si>
  <si>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</si>
  <si>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</si>
  <si>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</si>
  <si>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</si>
  <si>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</si>
  <si>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</si>
  <si>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</si>
  <si>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</si>
  <si>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</si>
  <si>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</si>
  <si>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</si>
  <si>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</si>
  <si>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</si>
  <si>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</si>
  <si>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</si>
  <si>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</si>
  <si>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</si>
  <si>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</si>
  <si>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</si>
  <si>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</si>
  <si>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</si>
  <si>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</si>
  <si>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</si>
  <si>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</si>
  <si>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</si>
  <si>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</si>
  <si>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</si>
  <si>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</si>
  <si>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</si>
  <si>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</si>
  <si>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</si>
  <si>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</si>
  <si>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</si>
  <si>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</si>
  <si>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</si>
  <si>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</si>
  <si>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</si>
  <si>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</si>
  <si>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</si>
  <si>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</si>
  <si>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</si>
  <si>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</si>
  <si>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</si>
  <si>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</si>
  <si>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</si>
  <si>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</si>
  <si>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</si>
  <si>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</si>
  <si>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</si>
  <si>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</si>
  <si>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</si>
  <si>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</si>
  <si>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</si>
  <si>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</si>
  <si>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</si>
  <si>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</si>
  <si>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</si>
  <si>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</si>
  <si>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</si>
  <si>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</si>
  <si>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</si>
  <si>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</si>
  <si>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</si>
  <si>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</si>
  <si>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</si>
  <si>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</si>
  <si>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</si>
  <si>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</si>
  <si>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</si>
  <si>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</si>
  <si>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</si>
  <si>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</si>
  <si>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</si>
  <si>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</si>
  <si>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</si>
  <si>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</si>
  <si>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</si>
  <si>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</si>
  <si>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</si>
  <si>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</si>
  <si>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</si>
  <si>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</si>
  <si>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</si>
  <si>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</si>
  <si>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</si>
  <si>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</si>
  <si>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</si>
  <si>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</si>
  <si>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</si>
  <si>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</si>
  <si>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</si>
  <si>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</si>
  <si>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</si>
  <si>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</si>
  <si>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</si>
  <si>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</si>
  <si>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</si>
  <si>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</si>
  <si>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</si>
  <si>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</si>
  <si>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</si>
  <si>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</si>
  <si>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</si>
  <si>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</si>
  <si>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</si>
  <si>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</si>
  <si>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</si>
  <si>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</si>
  <si>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</si>
  <si>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</si>
  <si>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</si>
  <si>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</si>
  <si>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</si>
  <si>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</si>
  <si>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</si>
  <si>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</si>
  <si>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</si>
  <si>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</si>
  <si>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</si>
  <si>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</si>
  <si>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</si>
  <si>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</si>
  <si>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</si>
  <si>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</si>
  <si>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</si>
  <si>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</si>
  <si>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</si>
  <si>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</si>
  <si>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</si>
  <si>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</si>
  <si>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</si>
  <si>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</si>
  <si>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</si>
  <si>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</si>
  <si>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</si>
  <si>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</si>
  <si>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</si>
  <si>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</si>
  <si>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</si>
  <si>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</si>
  <si>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</si>
  <si>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</si>
  <si>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</si>
  <si>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</si>
  <si>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</si>
  <si>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</si>
  <si>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</si>
  <si>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</si>
  <si>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</si>
  <si>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</si>
  <si>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</si>
  <si>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</si>
  <si>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</si>
  <si>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</si>
  <si>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</si>
  <si>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</si>
  <si>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</si>
  <si>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</si>
  <si>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</si>
  <si>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</si>
  <si>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</si>
  <si>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</si>
  <si>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</si>
  <si>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</si>
  <si>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</si>
  <si>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</si>
  <si>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</si>
  <si>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</si>
  <si>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</si>
  <si>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</si>
  <si>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</si>
  <si>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</si>
  <si>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</si>
  <si>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</si>
  <si>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</si>
  <si>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</si>
  <si>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</si>
  <si>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</si>
  <si>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</si>
  <si>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</si>
  <si>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</si>
  <si>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</si>
  <si>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</si>
  <si>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</si>
  <si>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</si>
  <si>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</si>
  <si>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</si>
  <si>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</si>
  <si>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</si>
  <si>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</si>
  <si>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</si>
  <si>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</si>
  <si>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</si>
  <si>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</si>
  <si>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</si>
  <si>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</si>
  <si>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</si>
  <si>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</si>
  <si>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</si>
  <si>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</si>
  <si>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</si>
  <si>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</si>
  <si>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</si>
  <si>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</si>
  <si>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</si>
  <si>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</si>
  <si>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</si>
  <si>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</si>
  <si>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</si>
  <si>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</si>
  <si>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</si>
  <si>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</si>
  <si>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</si>
  <si>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</si>
  <si>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</si>
  <si>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</si>
  <si>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</si>
  <si>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</si>
  <si>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</si>
  <si>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</si>
  <si>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</si>
  <si>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</si>
  <si>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</si>
  <si>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</si>
  <si>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</si>
  <si>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</si>
  <si>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</si>
  <si>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</si>
  <si>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</si>
  <si>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</si>
  <si>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</si>
  <si>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</si>
  <si>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</si>
  <si>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</si>
  <si>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</si>
  <si>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</si>
  <si>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</si>
  <si>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</si>
  <si>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</si>
  <si>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</si>
  <si>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</si>
  <si>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</si>
  <si>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</si>
  <si>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</si>
  <si>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</si>
  <si>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</si>
  <si>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</si>
  <si>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</si>
  <si>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</si>
  <si>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</si>
  <si>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</si>
  <si>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</si>
  <si>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</si>
  <si>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</si>
  <si>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</si>
  <si>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</si>
  <si>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</si>
  <si>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</si>
  <si>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</si>
  <si>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</si>
  <si>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</si>
  <si>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</si>
  <si>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</si>
  <si>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</si>
  <si>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</si>
  <si>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</si>
  <si>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</si>
  <si>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</si>
  <si>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</si>
  <si>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</si>
  <si>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</si>
  <si>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</si>
  <si>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</si>
  <si>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</si>
  <si>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</si>
  <si>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</si>
  <si>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</si>
  <si>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</si>
  <si>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</si>
  <si>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</si>
  <si>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</si>
  <si>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</si>
  <si>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</si>
  <si>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</si>
  <si>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</si>
  <si>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</si>
  <si>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</si>
  <si>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</si>
  <si>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</si>
  <si>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</si>
  <si>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</si>
  <si>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</si>
  <si>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</si>
  <si>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</si>
  <si>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</si>
  <si>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</si>
  <si>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</si>
  <si>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</si>
  <si>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</si>
  <si>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</si>
  <si>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</si>
  <si>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</si>
  <si>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</si>
  <si>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</si>
  <si>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</si>
  <si>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</si>
  <si>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</si>
  <si>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</si>
  <si>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</si>
  <si>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</si>
  <si>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</si>
  <si>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</si>
  <si>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</si>
  <si>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</si>
  <si>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</si>
  <si>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</si>
  <si>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</si>
  <si>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</si>
  <si>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</si>
  <si>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</si>
  <si>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</si>
  <si>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</si>
  <si>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</si>
  <si>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</si>
  <si>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</si>
  <si>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</si>
  <si>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</si>
  <si>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</si>
  <si>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</si>
  <si>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</si>
  <si>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</si>
  <si>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</si>
  <si>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</si>
  <si>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</si>
  <si>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</si>
  <si>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</si>
  <si>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</si>
  <si>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</si>
  <si>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</si>
  <si>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</si>
  <si>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</si>
  <si>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</si>
  <si>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</si>
  <si>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</si>
  <si>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</si>
  <si>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</si>
  <si>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</si>
  <si>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</si>
  <si>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</si>
  <si>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</si>
  <si>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</si>
  <si>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</si>
  <si>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</si>
  <si>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</si>
  <si>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</si>
  <si>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</si>
  <si>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</si>
  <si>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</si>
  <si>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</si>
  <si>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</si>
  <si>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</si>
  <si>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</si>
  <si>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</si>
  <si>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</si>
  <si>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</si>
  <si>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</si>
  <si>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</si>
  <si>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</si>
  <si>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</si>
  <si>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</si>
  <si>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</si>
  <si>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</si>
  <si>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</si>
  <si>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</si>
  <si>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</si>
  <si>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</si>
  <si>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</si>
  <si>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</si>
  <si>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</si>
  <si>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</si>
  <si>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</si>
  <si>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</si>
  <si>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</si>
  <si>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</si>
  <si>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</si>
  <si>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</si>
  <si>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</si>
  <si>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</si>
  <si>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</si>
  <si>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</si>
  <si>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</si>
  <si>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</si>
  <si>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</si>
  <si>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</si>
  <si>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</si>
  <si>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</si>
  <si>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</si>
  <si>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</si>
  <si>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</si>
  <si>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</si>
  <si>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</si>
  <si>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</si>
  <si>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</si>
  <si>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</si>
  <si>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</si>
  <si>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</si>
  <si>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</si>
  <si>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</si>
  <si>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</si>
  <si>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</si>
  <si>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</si>
  <si>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</si>
  <si>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</si>
  <si>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</si>
  <si>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</si>
  <si>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</si>
  <si>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</si>
  <si>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</si>
  <si>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</si>
  <si>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</si>
  <si>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</si>
  <si>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</si>
  <si>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</si>
  <si>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</si>
  <si>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</si>
  <si>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</si>
  <si>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</si>
  <si>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</si>
  <si>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</si>
  <si>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</si>
  <si>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</si>
  <si>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</si>
  <si>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</si>
  <si>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</si>
  <si>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</si>
  <si>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</si>
  <si>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</si>
  <si>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</si>
  <si>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</si>
  <si>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</si>
  <si>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</si>
  <si>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</si>
  <si>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</si>
  <si>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</si>
  <si>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</si>
  <si>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</si>
  <si>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</si>
  <si>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</si>
  <si>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</si>
  <si>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</si>
  <si>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</si>
  <si>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</si>
  <si>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</si>
  <si>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</si>
  <si>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</si>
  <si>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</si>
  <si>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</si>
  <si>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</si>
  <si>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</si>
  <si>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</si>
  <si>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</si>
  <si>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</si>
  <si>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</si>
  <si>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</si>
  <si>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</si>
  <si>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</si>
  <si>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</si>
  <si>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</si>
  <si>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</si>
  <si>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</si>
  <si>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</si>
  <si>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</si>
  <si>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</si>
  <si>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</si>
  <si>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</si>
  <si>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</si>
  <si>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</si>
  <si>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</si>
  <si>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</si>
  <si>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</si>
  <si>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</si>
  <si>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</si>
  <si>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</si>
  <si>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</si>
  <si>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</si>
  <si>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</si>
  <si>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</si>
  <si>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</si>
  <si>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</si>
  <si>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</si>
  <si>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</si>
  <si>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</si>
  <si>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</si>
  <si>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McLean</t>
  </si>
  <si>
    <t>300 East Monroe</t>
  </si>
  <si>
    <t>Bloomington</t>
  </si>
  <si>
    <t>ManahanC@district87.org</t>
  </si>
  <si>
    <t>Dr. Barry Reilly</t>
  </si>
  <si>
    <t>309-827-6031</t>
  </si>
  <si>
    <t>309-827-5717</t>
  </si>
  <si>
    <t>Tim C Custis, CPA</t>
  </si>
  <si>
    <t>tcustis@gorenzcpa.com</t>
  </si>
  <si>
    <t>None</t>
  </si>
  <si>
    <t>Bloomington District 87</t>
  </si>
  <si>
    <t>Page 13, Line 220: Perkins Secondary</t>
  </si>
  <si>
    <t>Page 29, Line 80: "PLEASE ENTER CONTRACTS PAID IN THE CURRENT YEAR"</t>
  </si>
  <si>
    <t>For the current fiscal year under audit, there were no qualifying contracts exceeding the $25,000 limit</t>
  </si>
  <si>
    <t>There were no findings for the year ending June 30, 2019.</t>
  </si>
  <si>
    <t>See PDF version</t>
  </si>
  <si>
    <t xml:space="preserve"> McLean/Dewitt Reg Voc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</si>
</sst>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1775113</xdr:colOff>
          <xdr:row>0</xdr:row>
          <xdr:rowOff>129886</xdr:rowOff>
        </xdr:from>
        <xdr:to>
          <xdr:col>1</xdr:col>
          <xdr:colOff>2686049</xdr:colOff>
          <xdr:row>5</xdr:row>
          <xdr:rowOff>3463</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17064087046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2060</v>
      </c>
      <c r="B15" s="2104"/>
      <c r="C15" s="2104"/>
      <c r="D15" s="2104"/>
      <c r="E15" s="2104"/>
      <c r="F15" s="2104"/>
      <c r="G15" s="2104"/>
      <c r="H15" s="2105"/>
      <c r="T15" s="2110" t="s">
        <v>2067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2076</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2061</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2062</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2063</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61701</v>
      </c>
      <c r="B25" s="2038"/>
      <c r="C25" s="2038"/>
      <c r="D25" s="2038"/>
      <c r="E25" s="2038"/>
      <c r="F25" s="2038"/>
      <c r="G25" s="2038"/>
      <c r="H25" s="2039"/>
      <c r="I25" s="110"/>
      <c r="J25" s="2062"/>
      <c r="K25" s="2062"/>
      <c r="L25" s="2062"/>
      <c r="M25" s="2062"/>
      <c r="N25" s="2062"/>
      <c r="O25" s="2062"/>
      <c r="P25" s="2062"/>
      <c r="Q25" s="2062"/>
      <c r="R25" s="2062"/>
      <c r="S25" s="2063"/>
      <c r="T25" s="2124" t="s">
        <v>2068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2065</v>
      </c>
      <c r="B42" s="2057"/>
      <c r="C42" s="2058"/>
      <c r="D42" s="2056" t="s">
        <v>2066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526135</v>
      </c>
      <c r="D12" s="1771">
        <v>54287</v>
      </c>
      <c r="E12" s="1771">
        <v>10579</v>
      </c>
      <c r="F12" s="1765">
        <f>(C12+D12)-E12</f>
        <v>569843</v>
      </c>
      <c r="G12" s="681">
        <v>10</v>
      </c>
      <c r="H12" s="619">
        <v>278700</v>
      </c>
      <c r="I12" s="619">
        <v>56981</v>
      </c>
      <c r="J12" s="619">
        <v>10579</v>
      </c>
      <c r="K12" s="1442">
        <f>(H12+I12)-J12</f>
        <v>325102</v>
      </c>
      <c r="L12" s="1442">
        <f>F12-K12</f>
        <v>244741</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526135</v>
      </c>
      <c r="D16" s="1765">
        <f>SUM(D3,D5:D6,D8:D10,D12:D15)</f>
        <v>54287</v>
      </c>
      <c r="E16" s="1765">
        <f>SUM(E3,E5:E6,E8:E10,E12:E15)</f>
        <v>10579</v>
      </c>
      <c r="F16" s="1765">
        <f>SUM(F3,F5:F6,F8:F10,F12:F15)</f>
        <v>569843</v>
      </c>
      <c r="G16" s="681"/>
      <c r="H16" s="1435">
        <f>SUM(H3,H6,H8:H10,H12:H14,)</f>
        <v>278700</v>
      </c>
      <c r="I16" s="1435">
        <f>SUM(I3,I6,I8:I10,I12:I14,)</f>
        <v>56981</v>
      </c>
      <c r="J16" s="1435">
        <f>SUM(J3,J6,J8:J10,J12:J14,)</f>
        <v>10579</v>
      </c>
      <c r="K16" s="1435">
        <f>(H16+I16)-J16</f>
        <v>325102</v>
      </c>
      <c r="L16" s="1435">
        <f>F16-K16</f>
        <v>244741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56981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1196420</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1196420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676324</v>
      </c>
      <c r="G53" s="701"/>
    </row>
    <row r="54" spans="1:7" x14ac:dyDescent="0.2">
      <c r="A54" s="705" t="s">
        <v>456</v>
      </c>
      <c r="B54" s="705" t="s">
        <v>1459</v>
      </c>
      <c r="C54" s="724" t="s">
        <v>975</v>
      </c>
      <c r="D54" s="720" t="s">
        <v>1086</v>
      </c>
      <c r="E54" s="704"/>
      <c r="F54" s="1782">
        <f>'Expenditures 15-22'!G114</f>
        <v>54287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730611</v>
      </c>
      <c r="G77" s="701"/>
    </row>
    <row r="78" spans="1:9" s="728" customFormat="1" ht="12" customHeight="1" thickTop="1" thickBot="1" x14ac:dyDescent="0.25">
      <c r="A78" s="1450"/>
      <c r="B78" s="1448"/>
      <c r="C78" s="1445"/>
      <c r="D78" s="1449" t="s">
        <v>2012</v>
      </c>
      <c r="E78" s="1447"/>
      <c r="F78" s="1788">
        <f>(F14-F77)</f>
        <v>465809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51855</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52369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283200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387424</v>
      </c>
    </row>
    <row r="176" spans="1:7" ht="12" customHeight="1" x14ac:dyDescent="0.2">
      <c r="A176" s="1443"/>
      <c r="B176" s="1453"/>
      <c r="C176" s="1454"/>
      <c r="D176" s="1455" t="s">
        <v>2014</v>
      </c>
      <c r="E176" s="1456"/>
      <c r="F176" s="1793">
        <f>'PCTC-OEPP 27-28'!F78-F175</f>
        <v>78385</v>
      </c>
    </row>
    <row r="177" spans="1:9" ht="12" customHeight="1" x14ac:dyDescent="0.2">
      <c r="A177" s="1443"/>
      <c r="B177" s="1453"/>
      <c r="C177" s="1454"/>
      <c r="D177" s="1455" t="s">
        <v>1794</v>
      </c>
      <c r="E177" s="1456"/>
      <c r="F177" s="1793">
        <f>'Cap Outlay Deprec 26'!I18</f>
        <v>56981</v>
      </c>
    </row>
    <row r="178" spans="1:9" ht="12" customHeight="1" x14ac:dyDescent="0.2">
      <c r="A178" s="1443"/>
      <c r="B178" s="1453"/>
      <c r="C178" s="1454"/>
      <c r="D178" s="1455" t="s">
        <v>2015</v>
      </c>
      <c r="E178" s="1456"/>
      <c r="F178" s="1793">
        <f>F176+F177</f>
        <v>135366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145601</v>
      </c>
      <c r="F19" s="1802"/>
      <c r="G19" s="1804">
        <f>'Expenditures 15-22'!K33-SUM('Expenditures 15-22'!G33,'Expenditures 15-22'!I33)+'Expenditures 15-22'!D229</f>
        <v>145601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66840</v>
      </c>
      <c r="F21" s="1805"/>
      <c r="G21" s="1808">
        <f>'Expenditures 15-22'!K42-SUM('Expenditures 15-22'!G42,'Expenditures 15-22'!I42)+'Expenditures 15-22'!K120-SUM('Expenditures 15-22'!G120,'Expenditures 15-22'!I120)+'Expenditures 15-22'!K180-SUM('Expenditures 15-22'!G180,'Expenditures 15-22'!I180)+'Expenditures 15-22'!D238</f>
        <v>66840</v>
      </c>
      <c r="H21" s="817"/>
      <c r="I21" s="157"/>
    </row>
    <row r="22" spans="1:9" s="542" customFormat="1" ht="12" customHeight="1" x14ac:dyDescent="0.2">
      <c r="A22" s="824" t="s">
        <v>560</v>
      </c>
      <c r="B22" s="825"/>
      <c r="C22" s="823">
        <v>2200</v>
      </c>
      <c r="D22" s="1805"/>
      <c r="E22" s="1807">
        <f>'Expenditures 15-22'!K47-SUM('Expenditures 15-22'!G47,'Expenditures 15-22'!I47)+'Expenditures 15-22'!D243</f>
        <v>123487</v>
      </c>
      <c r="F22" s="1805"/>
      <c r="G22" s="1808">
        <f>'Expenditures 15-22'!K47-SUM('Expenditures 15-22'!G47,'Expenditures 15-22'!I47)+'Expenditures 15-22'!D243</f>
        <v>123487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129881</v>
      </c>
      <c r="F23" s="1805"/>
      <c r="G23" s="1807">
        <f>'Expenditures 15-22'!K53-SUM('Expenditures 15-22'!G53,'Expenditures 15-22'!I53)+'Expenditures 15-22'!D257+'Expenditures 15-22'!K330-SUM('Expenditures 15-22'!G330,'Expenditures 15-22'!I330)</f>
        <v>129881</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465809</v>
      </c>
      <c r="F41" s="1809">
        <f>SUM(F19:F39)</f>
        <v>0</v>
      </c>
      <c r="G41" s="1809">
        <f>SUM(G19:G40)</f>
        <v>465809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465809</v>
      </c>
      <c r="F44" s="1458" t="s">
        <v>471</v>
      </c>
      <c r="G44" s="1810">
        <f>G41</f>
        <v>465809</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McLean/Dewitt Reg Voc System</v>
      </c>
      <c r="D6" s="2415"/>
      <c r="E6" s="2415"/>
      <c r="F6" s="1482"/>
      <c r="G6" s="1507"/>
      <c r="L6" s="1507"/>
      <c r="M6" s="1855"/>
      <c r="N6" s="1855"/>
      <c r="O6" s="1855"/>
    </row>
    <row r="7" spans="1:15" ht="11.25" customHeight="1" thickBot="1" x14ac:dyDescent="0.3">
      <c r="A7" s="1480"/>
      <c r="B7" s="1481"/>
      <c r="C7" s="2416">
        <f>COVER!A13</f>
        <v>17064087046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2051</v>
      </c>
      <c r="D12" s="1495" t="s">
        <v>2051</v>
      </c>
      <c r="E12" s="1498"/>
      <c r="F12" s="1497" t="s">
        <v>2070</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2051</v>
      </c>
      <c r="D18" s="1495" t="s">
        <v>2051</v>
      </c>
      <c r="E18" s="1498"/>
      <c r="F18" s="1497" t="s">
        <v>2070</v>
      </c>
      <c r="G18" s="1507"/>
      <c r="H18" s="1507">
        <f t="shared" si="0"/>
        <v>5</v>
      </c>
      <c r="I18" s="1507">
        <f t="shared" si="1"/>
        <v>5</v>
      </c>
      <c r="J18" s="1507">
        <f t="shared" si="2"/>
        <v>0</v>
      </c>
      <c r="L18" s="1507"/>
      <c r="M18" s="1855"/>
      <c r="N18" s="1855"/>
      <c r="O18" s="1855"/>
    </row>
    <row r="19" spans="1:15" ht="12" customHeight="1" x14ac:dyDescent="0.2">
      <c r="A19" s="1493" t="s">
        <v>1510</v>
      </c>
      <c r="B19" s="1494"/>
      <c r="C19" s="1495" t="s">
        <v>2051</v>
      </c>
      <c r="D19" s="1495" t="s">
        <v>2051</v>
      </c>
      <c r="E19" s="1498"/>
      <c r="F19" s="1497" t="s">
        <v>2070</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2051</v>
      </c>
      <c r="D21" s="1495" t="s">
        <v>2051</v>
      </c>
      <c r="E21" s="1498"/>
      <c r="F21" s="1497" t="s">
        <v>2070</v>
      </c>
      <c r="G21" s="1507"/>
      <c r="H21" s="1507">
        <f t="shared" si="0"/>
        <v>5</v>
      </c>
      <c r="I21" s="1507">
        <f t="shared" si="1"/>
        <v>5</v>
      </c>
      <c r="J21" s="1507">
        <f t="shared" si="2"/>
        <v>0</v>
      </c>
      <c r="L21" s="1507"/>
      <c r="M21" s="1855"/>
      <c r="N21" s="1855"/>
      <c r="O21" s="1855"/>
    </row>
    <row r="22" spans="1:15" ht="12" customHeight="1" x14ac:dyDescent="0.2">
      <c r="A22" s="1493" t="s">
        <v>1513</v>
      </c>
      <c r="B22" s="1494"/>
      <c r="C22" s="1495" t="s">
        <v>2051</v>
      </c>
      <c r="D22" s="1495" t="s">
        <v>2051</v>
      </c>
      <c r="E22" s="1498"/>
      <c r="F22" s="1497" t="s">
        <v>2070</v>
      </c>
      <c r="G22" s="1507"/>
      <c r="H22" s="1507">
        <f t="shared" si="0"/>
        <v>5</v>
      </c>
      <c r="I22" s="1507">
        <f t="shared" si="1"/>
        <v>5</v>
      </c>
      <c r="J22" s="1507">
        <f t="shared" si="2"/>
        <v>0</v>
      </c>
      <c r="L22" s="1507"/>
      <c r="M22" s="1855"/>
      <c r="N22" s="1855"/>
      <c r="O22" s="1855"/>
    </row>
    <row r="23" spans="1:15" ht="12" customHeight="1" x14ac:dyDescent="0.2">
      <c r="A23" s="1493" t="s">
        <v>1514</v>
      </c>
      <c r="B23" s="1494"/>
      <c r="C23" s="1495" t="s">
        <v>2051</v>
      </c>
      <c r="D23" s="1495" t="s">
        <v>2051</v>
      </c>
      <c r="E23" s="1498"/>
      <c r="F23" s="1497" t="s">
        <v>2070</v>
      </c>
      <c r="G23" s="1507"/>
      <c r="H23" s="1507">
        <f t="shared" si="0"/>
        <v>5</v>
      </c>
      <c r="I23" s="1507">
        <f t="shared" si="1"/>
        <v>5</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2070</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2051</v>
      </c>
      <c r="D29" s="1495" t="s">
        <v>2051</v>
      </c>
      <c r="E29" s="1498"/>
      <c r="F29" s="1497" t="s">
        <v>2070</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2051</v>
      </c>
      <c r="D30" s="1495" t="s">
        <v>2051</v>
      </c>
      <c r="E30" s="1498"/>
      <c r="F30" s="1497" t="s">
        <v>2070</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1497" t="s">
        <v>2070</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McLean/Dewitt Reg Voc System</v>
      </c>
      <c r="K6" s="2437"/>
      <c r="L6" s="2451"/>
      <c r="M6" s="838"/>
      <c r="N6" s="1999"/>
    </row>
    <row r="7" spans="1:14" x14ac:dyDescent="0.2">
      <c r="A7" s="2452" t="s">
        <v>864</v>
      </c>
      <c r="B7" s="2453"/>
      <c r="C7" s="2453"/>
      <c r="D7" s="2453"/>
      <c r="E7" s="2454"/>
      <c r="F7" s="839"/>
      <c r="G7" s="838"/>
      <c r="H7" s="838"/>
      <c r="I7" s="1925" t="s">
        <v>369</v>
      </c>
      <c r="J7" s="2439">
        <f>COVER!A13</f>
        <v>17064087046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129881</v>
      </c>
      <c r="F13" s="1943"/>
      <c r="G13" s="1969">
        <f>H68</f>
        <v>0</v>
      </c>
      <c r="H13" s="1945">
        <f t="shared" si="0"/>
        <v>129881</v>
      </c>
      <c r="I13" s="1944">
        <v>129877</v>
      </c>
      <c r="J13" s="1943"/>
      <c r="K13" s="1944"/>
      <c r="L13" s="1945">
        <f t="shared" si="1"/>
        <v>129877</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129881</v>
      </c>
      <c r="F19" s="1951">
        <f t="shared" si="2"/>
        <v>0</v>
      </c>
      <c r="G19" s="1951">
        <f t="shared" ref="G19" si="3">SUM(G12:G17)-G18</f>
        <v>0</v>
      </c>
      <c r="H19" s="1951">
        <f t="shared" si="2"/>
        <v>129881</v>
      </c>
      <c r="I19" s="1951">
        <f t="shared" si="2"/>
        <v>129877</v>
      </c>
      <c r="J19" s="1951">
        <f t="shared" si="2"/>
        <v>0</v>
      </c>
      <c r="K19" s="1951">
        <f t="shared" si="2"/>
        <v>0</v>
      </c>
      <c r="L19" s="1951">
        <f t="shared" si="2"/>
        <v>129877</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-3.0797422255757192E-5</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McLean/Dewitt Reg Voc System</v>
      </c>
      <c r="M52" s="2437"/>
      <c r="N52" s="2438"/>
    </row>
    <row r="53" spans="1:14" x14ac:dyDescent="0.2">
      <c r="A53" s="1983"/>
      <c r="B53" s="1984"/>
      <c r="C53" s="1984"/>
      <c r="D53" s="1984"/>
      <c r="E53" s="1984"/>
      <c r="F53" s="1984"/>
      <c r="G53" s="1984"/>
      <c r="H53" s="1984"/>
      <c r="I53" s="1984"/>
      <c r="J53" s="1984"/>
      <c r="K53" s="1925" t="s">
        <v>369</v>
      </c>
      <c r="L53" s="2439">
        <f>J7</f>
        <v>17064087046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2071</v>
      </c>
    </row>
    <row r="6" spans="1:2" x14ac:dyDescent="0.2">
      <c r="A6" s="847">
        <v>2</v>
      </c>
      <c r="B6" s="307" t="s">
        <v>2072</v>
      </c>
    </row>
    <row r="7" spans="1:2" x14ac:dyDescent="0.2">
      <c r="A7" s="847"/>
      <c r="B7" s="307" t="s">
        <v>2073</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McLean/Dewitt Reg Voc System</v>
      </c>
    </row>
    <row r="65" spans="2:2" x14ac:dyDescent="0.2">
      <c r="B65" s="849">
        <f>COVER!A13</f>
        <v>17064087046</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1771650</xdr:colOff>
                <xdr:row>0</xdr:row>
                <xdr:rowOff>133350</xdr:rowOff>
              </from>
              <to>
                <xdr:col>1</xdr:col>
                <xdr:colOff>2686050</xdr:colOff>
                <xdr:row>5</xdr:row>
                <xdr:rowOff>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1063292</v>
      </c>
      <c r="C8" s="1813">
        <f>'Acct Summary 7-8'!D8</f>
        <v>0</v>
      </c>
      <c r="D8" s="1813">
        <f>'Acct Summary 7-8'!F8</f>
        <v>0</v>
      </c>
      <c r="E8" s="1813">
        <f>'Acct Summary 7-8'!I8</f>
        <v>0</v>
      </c>
      <c r="F8" s="1813">
        <f>SUM(B8:E8)</f>
        <v>1063292</v>
      </c>
    </row>
    <row r="9" spans="1:8" s="858" customFormat="1" ht="14.25" customHeight="1" thickBot="1" x14ac:dyDescent="0.25">
      <c r="A9" s="857" t="s">
        <v>1353</v>
      </c>
      <c r="B9" s="1814">
        <f>'Acct Summary 7-8'!C17</f>
        <v>1196420</v>
      </c>
      <c r="C9" s="1814">
        <f>'Acct Summary 7-8'!D17</f>
        <v>0</v>
      </c>
      <c r="D9" s="1814">
        <f>'Acct Summary 7-8'!F17</f>
        <v>0</v>
      </c>
      <c r="E9" s="1813"/>
      <c r="F9" s="1813">
        <f>SUM(B9:E9)</f>
        <v>1196420</v>
      </c>
    </row>
    <row r="10" spans="1:8" s="858" customFormat="1" ht="14.25" thickTop="1" thickBot="1" x14ac:dyDescent="0.25">
      <c r="A10" s="859" t="s">
        <v>1354</v>
      </c>
      <c r="B10" s="1815">
        <f>(B8-B9)</f>
        <v>-133128</v>
      </c>
      <c r="C10" s="1815">
        <f>(C8-C9)</f>
        <v>0</v>
      </c>
      <c r="D10" s="1815">
        <f>(D8-D9)</f>
        <v>0</v>
      </c>
      <c r="E10" s="1814">
        <f>(E8-E9)</f>
        <v>0</v>
      </c>
      <c r="F10" s="1816">
        <f>SUM(F8-F9)</f>
        <v>-133128</v>
      </c>
    </row>
    <row r="11" spans="1:8" s="858" customFormat="1" ht="14.25" thickTop="1" thickBot="1" x14ac:dyDescent="0.25">
      <c r="A11" s="860" t="s">
        <v>1903</v>
      </c>
      <c r="B11" s="1817">
        <f>'Acct Summary 7-8'!C81</f>
        <v>65968</v>
      </c>
      <c r="C11" s="1817">
        <f>'Acct Summary 7-8'!D81</f>
        <v>0</v>
      </c>
      <c r="D11" s="1817">
        <f>'Acct Summary 7-8'!F81</f>
        <v>0</v>
      </c>
      <c r="E11" s="1817">
        <f>'Acct Summary 7-8'!I81</f>
        <v>0</v>
      </c>
      <c r="F11" s="1818">
        <f>SUM(B11:E11)</f>
        <v>65968</v>
      </c>
    </row>
    <row r="12" spans="1:8" ht="16.5" customHeight="1" thickTop="1" x14ac:dyDescent="0.2">
      <c r="A12" s="861"/>
      <c r="B12" s="862"/>
      <c r="C12" s="247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C88" sqref="C8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17064087046</v>
      </c>
      <c r="E2" s="1542">
        <v>2020</v>
      </c>
      <c r="F2" s="1542">
        <v>1</v>
      </c>
      <c r="G2" s="1899">
        <v>101000300</v>
      </c>
    </row>
    <row r="3" spans="1:7" ht="15" x14ac:dyDescent="0.25">
      <c r="A3" t="s">
        <v>950</v>
      </c>
      <c r="B3" s="135" t="str">
        <f>COVER!A15</f>
        <v>McLean</v>
      </c>
      <c r="E3" s="1830" t="s">
        <v>1971</v>
      </c>
      <c r="F3" s="1830" t="s">
        <v>1970</v>
      </c>
      <c r="G3" s="1899">
        <v>101000400</v>
      </c>
    </row>
    <row r="4" spans="1:7" ht="15" x14ac:dyDescent="0.25">
      <c r="A4" t="s">
        <v>1000</v>
      </c>
      <c r="B4" s="135" t="str">
        <f>COVER!A17</f>
        <v xml:space="preserve"> McLean/Dewitt Reg Voc System</v>
      </c>
      <c r="E4" s="1828">
        <v>44119</v>
      </c>
      <c r="F4" s="1829">
        <v>44151</v>
      </c>
      <c r="G4" s="1899">
        <v>101000600</v>
      </c>
    </row>
    <row r="5" spans="1:7" ht="15" x14ac:dyDescent="0.25">
      <c r="A5" t="s">
        <v>699</v>
      </c>
      <c r="B5" s="135" t="str">
        <f>COVER!A38</f>
        <v>Dr. Barry Reilly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15753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65968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15863</v>
      </c>
      <c r="D92" s="2" t="str">
        <f t="shared" si="0"/>
        <v>Error?</v>
      </c>
      <c r="G92" s="1899">
        <v>102640600</v>
      </c>
    </row>
    <row r="93" spans="1:7" ht="15" x14ac:dyDescent="0.25">
      <c r="A93" s="5">
        <v>32</v>
      </c>
      <c r="B93" s="1832">
        <f>'Assets-Liab 5-6'!C41</f>
        <v>65968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569843</v>
      </c>
      <c r="C279" s="2" t="s">
        <v>569</v>
      </c>
      <c r="D279" s="2" t="str">
        <f t="shared" si="3"/>
        <v>Error?</v>
      </c>
    </row>
    <row r="280" spans="1:4" x14ac:dyDescent="0.2">
      <c r="A280" s="5">
        <v>219</v>
      </c>
      <c r="B280" s="1832">
        <f>'Assets-Liab 5-6'!M40</f>
        <v>569843</v>
      </c>
      <c r="D280" s="2" t="str">
        <f t="shared" si="3"/>
        <v>Error?</v>
      </c>
    </row>
    <row r="281" spans="1:4" x14ac:dyDescent="0.2">
      <c r="A281" s="5">
        <v>220</v>
      </c>
      <c r="B281" s="1832">
        <f>'Assets-Liab 5-6'!M41</f>
        <v>569843</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18949</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18949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27989</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27989</v>
      </c>
      <c r="C727" s="2" t="s">
        <v>569</v>
      </c>
      <c r="D727" s="2" t="str">
        <f t="shared" si="10"/>
        <v>Error?</v>
      </c>
    </row>
    <row r="728" spans="1:4" x14ac:dyDescent="0.2">
      <c r="A728" s="5">
        <v>667</v>
      </c>
      <c r="B728" s="1832">
        <f>'Expenditures 15-22'!C44</f>
        <v>89197</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89197</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87550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204736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223685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11777</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11777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12213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12213</v>
      </c>
      <c r="C785" s="2" t="s">
        <v>569</v>
      </c>
      <c r="D785" s="2" t="str">
        <f t="shared" si="11"/>
        <v>Error?</v>
      </c>
    </row>
    <row r="786" spans="1:4" x14ac:dyDescent="0.2">
      <c r="A786" s="5">
        <v>725</v>
      </c>
      <c r="B786" s="1832">
        <f>'Expenditures 15-22'!D44</f>
        <v>26716</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26716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33237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72166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83943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33859</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33859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26638</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26638</v>
      </c>
      <c r="C843" s="2" t="s">
        <v>569</v>
      </c>
      <c r="D843" s="2" t="str">
        <f t="shared" si="12"/>
        <v>Error?</v>
      </c>
    </row>
    <row r="844" spans="1:4" x14ac:dyDescent="0.2">
      <c r="A844" s="5">
        <v>783</v>
      </c>
      <c r="B844" s="1832">
        <f>'Expenditures 15-22'!E44</f>
        <v>797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6594</v>
      </c>
      <c r="D846" s="2" t="str">
        <f t="shared" si="12"/>
        <v>Error?</v>
      </c>
    </row>
    <row r="847" spans="1:4" x14ac:dyDescent="0.2">
      <c r="A847" s="5">
        <v>786</v>
      </c>
      <c r="B847" s="1832">
        <f>'Expenditures 15-22'!E47</f>
        <v>7391</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7491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41520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77570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81016</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81016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183</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183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1603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1786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82802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54287</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54287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54287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674133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674133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199888</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199888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66840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66840</v>
      </c>
      <c r="C1115" s="2" t="s">
        <v>569</v>
      </c>
      <c r="D1115" s="2" t="str">
        <f t="shared" si="16"/>
        <v>Error?</v>
      </c>
    </row>
    <row r="1116" spans="1:4" x14ac:dyDescent="0.2">
      <c r="A1116" s="5">
        <v>1055</v>
      </c>
      <c r="B1116" s="1832">
        <f>'Expenditures 15-22'!K44</f>
        <v>116893</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6594</v>
      </c>
      <c r="C1118" s="2" t="s">
        <v>569</v>
      </c>
      <c r="D1118" s="2" t="str">
        <f t="shared" si="16"/>
        <v>Error?</v>
      </c>
    </row>
    <row r="1119" spans="1:4" x14ac:dyDescent="0.2">
      <c r="A1119" s="5">
        <v>1058</v>
      </c>
      <c r="B1119" s="1832">
        <f>'Expenditures 15-22'!K47</f>
        <v>123487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129881</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320208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676324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1196420</v>
      </c>
      <c r="C1152" s="2" t="s">
        <v>569</v>
      </c>
      <c r="D1152" s="2" t="str">
        <f t="shared" si="17"/>
        <v>Error?</v>
      </c>
    </row>
    <row r="1153" spans="1:4" x14ac:dyDescent="0.2">
      <c r="A1153" s="5">
        <v>1092</v>
      </c>
      <c r="B1153" s="1832">
        <f>'Expenditures 15-22'!K115</f>
        <v>-133128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199096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65968</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526135</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526135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54287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54287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10579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10579</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569843</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569843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278700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278700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56981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56981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10579</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10579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325102</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325102</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244741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244741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2191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50105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53590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52369</v>
      </c>
      <c r="C2553" s="2" t="s">
        <v>569</v>
      </c>
      <c r="D2553" s="2" t="str">
        <f t="shared" si="38"/>
        <v>Error?</v>
      </c>
    </row>
    <row r="2554" spans="1:4" x14ac:dyDescent="0.2">
      <c r="A2554" s="5">
        <v>2493</v>
      </c>
      <c r="B2554" s="1832">
        <f>'Acct Summary 7-8'!C7</f>
        <v>283200</v>
      </c>
      <c r="C2554" s="2" t="s">
        <v>569</v>
      </c>
      <c r="D2554" s="2" t="str">
        <f t="shared" si="38"/>
        <v>Error?</v>
      </c>
    </row>
    <row r="2555" spans="1:4" x14ac:dyDescent="0.2">
      <c r="A2555" s="5">
        <v>2494</v>
      </c>
      <c r="B2555" s="1832">
        <f>'Acct Summary 7-8'!C8</f>
        <v>1063292</v>
      </c>
      <c r="C2555" s="2" t="s">
        <v>569</v>
      </c>
      <c r="D2555" s="2" t="str">
        <f t="shared" si="38"/>
        <v>Error?</v>
      </c>
    </row>
    <row r="2556" spans="1:4" x14ac:dyDescent="0.2">
      <c r="A2556" s="5">
        <v>2495</v>
      </c>
      <c r="B2556" s="1832">
        <f>'Acct Summary 7-8'!C12</f>
        <v>199888</v>
      </c>
      <c r="C2556" s="2" t="s">
        <v>569</v>
      </c>
      <c r="D2556" s="2" t="str">
        <f t="shared" si="38"/>
        <v>Error?</v>
      </c>
    </row>
    <row r="2557" spans="1:4" x14ac:dyDescent="0.2">
      <c r="A2557" s="5">
        <v>2496</v>
      </c>
      <c r="B2557" s="1832">
        <f>'Acct Summary 7-8'!C13</f>
        <v>320208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676324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1196420</v>
      </c>
      <c r="C2561" s="2" t="s">
        <v>569</v>
      </c>
      <c r="D2561" s="2" t="str">
        <f t="shared" si="39"/>
        <v>Error?</v>
      </c>
    </row>
    <row r="2562" spans="1:4" x14ac:dyDescent="0.2">
      <c r="A2562" s="5">
        <v>2501</v>
      </c>
      <c r="B2562" s="1832">
        <f>'Acct Summary 7-8'!C20</f>
        <v>-133128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87550</v>
      </c>
      <c r="D2718" s="2" t="str">
        <f t="shared" si="41"/>
        <v>Error?</v>
      </c>
    </row>
    <row r="2719" spans="1:4" x14ac:dyDescent="0.2">
      <c r="A2719" s="5">
        <v>2658</v>
      </c>
      <c r="B2719" s="1832">
        <f>'Expenditures 15-22'!D51</f>
        <v>33237</v>
      </c>
      <c r="D2719" s="2" t="str">
        <f t="shared" si="41"/>
        <v>Error?</v>
      </c>
    </row>
    <row r="2720" spans="1:4" x14ac:dyDescent="0.2">
      <c r="A2720" s="5">
        <v>2659</v>
      </c>
      <c r="B2720" s="1832">
        <f>'Expenditures 15-22'!E51</f>
        <v>7491</v>
      </c>
      <c r="D2720" s="2" t="str">
        <f t="shared" si="41"/>
        <v>Error?</v>
      </c>
    </row>
    <row r="2721" spans="1:4" x14ac:dyDescent="0.2">
      <c r="A2721" s="5">
        <v>2660</v>
      </c>
      <c r="B2721" s="1832">
        <f>'Expenditures 15-22'!F51</f>
        <v>1603</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129881</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2191</v>
      </c>
      <c r="C2789" s="2" t="s">
        <v>569</v>
      </c>
      <c r="D2789" s="2" t="str">
        <f t="shared" si="42"/>
        <v>Error?</v>
      </c>
    </row>
    <row r="2790" spans="1:4" x14ac:dyDescent="0.2">
      <c r="A2790" s="5">
        <v>2729</v>
      </c>
      <c r="B2790" s="1832">
        <f>'Expenditures 15-22'!E102</f>
        <v>2191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569843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2191</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2191</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-133128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674133</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50215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1063292</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1196420</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65968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283200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51855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f>'FP Info 3'!H31</f>
        <v>0</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885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885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52705</v>
      </c>
      <c r="C5120" s="2" t="s">
        <v>569</v>
      </c>
      <c r="D5120" s="2" t="str">
        <f t="shared" si="79"/>
        <v>Error?</v>
      </c>
    </row>
    <row r="5121" spans="1:4" x14ac:dyDescent="0.2">
      <c r="A5121" s="5">
        <v>5060</v>
      </c>
      <c r="B5121" s="1832">
        <f>'Revenues 9-14'!C109</f>
        <v>53590</v>
      </c>
      <c r="C5121" s="2" t="s">
        <v>569</v>
      </c>
      <c r="D5121" s="2" t="str">
        <f t="shared" si="79"/>
        <v>Error?</v>
      </c>
    </row>
    <row r="5122" spans="1:4" x14ac:dyDescent="0.2">
      <c r="A5122" s="5">
        <v>5061</v>
      </c>
      <c r="B5122" s="1832">
        <f>'Revenues 9-14'!C111</f>
        <v>674133</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674133</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52369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52369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52369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52369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283200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283200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283200</v>
      </c>
      <c r="C5326" s="2" t="s">
        <v>569</v>
      </c>
      <c r="D5326" s="2" t="str">
        <f t="shared" si="82"/>
        <v>Error?</v>
      </c>
    </row>
    <row r="5327" spans="1:5" x14ac:dyDescent="0.2">
      <c r="A5327" s="5">
        <v>5266</v>
      </c>
      <c r="B5327" s="1832">
        <f>'Revenues 9-14'!C268</f>
        <v>1063292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-133128</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-2.0180693669658014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674133</v>
      </c>
      <c r="D7002" s="2" t="str">
        <f t="shared" si="108"/>
        <v>Error?</v>
      </c>
    </row>
    <row r="7003" spans="1:4" x14ac:dyDescent="0.2">
      <c r="A7003">
        <v>6942</v>
      </c>
      <c r="B7003" s="1832">
        <f>'Expenditures 15-22'!K96</f>
        <v>674133</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674133</v>
      </c>
      <c r="D7012" s="2" t="str">
        <f t="shared" si="108"/>
        <v>Error?</v>
      </c>
    </row>
    <row r="7013" spans="1:4" x14ac:dyDescent="0.2">
      <c r="A7013">
        <v>6952</v>
      </c>
      <c r="B7013" s="1832">
        <f>'Expenditures 15-22'!K100</f>
        <v>674133</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56981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1196420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730611</v>
      </c>
      <c r="D7834" s="2" t="str">
        <f t="shared" si="129"/>
        <v>Error?</v>
      </c>
      <c r="E7834" s="4" t="s">
        <v>1998</v>
      </c>
    </row>
    <row r="7835" spans="1:5" x14ac:dyDescent="0.2">
      <c r="A7835">
        <v>7774</v>
      </c>
      <c r="B7835" s="1832">
        <f>'PCTC-OEPP 27-28'!F78</f>
        <v>465809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51855</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52369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283200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387424</v>
      </c>
      <c r="D7877" s="2" t="str">
        <f t="shared" si="129"/>
        <v>Error?</v>
      </c>
      <c r="E7877" s="4" t="s">
        <v>1998</v>
      </c>
    </row>
    <row r="7878" spans="1:5" x14ac:dyDescent="0.2">
      <c r="A7878">
        <v>7817</v>
      </c>
      <c r="B7878" s="1832">
        <f>'PCTC-OEPP 27-28'!F176</f>
        <v>78385</v>
      </c>
      <c r="D7878" s="2" t="str">
        <f t="shared" si="129"/>
        <v>Error?</v>
      </c>
      <c r="E7878" s="4" t="s">
        <v>1998</v>
      </c>
    </row>
    <row r="7879" spans="1:5" x14ac:dyDescent="0.2">
      <c r="A7879">
        <v>7818</v>
      </c>
      <c r="B7879" s="1832">
        <f>'PCTC-OEPP 27-28'!F178</f>
        <v>135366</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McLean/Dewitt Reg Voc System</v>
      </c>
      <c r="B7" s="2516"/>
      <c r="C7" s="2516"/>
      <c r="D7" s="2554"/>
      <c r="E7" s="2555">
        <f>COVER!A13</f>
        <v>17064087046</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Dr. Barry Reilly</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tcustis@gorenzcpa.com</v>
      </c>
      <c r="J13" s="2550"/>
      <c r="K13" s="2550"/>
      <c r="L13" s="2551"/>
    </row>
    <row r="14" spans="1:29" ht="13.5" customHeight="1" x14ac:dyDescent="0.2">
      <c r="A14" s="2528" t="str">
        <f>COVER!A19</f>
        <v>300 East Monroe</v>
      </c>
      <c r="B14" s="2541"/>
      <c r="C14" s="2541"/>
      <c r="D14" s="2541"/>
      <c r="E14" s="2541"/>
      <c r="F14" s="2542"/>
      <c r="G14" s="974" t="s">
        <v>1175</v>
      </c>
      <c r="H14" s="972"/>
      <c r="I14" s="972"/>
      <c r="J14" s="972"/>
      <c r="K14" s="972"/>
      <c r="L14" s="973"/>
    </row>
    <row r="15" spans="1:29" ht="13.5" customHeight="1" x14ac:dyDescent="0.2">
      <c r="A15" s="2528" t="str">
        <f>COVER!A21</f>
        <v>Bloomington</v>
      </c>
      <c r="B15" s="2541"/>
      <c r="C15" s="2541"/>
      <c r="D15" s="2541"/>
      <c r="E15" s="2541"/>
      <c r="F15" s="2542"/>
      <c r="G15" s="2538" t="str">
        <f>COVER!T15</f>
        <v>Tim C Custis, CPA</v>
      </c>
      <c r="H15" s="2539"/>
      <c r="I15" s="2539"/>
      <c r="J15" s="2539"/>
      <c r="K15" s="2539"/>
      <c r="L15" s="2540"/>
    </row>
    <row r="16" spans="1:29" ht="12.2" customHeight="1" x14ac:dyDescent="0.2">
      <c r="A16" s="2518">
        <f>COVER!A25</f>
        <v>61701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McLean/Dewitt Reg Voc System</v>
      </c>
      <c r="B1" s="2558"/>
      <c r="C1" s="2558"/>
      <c r="D1" s="2558"/>
    </row>
    <row r="2" spans="1:11" s="991" customFormat="1" ht="12.75" x14ac:dyDescent="0.2">
      <c r="A2" s="2559">
        <f>'Single Audit Cover'!E7</f>
        <v>17064087046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McLean/Dewitt Reg Voc System</v>
      </c>
      <c r="B1" s="2562"/>
      <c r="C1" s="2562"/>
      <c r="D1" s="2562"/>
      <c r="E1" s="2562"/>
    </row>
    <row r="2" spans="1:5" x14ac:dyDescent="0.2">
      <c r="A2" s="2563">
        <f>'Single Audit Cover'!E7</f>
        <v>17064087046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283200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283200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283200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283200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McLean/Dewitt Reg Voc System</v>
      </c>
      <c r="C1" s="2566"/>
      <c r="D1" s="2566"/>
      <c r="E1" s="2566"/>
      <c r="F1" s="2566"/>
      <c r="G1" s="2566"/>
      <c r="H1" s="2566"/>
      <c r="I1" s="2566"/>
      <c r="J1" s="2566"/>
      <c r="K1" s="2566"/>
      <c r="L1" s="2566"/>
      <c r="M1" s="2566"/>
    </row>
    <row r="2" spans="2:14" ht="15" x14ac:dyDescent="0.2">
      <c r="B2" s="2567">
        <f>'Single Audit Cover'!E7</f>
        <v>17064087046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McLean/Dewitt Reg Voc System</v>
      </c>
      <c r="B1" s="2571"/>
      <c r="C1" s="2571"/>
      <c r="D1" s="2571"/>
      <c r="E1" s="2571"/>
      <c r="F1" s="2571"/>
    </row>
    <row r="2" spans="1:7" ht="13.5" customHeight="1" x14ac:dyDescent="0.2">
      <c r="A2" s="2567">
        <f>'Single Audit Cover'!E7</f>
        <v>17064087046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2075</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McLean/Dewitt Reg Voc System</v>
      </c>
      <c r="C1" s="2587"/>
      <c r="D1" s="2587"/>
      <c r="E1" s="2587"/>
      <c r="F1" s="2587"/>
      <c r="G1" s="2587"/>
      <c r="H1" s="2587"/>
      <c r="I1" s="2587"/>
      <c r="J1" s="1178"/>
    </row>
    <row r="2" spans="2:10" s="295" customFormat="1" ht="12.75" customHeight="1" x14ac:dyDescent="0.2">
      <c r="B2" s="2588">
        <f>'Single Audit Cover'!E7</f>
        <v>17064087046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McLean/Dewitt Reg Voc System</v>
      </c>
      <c r="C1" s="2586"/>
      <c r="D1" s="2586"/>
      <c r="E1" s="2586"/>
      <c r="F1" s="2586"/>
      <c r="G1" s="2586"/>
      <c r="H1" s="2586"/>
      <c r="I1" s="2586"/>
      <c r="J1" s="2586"/>
      <c r="K1" s="2586"/>
      <c r="L1" s="1144"/>
      <c r="M1" s="1144"/>
    </row>
    <row r="2" spans="1:13" ht="12" customHeight="1" x14ac:dyDescent="0.2">
      <c r="B2" s="2588">
        <f>'Single Audit Cover'!E7</f>
        <v>17064087046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t="s">
        <v>2069</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McLean/Dewitt Reg Voc System</v>
      </c>
      <c r="C1" s="2613"/>
      <c r="D1" s="2613"/>
      <c r="E1" s="2613"/>
      <c r="F1" s="2613"/>
      <c r="G1" s="2613"/>
      <c r="H1" s="2613"/>
      <c r="I1" s="2613"/>
      <c r="J1" s="2613"/>
      <c r="K1" s="2613"/>
      <c r="L1" s="1221"/>
    </row>
    <row r="2" spans="1:12" ht="12.75" customHeight="1" x14ac:dyDescent="0.2">
      <c r="B2" s="2614">
        <f>'Single Audit Cover'!E7</f>
        <v>17064087046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McLean/Dewitt Reg Voc System</v>
      </c>
      <c r="C1" s="2586"/>
      <c r="D1" s="2586"/>
      <c r="E1" s="1240"/>
    </row>
    <row r="2" spans="2:5" s="1058" customFormat="1" ht="12.75" customHeight="1" x14ac:dyDescent="0.2">
      <c r="B2" s="2588">
        <f>'Single Audit Cover'!E7</f>
        <v>17064087046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2074</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1063292</v>
      </c>
      <c r="E16" s="1547"/>
      <c r="F16" s="1546">
        <f>SUM('Acct Summary 7-8'!C17,'Acct Summary 7-8'!D17,'Acct Summary 7-8'!F17)</f>
        <v>1196420</v>
      </c>
      <c r="G16" s="1547"/>
      <c r="H16" s="1546">
        <f>SUM(D16-F16)</f>
        <v>-133128</v>
      </c>
      <c r="I16" s="1548"/>
      <c r="J16" s="1546">
        <f>SUM('Acct Summary 7-8'!C81,'Acct Summary 7-8'!D81,'Acct Summary 7-8'!F81,'Acct Summary 7-8'!I81)</f>
        <v>65968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0</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McLean/Dewitt Reg Voc System</v>
      </c>
      <c r="E7" s="368"/>
      <c r="G7" s="247"/>
      <c r="H7" s="364"/>
      <c r="I7" s="364"/>
      <c r="J7" s="364"/>
      <c r="K7" s="364"/>
      <c r="L7" s="307"/>
      <c r="M7" s="307"/>
      <c r="N7" s="307"/>
      <c r="O7" s="307"/>
      <c r="P7" s="307"/>
    </row>
    <row r="8" spans="1:18" ht="12.75" x14ac:dyDescent="0.2">
      <c r="A8" s="307"/>
      <c r="B8" s="307"/>
      <c r="C8" s="366" t="s">
        <v>1115</v>
      </c>
      <c r="D8" s="369">
        <f>COVER!A13</f>
        <v>17064087046</v>
      </c>
      <c r="E8" s="370"/>
      <c r="G8" s="307"/>
      <c r="H8" s="307"/>
      <c r="I8" s="307"/>
      <c r="J8" s="307"/>
      <c r="K8" s="307"/>
      <c r="L8" s="307"/>
      <c r="M8" s="307"/>
      <c r="N8" s="307"/>
      <c r="O8" s="307"/>
      <c r="P8" s="307"/>
    </row>
    <row r="9" spans="1:18" ht="12.75" x14ac:dyDescent="0.2">
      <c r="A9" s="307"/>
      <c r="B9" s="307"/>
      <c r="C9" s="366" t="s">
        <v>708</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65968</v>
      </c>
      <c r="I12" s="380"/>
      <c r="J12" s="380"/>
      <c r="K12" s="1559">
        <f>TRUNC((H12/H13*100000),5)/100000</f>
        <v>6.2041283100000004E-2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1063292</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1196420</v>
      </c>
      <c r="I17" s="380"/>
      <c r="J17" s="389"/>
      <c r="K17" s="1559">
        <f>TRUNC((H17/H18*100000),5)/100000</f>
        <v>1.1252036129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1063292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-0.3031758</v>
      </c>
      <c r="K20" s="1559" t="str">
        <f>IF(K17&lt;=1,"0",IF(AND(O16="2", J20 &gt; 2),TRUNC(((K12-0.1)/(K17-1)*100),5)/100,IF(AND(O16 = "1", J20 &gt; 2),TRUNC(((K12-0.1)/(K17-1)*100),5)/100,IF(AND(O16="1", J20 &gt;1),TRUNC(((K12-0.1)/(K17-1)*100),5)/100,""))))</f>
        <v/>
      </c>
      <c r="L20" s="213"/>
      <c r="M20" s="337" t="s">
        <v>1135</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f>IF(K24&gt;=180,"4",IF(K24&gt;=90,"3",IF(K24&gt;=30,"2",1)))</f>
        <v>1</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65968</v>
      </c>
      <c r="I24" s="394"/>
      <c r="J24" s="394"/>
      <c r="K24" s="1555">
        <f>TRUNC(((H24/H25*100000)/100000),2)</f>
        <v>19.84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3323.3888900000002</v>
      </c>
      <c r="I25" s="396"/>
      <c r="J25" s="396"/>
      <c r="K25" s="1558"/>
      <c r="L25" s="213"/>
      <c r="M25" s="337" t="s">
        <v>1135</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#DIV/0!</v>
      </c>
      <c r="P31" s="211"/>
    </row>
    <row r="32" spans="1:18" s="382" customFormat="1" ht="11.25" x14ac:dyDescent="0.2">
      <c r="A32" s="213"/>
      <c r="B32" s="377"/>
      <c r="C32" s="213" t="s">
        <v>842</v>
      </c>
      <c r="D32" s="213"/>
      <c r="E32" s="213"/>
      <c r="F32" s="213"/>
      <c r="G32" s="378"/>
      <c r="H32" s="1551">
        <f>'FP Info 3'!H37</f>
        <v>0</v>
      </c>
      <c r="I32" s="392"/>
      <c r="J32" s="392"/>
      <c r="K32" s="1555" t="e">
        <f>TRUNC(100-((((H32/H33*100))*100)/100),2)</f>
        <v>#DIV/0!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0</v>
      </c>
      <c r="I33" s="392"/>
      <c r="J33" s="392"/>
      <c r="K33" s="379"/>
      <c r="L33" s="213"/>
      <c r="M33" s="401" t="s">
        <v>1135</v>
      </c>
      <c r="N33" s="401"/>
      <c r="O33" s="1568" t="e">
        <f>(O31*O32)</f>
        <v>#DIV/0!</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44" sqref="A44:H4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50215</v>
      </c>
      <c r="D4" s="1573">
        <v>0</v>
      </c>
      <c r="E4" s="1573">
        <v>0</v>
      </c>
      <c r="F4" s="1573">
        <v>0</v>
      </c>
      <c r="G4" s="1573">
        <v>0</v>
      </c>
      <c r="H4" s="1573">
        <v>0</v>
      </c>
      <c r="I4" s="1573">
        <v>0</v>
      </c>
      <c r="J4" s="1574">
        <v>0</v>
      </c>
      <c r="K4" s="1573">
        <v>0</v>
      </c>
      <c r="L4" s="1573">
        <v>0</v>
      </c>
      <c r="M4" s="1575"/>
      <c r="N4" s="1576"/>
    </row>
    <row r="5" spans="1:14" x14ac:dyDescent="0.2">
      <c r="A5" s="427" t="s">
        <v>985</v>
      </c>
      <c r="B5" s="429">
        <v>120</v>
      </c>
      <c r="C5" s="1572">
        <v>15753</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65968</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569843</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569843</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50105</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15863</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569843</v>
      </c>
      <c r="N40" s="1604"/>
    </row>
    <row r="41" spans="1:14" ht="13.5" customHeight="1" thickBot="1" x14ac:dyDescent="0.25">
      <c r="A41" s="1426" t="s">
        <v>650</v>
      </c>
      <c r="B41" s="1405"/>
      <c r="C41" s="1594">
        <f>(SUM(C34,C37,C38,C39))</f>
        <v>65968</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569843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4" sqref="A44:H4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53590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674133</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52369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283200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1063292</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1063292</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199888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320208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676324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1196420</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1196420</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-133128</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-133128</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199096</v>
      </c>
      <c r="D79" s="1583">
        <v>0</v>
      </c>
      <c r="E79" s="1630">
        <v>0</v>
      </c>
      <c r="F79" s="1630">
        <v>0</v>
      </c>
      <c r="G79" s="1630">
        <v>0</v>
      </c>
      <c r="H79" s="1630">
        <v>0</v>
      </c>
      <c r="I79" s="1630">
        <v>0</v>
      </c>
      <c r="J79" s="1630">
        <v>0</v>
      </c>
      <c r="K79" s="1630">
        <v>0</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65968</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-133128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-2.0180693669658014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4" activePane="bottomLeft" state="frozen"/>
      <selection activeCell="A44" sqref="A44:H44"/>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885</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885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850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51855</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52705</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53590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674133</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674133</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52369</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52369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52369</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52369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283200</v>
      </c>
      <c r="D220" s="1573">
        <v>0</v>
      </c>
      <c r="E220" s="1575"/>
      <c r="F220" s="1575"/>
      <c r="G220" s="1573">
        <v>0</v>
      </c>
      <c r="H220" s="1575"/>
      <c r="I220" s="1575"/>
      <c r="J220" s="1575"/>
      <c r="K220" s="1575"/>
    </row>
    <row r="221" spans="1:11" ht="12.75" customHeight="1" thickBot="1" x14ac:dyDescent="0.25">
      <c r="A221" s="1415" t="s">
        <v>1076</v>
      </c>
      <c r="B221" s="1416"/>
      <c r="C221" s="1633">
        <f>SUM(C219:C220)</f>
        <v>283200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283200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283200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1063292</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4" sqref="A44:H4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18949</v>
      </c>
      <c r="D13" s="1573">
        <v>11777</v>
      </c>
      <c r="E13" s="1573">
        <v>33859</v>
      </c>
      <c r="F13" s="1573">
        <v>81016</v>
      </c>
      <c r="G13" s="1573">
        <v>54287</v>
      </c>
      <c r="H13" s="1573">
        <v>0</v>
      </c>
      <c r="I13" s="1574">
        <v>0</v>
      </c>
      <c r="J13" s="1574">
        <v>0</v>
      </c>
      <c r="K13" s="1672">
        <f t="shared" si="0"/>
        <v>199888</v>
      </c>
      <c r="L13" s="1573">
        <v>143874</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18949</v>
      </c>
      <c r="D33" s="1674">
        <f t="shared" ref="D33:L33" si="1">SUM(D5:D32)</f>
        <v>11777</v>
      </c>
      <c r="E33" s="1674">
        <f t="shared" si="1"/>
        <v>33859</v>
      </c>
      <c r="F33" s="1674">
        <f t="shared" si="1"/>
        <v>81016</v>
      </c>
      <c r="G33" s="1674">
        <f t="shared" si="1"/>
        <v>54287</v>
      </c>
      <c r="H33" s="1674">
        <f t="shared" si="1"/>
        <v>0</v>
      </c>
      <c r="I33" s="1674">
        <f t="shared" si="1"/>
        <v>0</v>
      </c>
      <c r="J33" s="1674">
        <f t="shared" si="1"/>
        <v>0</v>
      </c>
      <c r="K33" s="1674">
        <f t="shared" si="1"/>
        <v>199888</v>
      </c>
      <c r="L33" s="1674">
        <f t="shared" si="1"/>
        <v>143874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27989</v>
      </c>
      <c r="D37" s="1573">
        <v>12213</v>
      </c>
      <c r="E37" s="1573">
        <v>26638</v>
      </c>
      <c r="F37" s="1573">
        <v>0</v>
      </c>
      <c r="G37" s="1573">
        <v>0</v>
      </c>
      <c r="H37" s="1573">
        <v>0</v>
      </c>
      <c r="I37" s="1574">
        <v>0</v>
      </c>
      <c r="J37" s="1574">
        <v>0</v>
      </c>
      <c r="K37" s="1672">
        <f t="shared" si="2"/>
        <v>66840</v>
      </c>
      <c r="L37" s="1573">
        <v>68579</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27989</v>
      </c>
      <c r="D42" s="1674">
        <f t="shared" ref="D42:L42" si="3">SUM(D36:D41)</f>
        <v>12213</v>
      </c>
      <c r="E42" s="1674">
        <f t="shared" si="3"/>
        <v>26638</v>
      </c>
      <c r="F42" s="1674">
        <f t="shared" si="3"/>
        <v>0</v>
      </c>
      <c r="G42" s="1674">
        <f t="shared" si="3"/>
        <v>0</v>
      </c>
      <c r="H42" s="1674">
        <f t="shared" si="3"/>
        <v>0</v>
      </c>
      <c r="I42" s="1674">
        <f t="shared" si="3"/>
        <v>0</v>
      </c>
      <c r="J42" s="1674">
        <f t="shared" si="3"/>
        <v>0</v>
      </c>
      <c r="K42" s="1674">
        <f t="shared" si="3"/>
        <v>66840</v>
      </c>
      <c r="L42" s="1674">
        <f t="shared" si="3"/>
        <v>68579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89197</v>
      </c>
      <c r="D44" s="1586">
        <v>26716</v>
      </c>
      <c r="E44" s="1586">
        <v>797</v>
      </c>
      <c r="F44" s="1586">
        <v>183</v>
      </c>
      <c r="G44" s="1586">
        <v>0</v>
      </c>
      <c r="H44" s="1586">
        <v>0</v>
      </c>
      <c r="I44" s="1574">
        <v>0</v>
      </c>
      <c r="J44" s="1574">
        <v>0</v>
      </c>
      <c r="K44" s="1678">
        <f>SUM(C44:J44)</f>
        <v>116893</v>
      </c>
      <c r="L44" s="1586">
        <v>125647</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6594</v>
      </c>
      <c r="F46" s="1573">
        <v>0</v>
      </c>
      <c r="G46" s="1573">
        <v>0</v>
      </c>
      <c r="H46" s="1573">
        <v>0</v>
      </c>
      <c r="I46" s="1574">
        <v>0</v>
      </c>
      <c r="J46" s="1574">
        <v>0</v>
      </c>
      <c r="K46" s="1678">
        <f>SUM(C46:J46)</f>
        <v>6594</v>
      </c>
      <c r="L46" s="1573">
        <v>2000</v>
      </c>
    </row>
    <row r="47" spans="1:14" ht="12.75" customHeight="1" thickBot="1" x14ac:dyDescent="0.25">
      <c r="A47" s="1380" t="s">
        <v>557</v>
      </c>
      <c r="B47" s="1381" t="s">
        <v>32</v>
      </c>
      <c r="C47" s="1674">
        <f>SUM(C44:C46)</f>
        <v>89197</v>
      </c>
      <c r="D47" s="1674">
        <f t="shared" ref="D47:K47" si="4">SUM(D44:D46)</f>
        <v>26716</v>
      </c>
      <c r="E47" s="1674">
        <f t="shared" si="4"/>
        <v>7391</v>
      </c>
      <c r="F47" s="1674">
        <f t="shared" si="4"/>
        <v>183</v>
      </c>
      <c r="G47" s="1674">
        <f t="shared" si="4"/>
        <v>0</v>
      </c>
      <c r="H47" s="1674">
        <f t="shared" si="4"/>
        <v>0</v>
      </c>
      <c r="I47" s="1674">
        <f t="shared" si="4"/>
        <v>0</v>
      </c>
      <c r="J47" s="1674">
        <f t="shared" si="4"/>
        <v>0</v>
      </c>
      <c r="K47" s="1674">
        <f t="shared" si="4"/>
        <v>123487</v>
      </c>
      <c r="L47" s="1674">
        <f>SUM(L44:L46)</f>
        <v>127647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0</v>
      </c>
      <c r="F49" s="1586">
        <v>0</v>
      </c>
      <c r="G49" s="1586">
        <v>0</v>
      </c>
      <c r="H49" s="1586">
        <v>0</v>
      </c>
      <c r="I49" s="1574">
        <v>0</v>
      </c>
      <c r="J49" s="1574">
        <v>0</v>
      </c>
      <c r="K49" s="1678">
        <f>SUM(C49:J49)</f>
        <v>0</v>
      </c>
      <c r="L49" s="1586">
        <v>3100</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87550</v>
      </c>
      <c r="D51" s="1573">
        <v>33237</v>
      </c>
      <c r="E51" s="1573">
        <v>7491</v>
      </c>
      <c r="F51" s="1573">
        <v>1603</v>
      </c>
      <c r="G51" s="1573">
        <v>0</v>
      </c>
      <c r="H51" s="1573">
        <v>0</v>
      </c>
      <c r="I51" s="1574">
        <v>0</v>
      </c>
      <c r="J51" s="1574">
        <v>0</v>
      </c>
      <c r="K51" s="1678">
        <f>SUM(C51:J51)</f>
        <v>129881</v>
      </c>
      <c r="L51" s="1573">
        <v>130377</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87550</v>
      </c>
      <c r="D53" s="1674">
        <f t="shared" ref="D53:L53" si="5">SUM(D49:D52)</f>
        <v>33237</v>
      </c>
      <c r="E53" s="1674">
        <f t="shared" si="5"/>
        <v>7491</v>
      </c>
      <c r="F53" s="1674">
        <f t="shared" si="5"/>
        <v>1603</v>
      </c>
      <c r="G53" s="1674">
        <f t="shared" si="5"/>
        <v>0</v>
      </c>
      <c r="H53" s="1674">
        <f t="shared" si="5"/>
        <v>0</v>
      </c>
      <c r="I53" s="1674">
        <f t="shared" si="5"/>
        <v>0</v>
      </c>
      <c r="J53" s="1674">
        <f t="shared" si="5"/>
        <v>0</v>
      </c>
      <c r="K53" s="1674">
        <f t="shared" si="5"/>
        <v>129881</v>
      </c>
      <c r="L53" s="1674">
        <f t="shared" si="5"/>
        <v>133477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4">
        <v>0</v>
      </c>
      <c r="J60" s="1574">
        <v>0</v>
      </c>
      <c r="K60" s="1678">
        <f t="shared" si="7"/>
        <v>0</v>
      </c>
      <c r="L60" s="1573">
        <v>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204736</v>
      </c>
      <c r="D74" s="1681">
        <f t="shared" ref="D74:K74" si="10">SUM(D42,D47,D53,D57,D65,D72,D73)</f>
        <v>72166</v>
      </c>
      <c r="E74" s="1681">
        <f t="shared" si="10"/>
        <v>41520</v>
      </c>
      <c r="F74" s="1681">
        <f t="shared" si="10"/>
        <v>1786</v>
      </c>
      <c r="G74" s="1681">
        <f t="shared" si="10"/>
        <v>0</v>
      </c>
      <c r="H74" s="1681">
        <f t="shared" si="10"/>
        <v>0</v>
      </c>
      <c r="I74" s="1681">
        <f t="shared" si="10"/>
        <v>0</v>
      </c>
      <c r="J74" s="1681">
        <f t="shared" si="10"/>
        <v>0</v>
      </c>
      <c r="K74" s="1681">
        <f t="shared" si="10"/>
        <v>320208</v>
      </c>
      <c r="L74" s="1681">
        <f>SUM(L42,L47,L53,L57,L65,L72,L73)</f>
        <v>329703</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2191</v>
      </c>
      <c r="F81" s="1673"/>
      <c r="G81" s="1673"/>
      <c r="H81" s="1573">
        <v>0</v>
      </c>
      <c r="I81" s="1582"/>
      <c r="J81" s="1582"/>
      <c r="K81" s="1672">
        <f t="shared" si="11"/>
        <v>2191</v>
      </c>
      <c r="L81" s="1573">
        <v>1000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2191</v>
      </c>
      <c r="F84" s="1673"/>
      <c r="G84" s="1673"/>
      <c r="H84" s="1674">
        <f>SUM(H78:H83)</f>
        <v>0</v>
      </c>
      <c r="I84" s="1582"/>
      <c r="J84" s="1582"/>
      <c r="K84" s="1674">
        <f>SUM(K78:K83)</f>
        <v>2191</v>
      </c>
      <c r="L84" s="1674">
        <f>SUM(L78:L83)</f>
        <v>1000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674133</v>
      </c>
      <c r="I96" s="1582"/>
      <c r="J96" s="1582"/>
      <c r="K96" s="1681">
        <f t="shared" si="12"/>
        <v>674133</v>
      </c>
      <c r="L96" s="1626">
        <v>680133</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674133</v>
      </c>
      <c r="I100" s="1582"/>
      <c r="J100" s="1582"/>
      <c r="K100" s="1681">
        <f>SUM(K93:K99)</f>
        <v>674133</v>
      </c>
      <c r="L100" s="1681">
        <f>SUM(L93:L99)</f>
        <v>680133</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2191</v>
      </c>
      <c r="F102" s="1673"/>
      <c r="G102" s="1673"/>
      <c r="H102" s="1681">
        <f>SUM(H84,H92,H100,H101)</f>
        <v>674133</v>
      </c>
      <c r="I102" s="1582"/>
      <c r="J102" s="1582"/>
      <c r="K102" s="1681">
        <f>SUM(K84,K92,K100,K101)</f>
        <v>676324</v>
      </c>
      <c r="L102" s="1681">
        <f>SUM(L84,L92,L100,L101)</f>
        <v>681133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70000</v>
      </c>
      <c r="M113" s="502"/>
      <c r="N113" s="502"/>
    </row>
    <row r="114" spans="1:14" ht="12.75" customHeight="1" thickTop="1" thickBot="1" x14ac:dyDescent="0.25">
      <c r="A114" s="1380" t="s">
        <v>48</v>
      </c>
      <c r="B114" s="1388"/>
      <c r="C114" s="1674">
        <f>SUM(C33,C74,C75,C102,C112,C113)</f>
        <v>223685</v>
      </c>
      <c r="D114" s="1674">
        <f t="shared" ref="D114:K114" si="13">SUM(D33,D74,D75,D102,D112,D113)</f>
        <v>83943</v>
      </c>
      <c r="E114" s="1674">
        <f t="shared" si="13"/>
        <v>77570</v>
      </c>
      <c r="F114" s="1674">
        <f t="shared" si="13"/>
        <v>82802</v>
      </c>
      <c r="G114" s="1674">
        <f t="shared" si="13"/>
        <v>54287</v>
      </c>
      <c r="H114" s="1674">
        <f>SUM(H33,H74,H75,H102,H112,H113)</f>
        <v>674133</v>
      </c>
      <c r="I114" s="1674">
        <f t="shared" si="13"/>
        <v>0</v>
      </c>
      <c r="J114" s="1674">
        <f t="shared" si="13"/>
        <v>0</v>
      </c>
      <c r="K114" s="1674">
        <f t="shared" si="13"/>
        <v>1196420</v>
      </c>
      <c r="L114" s="1674">
        <f>SUM(L33,L74,L75,L102,L112,L113)</f>
        <v>1224710</v>
      </c>
    </row>
    <row r="115" spans="1:14" ht="13.5" thickTop="1" x14ac:dyDescent="0.2">
      <c r="A115" s="2261" t="s">
        <v>989</v>
      </c>
      <c r="B115" s="2262"/>
      <c r="C115" s="1675"/>
      <c r="D115" s="1675"/>
      <c r="E115" s="1675"/>
      <c r="F115" s="1675"/>
      <c r="G115" s="1675"/>
      <c r="H115" s="1675"/>
      <c r="I115" s="1675"/>
      <c r="J115" s="1675"/>
      <c r="K115" s="1689">
        <f>'Revenues 9-14'!C268-'Expenditures 15-22'!K114</f>
        <v>-133128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purl.org/dc/elements/1.1/"/>
    <ds:schemaRef ds:uri="http://www.w3.org/XML/1998/namespace"/>
    <ds:schemaRef ds:uri="4d435f69-8686-490b-bd6d-b153bf22ab50"/>
    <ds:schemaRef ds:uri="http://purl.org/dc/dcmitype/"/>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d21dc803-237d-4c68-8692-8d731fd29118"/>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2020-12-11T16:14:17Z</cp:lastPrinted>
  <dcterms:created xsi:type="dcterms:W3CDTF">2003-10-29T19:06:34Z</dcterms:created>
  <dcterms:modified xsi:type="dcterms:W3CDTF">2020-12-16T01:54:30Z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