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ACB33846-5856-4B2A-A206-83B1972CB51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Itemization 34" sheetId="127" r:id="rId18"/>
    <sheet name="REF 35" sheetId="117" r:id="rId19"/>
    <sheet name="Opinion-Notes 36" sheetId="129" r:id="rId20"/>
    <sheet name="AC Tort 32-33" sheetId="184"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D22" i="37"/>
  <c r="L22" i="37"/>
  <c r="D24" i="37"/>
  <c r="B4270" i="106" s="1"/>
  <c r="D4270" i="106" s="1"/>
  <c r="F42" i="34" l="1"/>
  <c r="F52" i="34"/>
  <c r="B7831" i="106" s="1"/>
  <c r="D7831" i="106" s="1"/>
  <c r="B6995" i="106"/>
  <c r="D6995" i="106" s="1"/>
  <c r="G35" i="108"/>
  <c r="F50" i="34"/>
  <c r="E34" i="108"/>
  <c r="B7078" i="106"/>
  <c r="D7078" i="106" s="1"/>
  <c r="D14" i="4"/>
  <c r="B2570" i="106" s="1"/>
  <c r="D2570" i="106" s="1"/>
  <c r="B2805" i="106"/>
  <c r="D2805" i="106" s="1"/>
  <c r="H365" i="29"/>
  <c r="B7242" i="106" s="1"/>
  <c r="D7242" i="106" s="1"/>
  <c r="D36" i="108"/>
  <c r="C129" i="29"/>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C367" i="29" l="1"/>
  <c r="B3622" i="106" s="1"/>
  <c r="D3622" i="106" s="1"/>
  <c r="L16" i="11"/>
  <c r="B2061" i="106" s="1"/>
  <c r="D2061" i="106" s="1"/>
  <c r="J16" i="4"/>
  <c r="B6226" i="106" s="1"/>
  <c r="D6226"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5" i="36"/>
  <c r="D36" i="36"/>
  <c r="H24" i="118"/>
  <c r="K24" i="118" s="1"/>
  <c r="O23" i="118" s="1"/>
  <c r="O25" i="118" s="1"/>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<sst xmlns="http://schemas.openxmlformats.org/spreadsheetml/2006/main" count="5171" uniqueCount="2079">
  <si>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</si>
  <si>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</si>
  <si>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</si>
  <si>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</si>
  <si>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</si>
  <si>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</si>
  <si>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</si>
  <si>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</si>
  <si>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</si>
  <si>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</si>
  <si>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</si>
  <si>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</si>
  <si>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</si>
  <si>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</si>
  <si>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</si>
  <si>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</si>
  <si>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</si>
  <si>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</si>
  <si>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</si>
  <si>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</si>
  <si>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</si>
  <si>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</si>
  <si>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</si>
  <si>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</si>
  <si>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</si>
  <si>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</si>
  <si>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</si>
  <si>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</si>
  <si>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</si>
  <si>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</si>
  <si>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</si>
  <si>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</si>
  <si>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</si>
  <si>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</si>
  <si>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</si>
  <si>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</si>
  <si>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</si>
  <si>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</si>
  <si>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</si>
  <si>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</si>
  <si>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</si>
  <si>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</si>
  <si>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</si>
  <si>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</si>
  <si>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</si>
  <si>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</si>
  <si>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</si>
  <si>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</si>
  <si>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</si>
  <si>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</si>
  <si>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</si>
  <si>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</si>
  <si>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</si>
  <si>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</si>
  <si>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</si>
  <si>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</si>
  <si>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</si>
  <si>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</si>
  <si>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</si>
  <si>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</si>
  <si>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</si>
  <si>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</si>
  <si>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</si>
  <si>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</si>
  <si>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</si>
  <si>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</si>
  <si>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</si>
  <si>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</si>
  <si>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</si>
  <si>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</si>
  <si>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</si>
  <si>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</si>
  <si>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</si>
  <si>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</si>
  <si>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</si>
  <si>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</si>
  <si>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</si>
  <si>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</si>
  <si>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</si>
  <si>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</si>
  <si>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</si>
  <si>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</si>
  <si>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</si>
  <si>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</si>
  <si>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</si>
  <si>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</si>
  <si>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</si>
  <si>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</si>
  <si>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</si>
  <si>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</si>
  <si>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</si>
  <si>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</si>
  <si>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</si>
  <si>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</si>
  <si>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</si>
  <si>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</si>
  <si>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</si>
  <si>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</si>
  <si>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</si>
  <si>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</si>
  <si>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</si>
  <si>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</si>
  <si>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</si>
  <si>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</si>
  <si>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</si>
  <si>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</si>
  <si>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</si>
  <si>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</si>
  <si>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</si>
  <si>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</si>
  <si>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</si>
  <si>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</si>
  <si>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</si>
  <si>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</si>
  <si>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</si>
  <si>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</si>
  <si>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</si>
  <si>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</si>
  <si>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</si>
  <si>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</si>
  <si>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</si>
  <si>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</si>
  <si>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</si>
  <si>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</si>
  <si>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</si>
  <si>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</si>
  <si>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</si>
  <si>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</si>
  <si>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</si>
  <si>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</si>
  <si>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</si>
  <si>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</si>
  <si>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</si>
  <si>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</si>
  <si>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</si>
  <si>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</si>
  <si>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</si>
  <si>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</si>
  <si>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</si>
  <si>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</si>
  <si>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</si>
  <si>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</si>
  <si>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</si>
  <si>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</si>
  <si>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</si>
  <si>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</si>
  <si>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</si>
  <si>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</si>
  <si>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</si>
  <si>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</si>
  <si>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</si>
  <si>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</si>
  <si>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</si>
  <si>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</si>
  <si>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</si>
  <si>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</si>
  <si>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</si>
  <si>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</si>
  <si>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</si>
  <si>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</si>
  <si>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</si>
  <si>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</si>
  <si>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</si>
  <si>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</si>
  <si>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</si>
  <si>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</si>
  <si>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</si>
  <si>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</si>
  <si>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</si>
  <si>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</si>
  <si>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</si>
  <si>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</si>
  <si>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</si>
  <si>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</si>
  <si>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</si>
  <si>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</si>
  <si>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</si>
  <si>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</si>
  <si>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</si>
  <si>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</si>
  <si>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</si>
  <si>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</si>
  <si>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</si>
  <si>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</si>
  <si>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</si>
  <si>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</si>
  <si>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</si>
  <si>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</si>
  <si>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</si>
  <si>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</si>
  <si>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</si>
  <si>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</si>
  <si>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</si>
  <si>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</si>
  <si>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</si>
  <si>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</si>
  <si>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</si>
  <si>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</si>
  <si>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</si>
  <si>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</si>
  <si>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</si>
  <si>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</si>
  <si>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</si>
  <si>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</si>
  <si>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</si>
  <si>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</si>
  <si>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</si>
  <si>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</si>
  <si>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</si>
  <si>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</si>
  <si>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</si>
  <si>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</si>
  <si>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</si>
  <si>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</si>
  <si>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</si>
  <si>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</si>
  <si>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</si>
  <si>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</si>
  <si>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</si>
  <si>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</si>
  <si>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</si>
  <si>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</si>
  <si>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</si>
  <si>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</si>
  <si>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</si>
  <si>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</si>
  <si>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</si>
  <si>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</si>
  <si>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</si>
  <si>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</si>
  <si>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</si>
  <si>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</si>
  <si>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</si>
  <si>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</si>
  <si>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</si>
  <si>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</si>
  <si>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</si>
  <si>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</si>
  <si>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</si>
  <si>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</si>
  <si>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</si>
  <si>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</si>
  <si>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</si>
  <si>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</si>
  <si>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</si>
  <si>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</si>
  <si>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</si>
  <si>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</si>
  <si>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</si>
  <si>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</si>
  <si>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</si>
  <si>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</si>
  <si>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</si>
  <si>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</si>
  <si>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</si>
  <si>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</si>
  <si>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</si>
  <si>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</si>
  <si>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</si>
  <si>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</si>
  <si>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</si>
  <si>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</si>
  <si>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</si>
  <si>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</si>
  <si>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</si>
  <si>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</si>
  <si>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</si>
  <si>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</si>
  <si>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</si>
  <si>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</si>
  <si>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</si>
  <si>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</si>
  <si>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</si>
  <si>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</si>
  <si>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</si>
  <si>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</si>
  <si>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</si>
  <si>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</si>
  <si>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</si>
  <si>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</si>
  <si>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</si>
  <si>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</si>
  <si>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</si>
  <si>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</si>
  <si>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</si>
  <si>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</si>
  <si>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</si>
  <si>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</si>
  <si>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</si>
  <si>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</si>
  <si>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</si>
  <si>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</si>
  <si>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</si>
  <si>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</si>
  <si>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</si>
  <si>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</si>
  <si>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</si>
  <si>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</si>
  <si>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</si>
  <si>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</si>
  <si>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</si>
  <si>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</si>
  <si>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</si>
  <si>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</si>
  <si>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</si>
  <si>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</si>
  <si>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</si>
  <si>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</si>
  <si>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</si>
  <si>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</si>
  <si>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</si>
  <si>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</si>
  <si>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</si>
  <si>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</si>
  <si>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</si>
  <si>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</si>
  <si>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</si>
  <si>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</si>
  <si>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</si>
  <si>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</si>
  <si>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</si>
  <si>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</si>
  <si>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</si>
  <si>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</si>
  <si>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</si>
  <si>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</si>
  <si>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</si>
  <si>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</si>
  <si>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</si>
  <si>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</si>
  <si>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</si>
  <si>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</si>
  <si>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</si>
  <si>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</si>
  <si>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</si>
  <si>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</si>
  <si>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</si>
  <si>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</si>
  <si>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</si>
  <si>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</si>
  <si>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</si>
  <si>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</si>
  <si>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</si>
  <si>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</si>
  <si>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</si>
  <si>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</si>
  <si>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</si>
  <si>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</si>
  <si>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</si>
  <si>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</si>
  <si>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</si>
  <si>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</si>
  <si>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</si>
  <si>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</si>
  <si>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</si>
  <si>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</si>
  <si>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</si>
  <si>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</si>
  <si>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</si>
  <si>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</si>
  <si>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</si>
  <si>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</si>
  <si>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</si>
  <si>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</si>
  <si>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</si>
  <si>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</si>
  <si>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</si>
  <si>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</si>
  <si>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</si>
  <si>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</si>
  <si>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</si>
  <si>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</si>
  <si>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</si>
  <si>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</si>
  <si>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</si>
  <si>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</si>
  <si>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</si>
  <si>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</si>
  <si>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</si>
  <si>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</si>
  <si>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</si>
  <si>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</si>
  <si>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</si>
  <si>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</si>
  <si>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</si>
  <si>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</si>
  <si>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</si>
  <si>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</si>
  <si>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</si>
  <si>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</si>
  <si>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</si>
  <si>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</si>
  <si>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</si>
  <si>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</si>
  <si>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</si>
  <si>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</si>
  <si>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</si>
  <si>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</si>
  <si>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</si>
  <si>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</si>
  <si>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</si>
  <si>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</si>
  <si>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</si>
  <si>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</si>
  <si>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</si>
  <si>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</si>
  <si>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</si>
  <si>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</si>
  <si>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</si>
  <si>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</si>
  <si>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</si>
  <si>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</si>
  <si>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</si>
  <si>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</si>
  <si>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</si>
  <si>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</si>
  <si>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</si>
  <si>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</si>
  <si>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</si>
  <si>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</si>
  <si>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</si>
  <si>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</si>
  <si>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</si>
  <si>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</si>
  <si>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</si>
  <si>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</si>
  <si>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</si>
  <si>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</si>
  <si>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</si>
  <si>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</si>
  <si>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</si>
  <si>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</si>
  <si>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</si>
  <si>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</si>
  <si>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</si>
  <si>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</si>
  <si>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</si>
  <si>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</si>
  <si>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</si>
  <si>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</si>
  <si>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</si>
  <si>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</si>
  <si>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</si>
  <si>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</si>
  <si>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</si>
  <si>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</si>
  <si>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</si>
  <si>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</si>
  <si>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</si>
  <si>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</si>
  <si>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</si>
  <si>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</si>
  <si>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</si>
  <si>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</si>
  <si>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</si>
  <si>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</si>
  <si>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</si>
  <si>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</si>
  <si>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</si>
  <si>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</si>
  <si>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</si>
  <si>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</si>
  <si>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</si>
  <si>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</si>
  <si>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</si>
  <si>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</si>
  <si>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</si>
  <si>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</si>
  <si>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</si>
  <si>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</si>
  <si>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</si>
  <si>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</si>
  <si>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</si>
  <si>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</si>
  <si>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</si>
  <si>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</si>
  <si>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</si>
  <si>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</si>
  <si>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</si>
  <si>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</si>
  <si>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</si>
  <si>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</si>
  <si>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</si>
  <si>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</si>
  <si>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</si>
  <si>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</si>
  <si>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</si>
  <si>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</si>
  <si>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</si>
  <si>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</si>
  <si>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</si>
  <si>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</si>
  <si>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</si>
  <si>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</si>
  <si>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</si>
  <si>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</si>
  <si>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</si>
  <si>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</si>
  <si>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</si>
  <si>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</si>
  <si>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</si>
  <si>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</si>
  <si>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</si>
  <si>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</si>
  <si>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</si>
  <si>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</si>
  <si>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</si>
  <si>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</si>
  <si>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</si>
  <si>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</si>
  <si>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</si>
  <si>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</si>
  <si>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</si>
  <si>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</si>
  <si>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</si>
  <si>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</si>
  <si>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</si>
  <si>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</si>
  <si>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</si>
  <si>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</si>
  <si>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</si>
  <si>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</si>
  <si>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</si>
  <si>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</si>
  <si>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</si>
  <si>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</si>
  <si>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</si>
  <si>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</si>
  <si>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</si>
  <si>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</si>
  <si>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</si>
  <si>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</si>
  <si>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</si>
  <si>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</si>
  <si>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</si>
  <si>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</si>
  <si>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</si>
  <si>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</si>
  <si>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</si>
  <si>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</si>
  <si>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</si>
  <si>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</si>
  <si>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</si>
  <si>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</si>
  <si>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</si>
  <si>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</si>
  <si>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</si>
  <si>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</si>
  <si>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</si>
  <si>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</si>
  <si>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</si>
  <si>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</si>
  <si>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</si>
  <si>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</si>
  <si>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</si>
  <si>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</si>
  <si>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</si>
  <si>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</si>
  <si>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</si>
  <si>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</si>
  <si>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</si>
  <si>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</si>
  <si>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</si>
  <si>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</si>
  <si>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</si>
  <si>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</si>
  <si>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</si>
  <si>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</si>
  <si>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</si>
  <si>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</si>
  <si>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</si>
  <si>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</si>
  <si>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</si>
  <si>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</si>
  <si>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</si>
  <si>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</si>
  <si>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</si>
  <si>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</si>
  <si>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</si>
  <si>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</si>
  <si>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</si>
  <si>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</si>
  <si>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</si>
  <si>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</si>
  <si>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</si>
  <si>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</si>
  <si>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</si>
  <si>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</si>
  <si>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</si>
  <si>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</si>
  <si>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</si>
  <si>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</si>
  <si>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</si>
  <si>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</si>
  <si>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</si>
  <si>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</si>
  <si>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</si>
  <si>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</si>
  <si>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</si>
  <si>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</si>
  <si>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</si>
  <si>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</si>
  <si>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</si>
  <si>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</si>
  <si>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</si>
  <si>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</si>
  <si>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</si>
  <si>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</si>
  <si>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</si>
  <si>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</si>
  <si>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</si>
  <si>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</si>
  <si>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</si>
  <si>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</si>
  <si>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</si>
  <si>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</si>
  <si>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</si>
  <si>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</si>
  <si>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</si>
  <si>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</si>
  <si>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</si>
  <si>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</si>
  <si>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</si>
  <si>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</si>
  <si>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</si>
  <si>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</si>
  <si>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</si>
  <si>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</si>
  <si>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</si>
  <si>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</si>
  <si>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</si>
  <si>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</si>
  <si>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</si>
  <si>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</si>
  <si>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</si>
  <si>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</si>
  <si>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</si>
  <si>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</si>
  <si>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</si>
  <si>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</si>
  <si>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</si>
  <si>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</si>
  <si>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</si>
  <si>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</si>
  <si>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</si>
  <si>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</si>
  <si>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</si>
  <si>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</si>
  <si>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</si>
  <si>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</si>
  <si>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</si>
  <si>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</si>
  <si>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</si>
  <si>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</si>
  <si>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</si>
  <si>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</si>
  <si>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</si>
  <si>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</si>
  <si>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</si>
  <si>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</si>
  <si>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</si>
  <si>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</si>
  <si>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</si>
  <si>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</si>
  <si>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</si>
  <si>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</si>
  <si>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</si>
  <si>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</si>
  <si>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</si>
  <si>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</si>
  <si>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</si>
  <si>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</si>
  <si>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</si>
  <si>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</si>
  <si>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</si>
  <si>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</si>
  <si>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</si>
  <si>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</si>
  <si>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</si>
  <si>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</si>
  <si>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</si>
  <si>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</si>
  <si>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</si>
  <si>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</si>
  <si>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</si>
  <si>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</si>
  <si>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</si>
  <si>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</si>
  <si>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</si>
  <si>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</si>
  <si>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</si>
  <si>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</si>
  <si>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</si>
  <si>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</si>
  <si>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</si>
  <si>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</si>
  <si>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</si>
  <si>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</si>
  <si>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</si>
  <si>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</si>
  <si>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</si>
  <si>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</si>
  <si>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</si>
  <si>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</si>
  <si>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</si>
  <si>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</si>
  <si>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</si>
  <si>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</si>
  <si>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</si>
  <si>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</si>
  <si>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</si>
  <si>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</si>
  <si>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</si>
  <si>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</si>
  <si>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</si>
  <si>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</si>
  <si>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</si>
  <si>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</si>
  <si>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</si>
  <si>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</si>
  <si>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</si>
  <si>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</si>
  <si>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</si>
  <si>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</si>
  <si>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</si>
  <si>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</si>
  <si>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</si>
  <si>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</si>
  <si>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</si>
  <si>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</si>
  <si>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</si>
  <si>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</si>
  <si>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</si>
  <si>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</si>
  <si>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</si>
  <si>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</si>
  <si>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</si>
  <si>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</si>
  <si>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</si>
  <si>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</si>
  <si>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</si>
  <si>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</si>
  <si>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</si>
  <si>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</si>
  <si>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</si>
  <si>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</si>
  <si>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</si>
  <si>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</si>
  <si>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</si>
  <si>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</si>
  <si>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</si>
  <si>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</si>
  <si>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</si>
  <si>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</si>
  <si>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</si>
  <si>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</si>
  <si>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</si>
  <si>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</si>
  <si>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</si>
  <si>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</si>
  <si>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</si>
  <si>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</si>
  <si>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</si>
  <si>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</si>
  <si>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</si>
  <si>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</si>
  <si>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</si>
  <si>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</si>
  <si>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</si>
  <si>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</si>
  <si>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</si>
  <si>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</si>
  <si>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</si>
  <si>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</si>
  <si>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</si>
  <si>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</si>
  <si>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</si>
  <si>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</si>
  <si>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</si>
  <si>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</si>
  <si>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</si>
  <si>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</si>
  <si>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</si>
  <si>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</si>
  <si>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</si>
  <si>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</si>
  <si>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</si>
  <si>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</si>
  <si>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</si>
  <si>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</si>
  <si>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</si>
  <si>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</si>
  <si>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</si>
  <si>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</si>
  <si>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</si>
  <si>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</si>
  <si>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</si>
  <si>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</si>
  <si>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</si>
  <si>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</si>
  <si>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</si>
  <si>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</si>
  <si>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</si>
  <si>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</si>
  <si>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</si>
  <si>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</si>
  <si>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</si>
  <si>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</si>
  <si>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</si>
  <si>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</si>
  <si>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</si>
  <si>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</si>
  <si>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</si>
  <si>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</si>
  <si>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</si>
  <si>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</si>
  <si>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</si>
  <si>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</si>
  <si>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</si>
  <si>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</si>
  <si>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</si>
  <si>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</si>
  <si>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</si>
  <si>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</si>
  <si>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</si>
  <si>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</si>
  <si>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</si>
  <si>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</si>
  <si>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</si>
  <si>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</si>
  <si>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</si>
  <si>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</si>
  <si>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</si>
  <si>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</si>
  <si>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</si>
  <si>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</si>
  <si>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</si>
  <si>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</si>
  <si>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</si>
  <si>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</si>
  <si>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</si>
  <si>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</si>
  <si>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</si>
  <si>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</si>
  <si>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</si>
  <si>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</si>
  <si>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</si>
  <si>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</si>
  <si>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</si>
  <si>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</si>
  <si>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</si>
  <si>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</si>
  <si>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</si>
  <si>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</si>
  <si>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</si>
  <si>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</si>
  <si>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</si>
  <si>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</si>
  <si>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</si>
  <si>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</si>
  <si>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</si>
  <si>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</si>
  <si>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</si>
  <si>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</si>
  <si>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</si>
  <si>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</si>
  <si>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</si>
  <si>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</si>
  <si>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</si>
  <si>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</si>
  <si>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</si>
  <si>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</si>
  <si>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</si>
  <si>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</si>
  <si>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</si>
  <si>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</si>
  <si>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</si>
  <si>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</si>
  <si>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</si>
  <si>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</si>
  <si>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</si>
  <si>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</si>
  <si>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</si>
  <si>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</si>
  <si>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</si>
  <si>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</si>
  <si>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</si>
  <si>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</si>
  <si>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</si>
  <si>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</si>
  <si>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</si>
  <si>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</si>
  <si>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</si>
  <si>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</si>
  <si>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</si>
  <si>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</si>
  <si>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</si>
  <si>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</si>
  <si>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</si>
  <si>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</si>
  <si>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</si>
  <si>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</si>
  <si>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</si>
  <si>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</si>
  <si>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</si>
  <si>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</si>
  <si>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</si>
  <si>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</si>
  <si>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</si>
  <si>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</si>
  <si>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</si>
  <si>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</si>
  <si>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</si>
  <si>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</si>
  <si>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</si>
  <si>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</si>
  <si>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</si>
  <si>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</si>
  <si>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</si>
  <si>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</si>
  <si>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</si>
  <si>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</si>
  <si>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</si>
  <si>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</si>
  <si>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</si>
  <si>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</si>
  <si>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</si>
  <si>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</si>
  <si>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</si>
  <si>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</si>
  <si>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</si>
  <si>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</si>
  <si>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</si>
  <si>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</si>
  <si>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</si>
  <si>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</si>
  <si>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</si>
  <si>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</si>
  <si>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</si>
  <si>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</si>
  <si>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</si>
  <si>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</si>
  <si>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</si>
  <si>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</si>
  <si>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</si>
  <si>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</si>
  <si>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</si>
  <si>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</si>
  <si>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</si>
  <si>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</si>
  <si>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</si>
  <si>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</si>
  <si>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</si>
  <si>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</si>
  <si>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</si>
  <si>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</si>
  <si>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</si>
  <si>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</si>
  <si>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</si>
  <si>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</si>
  <si>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</si>
  <si>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</si>
  <si>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</si>
  <si>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</si>
  <si>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</si>
  <si>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</si>
  <si>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</si>
  <si>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</si>
  <si>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</si>
  <si>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</si>
  <si>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</si>
  <si>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</si>
  <si>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</si>
  <si>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</si>
  <si>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</si>
  <si>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</si>
  <si>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</si>
  <si>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</si>
  <si>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</si>
  <si>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</si>
  <si>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</si>
  <si>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</si>
  <si>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</si>
  <si>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</si>
  <si>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</si>
  <si>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</si>
  <si>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</si>
  <si>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</si>
  <si>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</si>
  <si>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</si>
  <si>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</si>
  <si>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</si>
  <si>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</si>
  <si>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</si>
  <si>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</si>
  <si>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</si>
  <si>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</si>
  <si>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</si>
  <si>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</si>
  <si>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</si>
  <si>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</si>
  <si>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</si>
  <si>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</si>
  <si>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</si>
  <si>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</si>
  <si>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</si>
  <si>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</si>
  <si>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</si>
  <si>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</si>
  <si>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</si>
  <si>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</si>
  <si>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</si>
  <si>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</si>
  <si>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</si>
  <si>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</si>
  <si>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</si>
  <si>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</si>
  <si>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</si>
  <si>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</si>
  <si>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</si>
  <si>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</si>
  <si>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</si>
  <si>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</si>
  <si>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</si>
  <si>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</si>
  <si>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</si>
  <si>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</si>
  <si>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</si>
  <si>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</si>
  <si>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</si>
  <si>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</si>
  <si>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</si>
  <si>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</si>
  <si>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</si>
  <si>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</si>
  <si>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</si>
  <si>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</si>
  <si>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</si>
  <si>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</si>
  <si>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</si>
  <si>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</si>
  <si>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</si>
  <si>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</si>
  <si>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</si>
  <si>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</si>
  <si>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</si>
  <si>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</si>
  <si>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</si>
  <si>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</si>
  <si>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</si>
  <si>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</si>
  <si>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</si>
  <si>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</si>
  <si>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</si>
  <si>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</si>
  <si>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</si>
  <si>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</si>
  <si>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</si>
  <si>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</si>
  <si>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</si>
  <si>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</si>
  <si>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</si>
  <si>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</si>
  <si>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</si>
  <si>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</si>
  <si>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</si>
  <si>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</si>
  <si>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</si>
  <si>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</si>
  <si>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</si>
  <si>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</si>
  <si>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</si>
  <si>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</si>
  <si>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</si>
  <si>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</si>
  <si>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</si>
  <si>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</si>
  <si>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</si>
  <si>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</si>
  <si>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</si>
  <si>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</si>
  <si>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</si>
  <si>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</si>
  <si>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</si>
  <si>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</si>
  <si>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</si>
  <si>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</si>
  <si>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</si>
  <si>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</si>
  <si>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</si>
  <si>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</si>
  <si>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</si>
  <si>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</si>
  <si>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</si>
  <si>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</si>
  <si>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</si>
  <si>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</si>
  <si>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</si>
  <si>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</si>
  <si>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</si>
  <si>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</si>
  <si>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</si>
  <si>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</si>
  <si>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</si>
  <si>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</si>
  <si>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</si>
  <si>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</si>
  <si>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</si>
  <si>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</si>
  <si>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</si>
  <si>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</si>
  <si>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</si>
  <si>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</si>
  <si>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</si>
  <si>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</si>
  <si>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</si>
  <si>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</si>
  <si>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</si>
  <si>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</si>
  <si>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</si>
  <si>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</si>
  <si>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</si>
  <si>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</si>
  <si>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</si>
  <si>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</si>
  <si>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</si>
  <si>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</si>
  <si>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</si>
  <si>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</si>
  <si>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</si>
  <si>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</si>
  <si>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</si>
  <si>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</si>
  <si>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</si>
  <si>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</si>
  <si>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</si>
  <si>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</si>
  <si>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</si>
  <si>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</si>
  <si>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</si>
  <si>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</si>
  <si>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</si>
  <si>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</si>
  <si>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</si>
  <si>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</si>
  <si>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</si>
  <si>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</si>
  <si>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</si>
  <si>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</si>
  <si>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</si>
  <si>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</si>
  <si>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</si>
  <si>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</si>
  <si>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</si>
  <si>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</si>
  <si>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</si>
  <si>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</si>
  <si>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</si>
  <si>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</si>
  <si>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</si>
  <si>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</si>
  <si>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</si>
  <si>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</si>
  <si>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</si>
  <si>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</si>
  <si>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</si>
  <si>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</si>
  <si>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</si>
  <si>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</si>
  <si>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</si>
  <si>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</si>
  <si>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</si>
  <si>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</si>
  <si>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</si>
  <si>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</si>
  <si>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</si>
  <si>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</si>
  <si>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</si>
  <si>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</si>
  <si>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</si>
  <si>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</si>
  <si>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</si>
  <si>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</si>
  <si>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</si>
  <si>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</si>
  <si>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</si>
  <si>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</si>
  <si>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</si>
  <si>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</si>
  <si>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</si>
  <si>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</si>
  <si>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</si>
  <si>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</si>
  <si>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</si>
  <si>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</si>
  <si>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</si>
  <si>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</si>
  <si>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</si>
  <si>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</si>
  <si>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</si>
  <si>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</si>
  <si>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</si>
  <si>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</si>
  <si>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</si>
  <si>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</si>
  <si>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</si>
  <si>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</si>
  <si>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</si>
  <si>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</si>
  <si>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</si>
  <si>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</si>
  <si>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</si>
  <si>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</si>
  <si>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</si>
  <si>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</si>
  <si>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</si>
  <si>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</si>
  <si>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</si>
  <si>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</si>
  <si>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</si>
  <si>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</si>
  <si>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</si>
  <si>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</si>
  <si>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</si>
  <si>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</si>
  <si>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</si>
  <si>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</si>
  <si>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</si>
  <si>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</si>
  <si>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</si>
  <si>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</si>
  <si>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</si>
  <si>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</si>
  <si>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</si>
  <si>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</si>
  <si>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</si>
  <si>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</si>
  <si>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</si>
  <si>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</si>
  <si>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</si>
  <si>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</si>
  <si>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</si>
  <si>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</si>
  <si>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</si>
  <si>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</si>
  <si>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</si>
  <si>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</si>
  <si>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</si>
  <si>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</si>
  <si>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</si>
  <si>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</si>
  <si>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</si>
  <si>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</si>
  <si>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</si>
  <si>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</si>
  <si>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</si>
  <si>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</si>
  <si>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</si>
  <si>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</si>
  <si>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</si>
  <si>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</si>
  <si>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</si>
  <si>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</si>
  <si>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</si>
  <si>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</si>
  <si>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</si>
  <si>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</si>
  <si>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</si>
  <si>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</si>
  <si>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</si>
  <si>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</si>
  <si>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</si>
  <si>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</si>
  <si>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</si>
  <si>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</si>
  <si>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</si>
  <si>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</si>
  <si>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</si>
  <si>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</si>
  <si>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</si>
  <si>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</si>
  <si>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</si>
  <si>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</si>
  <si>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</si>
  <si>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</si>
  <si>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</si>
  <si>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</si>
  <si>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</si>
  <si>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</si>
  <si>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</si>
  <si>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</si>
  <si>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</si>
  <si>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</si>
  <si>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</si>
  <si>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</si>
  <si>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</si>
  <si>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</si>
  <si>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</si>
  <si>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</si>
  <si>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</si>
  <si>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</si>
  <si>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</si>
  <si>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</si>
  <si>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</si>
  <si>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</si>
  <si>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</si>
  <si>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</si>
  <si>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</si>
  <si>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</si>
  <si>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</si>
  <si>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</si>
  <si>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</si>
  <si>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</si>
  <si>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</si>
  <si>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</si>
  <si>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</si>
  <si>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</si>
  <si>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</si>
  <si>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</si>
  <si>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</si>
  <si>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</si>
  <si>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</si>
  <si>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</si>
  <si>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</si>
  <si>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</si>
  <si>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</si>
  <si>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</si>
  <si>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</si>
  <si>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</si>
  <si>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</si>
  <si>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</si>
  <si>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</si>
  <si>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</si>
  <si>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</si>
  <si>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</si>
  <si>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</si>
  <si>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</si>
  <si>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</si>
  <si>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</si>
  <si>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</si>
  <si>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</si>
  <si>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</si>
  <si>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</si>
  <si>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</si>
  <si>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</si>
  <si>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</si>
  <si>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</si>
  <si>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</si>
  <si>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</si>
  <si>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</si>
  <si>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</si>
  <si>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</si>
  <si>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</si>
  <si>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</si>
  <si>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</si>
  <si>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</si>
  <si>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</si>
  <si>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</si>
  <si>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</si>
  <si>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</si>
  <si>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</si>
  <si>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</si>
  <si>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</si>
  <si>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</si>
  <si>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</si>
  <si>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</si>
  <si>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</si>
  <si>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</si>
  <si>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</si>
  <si>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</si>
  <si>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</si>
  <si>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</si>
  <si>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</si>
  <si>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</si>
  <si>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</si>
  <si>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</si>
  <si>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</si>
  <si>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</si>
  <si>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</si>
  <si>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</si>
  <si>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</si>
  <si>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</si>
  <si>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</si>
  <si>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</si>
  <si>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</si>
  <si>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</si>
  <si>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</si>
  <si>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</si>
  <si>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</si>
  <si>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</si>
  <si>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</si>
  <si>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</si>
  <si>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</si>
  <si>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</si>
  <si>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</si>
  <si>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</si>
  <si>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</si>
  <si>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</si>
  <si>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</si>
  <si>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</si>
  <si>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</si>
  <si>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</si>
  <si>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</si>
  <si>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</si>
  <si>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</si>
  <si>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</si>
  <si>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</si>
  <si>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</si>
  <si>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</si>
  <si>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</si>
  <si>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</si>
  <si>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</si>
  <si>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</si>
  <si>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</si>
  <si>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</si>
  <si>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</si>
  <si>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</si>
  <si>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</si>
  <si>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</si>
  <si>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</si>
  <si>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</si>
  <si>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</si>
  <si>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</si>
  <si>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</si>
  <si>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</si>
  <si>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</si>
  <si>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</si>
  <si>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</si>
  <si>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</si>
  <si>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</si>
  <si>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</si>
  <si>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</si>
  <si>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</si>
  <si>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</si>
  <si>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</si>
  <si>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</si>
  <si>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</si>
  <si>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</si>
  <si>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</si>
  <si>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</si>
  <si>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</si>
  <si>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</si>
  <si>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</si>
  <si>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</si>
  <si>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</si>
  <si>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</si>
  <si>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</si>
  <si>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</si>
  <si>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</si>
  <si>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</si>
  <si>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</si>
  <si>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</si>
  <si>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</si>
  <si>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</si>
  <si>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</si>
  <si>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</si>
  <si>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</si>
  <si>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</si>
  <si>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</si>
  <si>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</si>
  <si>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</si>
  <si>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</si>
  <si>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</si>
  <si>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</si>
  <si>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</si>
  <si>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</si>
  <si>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</si>
  <si>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</si>
  <si>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</si>
  <si>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</si>
  <si>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</si>
  <si>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</si>
  <si>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</si>
  <si>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</si>
  <si>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</si>
  <si>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</si>
  <si>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</si>
  <si>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</si>
  <si>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</si>
  <si>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</si>
  <si>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</si>
  <si>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</si>
  <si>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</si>
  <si>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</si>
  <si>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</si>
  <si>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</si>
  <si>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</si>
  <si>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</si>
  <si>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</si>
  <si>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</si>
  <si>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</si>
  <si>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</si>
  <si>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</si>
  <si>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</si>
  <si>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</si>
  <si>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</si>
  <si>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</si>
  <si>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</si>
  <si>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</si>
  <si>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</si>
  <si>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</si>
  <si>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</si>
  <si>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</si>
  <si>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</si>
  <si>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</si>
  <si>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</si>
  <si>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</si>
  <si>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</si>
  <si>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</si>
  <si>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</si>
  <si>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</si>
  <si>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</si>
  <si>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</si>
  <si>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</si>
  <si>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</si>
  <si>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</si>
  <si>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</si>
  <si>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</si>
  <si>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</si>
  <si>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</si>
  <si>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</si>
  <si>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</si>
  <si>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</si>
  <si>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</si>
  <si>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</si>
  <si>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</si>
  <si>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</si>
  <si>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</si>
  <si>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</si>
  <si>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</si>
  <si>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</si>
  <si>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</si>
  <si>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</si>
  <si>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</si>
  <si>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</si>
  <si>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</si>
  <si>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</si>
  <si>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</si>
  <si>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</si>
  <si>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</si>
  <si>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</si>
  <si>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</si>
  <si>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</si>
  <si>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</si>
  <si>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</si>
  <si>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</si>
  <si>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</si>
  <si>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</si>
  <si>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</si>
  <si>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</si>
  <si>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</si>
  <si>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</si>
  <si>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</si>
  <si>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</si>
  <si>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</si>
  <si>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</si>
  <si>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</si>
  <si>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</si>
  <si>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</si>
  <si>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</si>
  <si>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</si>
  <si>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</si>
  <si>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</si>
  <si>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</si>
  <si>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</si>
  <si>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</si>
  <si>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</si>
  <si>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</si>
  <si>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</si>
  <si>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</si>
  <si>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</si>
  <si>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</si>
  <si>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</si>
  <si>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</si>
  <si>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</si>
  <si>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</si>
  <si>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</si>
  <si>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</si>
  <si>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</si>
  <si>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</si>
  <si>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</si>
  <si>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</si>
  <si>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</si>
  <si>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</si>
  <si>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</si>
  <si>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</si>
  <si>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</si>
  <si>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</si>
  <si>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</si>
  <si>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</si>
  <si>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</si>
  <si>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</si>
  <si>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</si>
  <si>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</si>
  <si>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</si>
  <si>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</si>
  <si>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</si>
  <si>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</si>
  <si>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</si>
  <si>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</si>
  <si>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</si>
  <si>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</si>
  <si>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</si>
  <si>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</si>
  <si>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</si>
  <si>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</si>
  <si>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</si>
  <si>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</si>
  <si>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</si>
  <si>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</si>
  <si>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</si>
  <si>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</si>
  <si>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</si>
  <si>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</si>
  <si>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</si>
  <si>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</si>
  <si>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</si>
  <si>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</si>
  <si>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</si>
  <si>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</si>
  <si>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</si>
  <si>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</si>
  <si>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</si>
  <si>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</si>
  <si>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</si>
  <si>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</si>
  <si>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</si>
  <si>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</si>
  <si>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</si>
  <si>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</si>
  <si>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</si>
  <si>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</si>
  <si>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</si>
  <si>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</si>
  <si>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</si>
  <si>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</si>
  <si>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</si>
  <si>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</si>
  <si>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</si>
  <si>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</si>
  <si>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</si>
  <si>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</si>
  <si>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</si>
  <si>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</si>
  <si>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</si>
  <si>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</si>
  <si>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</si>
  <si>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</si>
  <si>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</si>
  <si>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</si>
  <si>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</si>
  <si>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</si>
  <si>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</si>
  <si>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</si>
  <si>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</si>
  <si>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</si>
  <si>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</si>
  <si>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</si>
  <si>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</si>
  <si>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</si>
  <si>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</si>
  <si>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</si>
  <si>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</si>
  <si>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</si>
  <si>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</si>
  <si>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</si>
  <si>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</si>
  <si>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</si>
  <si>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</si>
  <si>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</si>
  <si>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</si>
  <si>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</si>
  <si>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</si>
  <si>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</si>
  <si>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</si>
  <si>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</si>
  <si>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</si>
  <si>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</si>
  <si>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</si>
  <si>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</si>
  <si>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</si>
  <si>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</si>
  <si>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</si>
  <si>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</si>
  <si>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</si>
  <si>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</si>
  <si>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</si>
  <si>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</si>
  <si>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</si>
  <si>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</si>
  <si>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</si>
  <si>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</si>
  <si>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</si>
  <si>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</si>
  <si>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</si>
  <si>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</si>
  <si>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</si>
  <si>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</si>
  <si>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</si>
  <si>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</si>
  <si>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</si>
  <si>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</si>
  <si>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</si>
  <si>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</si>
  <si>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</si>
  <si>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</si>
  <si>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</si>
  <si>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</si>
  <si>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</si>
  <si>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</si>
  <si>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</si>
  <si>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</si>
  <si>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</si>
  <si>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</si>
  <si>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</si>
  <si>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</si>
  <si>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</si>
  <si>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</si>
  <si>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</si>
  <si>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</si>
  <si>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</si>
  <si>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</si>
  <si>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</si>
  <si>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</si>
  <si>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</si>
  <si>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</si>
  <si>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</si>
  <si>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</si>
  <si>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</si>
  <si>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</si>
  <si>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</si>
  <si>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</si>
  <si>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</si>
  <si>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</si>
  <si>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</si>
  <si>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</si>
  <si>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</si>
  <si>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</si>
  <si>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</si>
  <si>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</si>
  <si>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</si>
  <si>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</si>
  <si>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</si>
  <si>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</si>
  <si>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</si>
  <si>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</si>
  <si>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</si>
  <si>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</si>
  <si>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</si>
  <si>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</si>
  <si>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</si>
  <si>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</si>
  <si>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</si>
  <si>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</si>
  <si>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</si>
  <si>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</si>
  <si>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</si>
  <si>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</si>
  <si>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</si>
  <si>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</si>
  <si>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</si>
  <si>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</si>
  <si>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</si>
  <si>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</si>
  <si>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</si>
  <si>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</si>
  <si>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</si>
  <si>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</si>
  <si>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</si>
  <si>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</si>
  <si>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</si>
  <si>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</si>
  <si>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</si>
  <si>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</si>
  <si>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</si>
  <si>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</si>
  <si>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</si>
  <si>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</si>
  <si>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</si>
  <si>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</si>
  <si>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</si>
  <si>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</si>
  <si>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</si>
  <si>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</si>
  <si>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</si>
  <si>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</si>
  <si>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</si>
  <si>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</si>
  <si>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</si>
  <si>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</si>
  <si>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</si>
  <si>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</si>
  <si>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</si>
  <si>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</si>
  <si>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</si>
  <si>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</si>
  <si>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</si>
  <si>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</si>
  <si>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</si>
  <si>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</si>
  <si>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</si>
  <si>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</si>
  <si>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</si>
  <si>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</si>
  <si>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</si>
  <si>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</si>
  <si>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</si>
  <si>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</si>
  <si>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</si>
  <si>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</si>
  <si>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</si>
  <si>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</si>
  <si>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</si>
  <si>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</si>
  <si>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</si>
  <si>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</si>
  <si>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</si>
  <si>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</si>
  <si>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</si>
  <si>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</si>
  <si>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</si>
  <si>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</si>
  <si>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</si>
  <si>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</si>
  <si>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</si>
  <si>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</si>
  <si>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</si>
  <si>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</si>
  <si>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</si>
  <si>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</si>
  <si>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</si>
  <si>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</si>
  <si>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</si>
  <si>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</si>
  <si>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</si>
  <si>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</si>
  <si>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</si>
  <si>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</si>
  <si>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</si>
  <si>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</si>
  <si>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</si>
  <si>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</si>
  <si>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</si>
  <si>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</si>
  <si>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</si>
  <si>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</si>
  <si>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</si>
  <si>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</si>
  <si>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</si>
  <si>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</si>
  <si>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</si>
  <si>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</si>
  <si>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</si>
  <si>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</si>
  <si>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</si>
  <si>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</si>
  <si>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</si>
  <si>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</si>
  <si>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</si>
  <si>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</si>
  <si>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</si>
  <si>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</si>
  <si>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</si>
  <si>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</si>
  <si>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</si>
  <si>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</si>
  <si>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</si>
  <si>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</si>
  <si>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</si>
  <si>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</si>
  <si>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</si>
  <si>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</si>
  <si>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</si>
  <si>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</si>
  <si>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</si>
  <si>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</si>
  <si>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</si>
  <si>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</si>
  <si>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</si>
  <si>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</si>
  <si>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</si>
  <si>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</si>
  <si>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</si>
  <si>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</si>
  <si>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</si>
  <si>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</si>
  <si>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</si>
  <si>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</si>
  <si>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</si>
  <si>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</si>
  <si>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</si>
  <si>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</si>
  <si>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</si>
  <si>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</si>
  <si>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</si>
  <si>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</si>
  <si>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</si>
  <si>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</si>
  <si>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</si>
  <si>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</si>
  <si>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</si>
  <si>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</si>
  <si>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</si>
  <si>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</si>
  <si>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</si>
  <si>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</si>
  <si>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</si>
  <si>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</si>
  <si>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</si>
  <si>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</si>
  <si>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</si>
  <si>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</si>
  <si>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</si>
  <si>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</si>
  <si>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</si>
  <si>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</si>
  <si>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</si>
  <si>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</si>
  <si>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</si>
  <si>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</si>
  <si>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</si>
  <si>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</si>
  <si>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</si>
  <si>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</si>
  <si>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</si>
  <si>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</si>
  <si>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</si>
  <si>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</si>
  <si>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</si>
  <si>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</si>
  <si>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</si>
  <si>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</si>
  <si>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</si>
  <si>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</si>
  <si>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</si>
  <si>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</si>
  <si>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</si>
  <si>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</si>
  <si>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</si>
  <si>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</si>
  <si>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</si>
  <si>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</si>
  <si>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</si>
  <si>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</si>
  <si>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</si>
  <si>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</si>
  <si>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</si>
  <si>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</si>
  <si>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</si>
  <si>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</si>
  <si>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</si>
  <si>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</si>
  <si>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</si>
  <si>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</si>
  <si>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</si>
  <si>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</si>
  <si>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</si>
  <si>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</si>
  <si>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</si>
  <si>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</si>
  <si>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</si>
  <si>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</si>
  <si>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</si>
  <si>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</si>
  <si>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</si>
  <si>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</si>
  <si>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</si>
  <si>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</si>
  <si>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</si>
  <si>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</si>
  <si>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</si>
  <si>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</si>
  <si>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</si>
  <si>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</si>
  <si>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</si>
  <si>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</si>
  <si>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</si>
  <si>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</si>
  <si>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</si>
  <si>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</si>
  <si>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</si>
  <si>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</si>
  <si>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</si>
  <si>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</si>
  <si>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</si>
  <si>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</si>
  <si>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</si>
  <si>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</si>
  <si>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</si>
  <si>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</si>
  <si>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</si>
  <si>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</si>
  <si>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</si>
  <si>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</si>
  <si>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</si>
  <si>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</si>
  <si>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</si>
  <si>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</si>
  <si>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</si>
  <si>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</si>
  <si>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</si>
  <si>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</si>
  <si>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</si>
  <si>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</si>
  <si>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</si>
  <si>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</si>
  <si>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</si>
  <si>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</si>
  <si>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</si>
  <si>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</si>
  <si>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</si>
  <si>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</si>
  <si>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</si>
  <si>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</si>
  <si>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</si>
  <si>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</si>
  <si>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</si>
  <si>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</si>
  <si>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</si>
  <si>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</si>
  <si>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</si>
  <si>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</si>
  <si>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</si>
  <si>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</si>
  <si>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</si>
  <si>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</si>
  <si>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</si>
  <si>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</si>
  <si>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</si>
  <si>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</si>
  <si>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</si>
  <si>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</si>
  <si>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</si>
  <si>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</si>
  <si>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</si>
  <si>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</si>
  <si>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</si>
  <si>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</si>
  <si>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</si>
  <si>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</si>
  <si>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</si>
  <si>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</si>
  <si>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</si>
  <si>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</si>
  <si>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</si>
  <si>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</si>
  <si>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</si>
  <si>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</si>
  <si>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</si>
  <si>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</si>
  <si>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</si>
  <si>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</si>
  <si>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</si>
  <si>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</si>
  <si>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</si>
  <si>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</si>
  <si>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</si>
  <si>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</si>
  <si>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</si>
  <si>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</si>
  <si>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McLean</t>
  </si>
  <si>
    <t>300 East Monroe Street</t>
  </si>
  <si>
    <t>Bloomington</t>
  </si>
  <si>
    <t>Dr. Barry Reilly</t>
  </si>
  <si>
    <t>manahanc@district87.org</t>
  </si>
  <si>
    <t>309-827-6031</t>
  </si>
  <si>
    <t>309-827-5717</t>
  </si>
  <si>
    <t>Tim C. Custis</t>
  </si>
  <si>
    <t>tcustis@gorenzcpa.com</t>
  </si>
  <si>
    <t>None</t>
  </si>
  <si>
    <t>Bloomington District 87</t>
  </si>
  <si>
    <t>Page 11, Line 106: Cybersecurity Fees</t>
  </si>
  <si>
    <t>Page 11, Line 107: Reimbursements</t>
  </si>
  <si>
    <t>Page 14, Line 265: Workforce Investment Act Grant</t>
  </si>
  <si>
    <t>Page 29, Line 80: "PLEASE ENTER CONTRACTS PAID IN THE CURRENT YEAR"</t>
  </si>
  <si>
    <t>For the current fiscal year, there were no contracts exceeding the $25,000 limit</t>
  </si>
  <si>
    <t>There were no findings for the year ending June 30, 2019.</t>
  </si>
  <si>
    <t>See PDF version</t>
  </si>
  <si>
    <t>Bloomington Area Voc Ctr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</si>
</sst>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84" fillId="0" borderId="0" xfId="0" applyFont="1" applyAlignment="1">
      <alignment vertical="top" wrapText="1"/>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3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3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0.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c r="C5" s="26" t="s">
        <v>904</v>
      </c>
      <c r="D5" s="81"/>
      <c r="E5" s="81"/>
      <c r="H5" s="38"/>
      <c r="I5" s="2089" t="s">
        <v>675</v>
      </c>
      <c r="J5" s="2088"/>
      <c r="K5" s="2088"/>
      <c r="L5" s="2088"/>
      <c r="M5" s="2088"/>
      <c r="N5" s="2088"/>
      <c r="O5" s="2088"/>
      <c r="P5" s="2088"/>
      <c r="Q5" s="2088"/>
      <c r="R5" s="2088"/>
      <c r="S5" s="2088"/>
      <c r="AF5" s="1827"/>
    </row>
    <row r="6" spans="1:32" ht="14.1" customHeight="1" x14ac:dyDescent="0.2">
      <c r="B6" s="101" t="s">
        <v>2051</v>
      </c>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17064087041</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2060</v>
      </c>
      <c r="B15" s="2104"/>
      <c r="C15" s="2104"/>
      <c r="D15" s="2104"/>
      <c r="E15" s="2104"/>
      <c r="F15" s="2104"/>
      <c r="G15" s="2104"/>
      <c r="H15" s="2105"/>
      <c r="T15" s="2110" t="s">
        <v>2067</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2078</v>
      </c>
      <c r="B17" s="2074"/>
      <c r="C17" s="2074"/>
      <c r="D17" s="2074"/>
      <c r="E17" s="2074"/>
      <c r="F17" s="2074"/>
      <c r="G17" s="2074"/>
      <c r="H17" s="2099"/>
      <c r="T17" s="2117" t="s">
        <v>2053</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2061</v>
      </c>
      <c r="B19" s="2059"/>
      <c r="C19" s="2059"/>
      <c r="D19" s="2059"/>
      <c r="E19" s="2059"/>
      <c r="F19" s="2059"/>
      <c r="G19" s="2059"/>
      <c r="H19" s="2039"/>
      <c r="I19" s="30"/>
      <c r="J19" s="96"/>
      <c r="K19" s="40"/>
      <c r="L19" s="38"/>
      <c r="M19" s="109" t="s">
        <v>312</v>
      </c>
      <c r="P19" s="27"/>
      <c r="Q19" s="27"/>
      <c r="R19" s="27"/>
      <c r="S19" s="31"/>
      <c r="T19" s="2103" t="s">
        <v>2054</v>
      </c>
      <c r="U19" s="2038"/>
      <c r="V19" s="2038"/>
      <c r="W19" s="2039"/>
      <c r="X19" s="2115" t="s">
        <v>2055</v>
      </c>
      <c r="Y19" s="2116"/>
      <c r="Z19" s="2113">
        <v>61614</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2062</v>
      </c>
      <c r="B21" s="2038"/>
      <c r="C21" s="2038"/>
      <c r="D21" s="2038"/>
      <c r="E21" s="2038"/>
      <c r="F21" s="2038"/>
      <c r="G21" s="2038"/>
      <c r="H21" s="2039"/>
      <c r="I21" s="2093" t="s">
        <v>673</v>
      </c>
      <c r="J21" s="2088"/>
      <c r="K21" s="2088"/>
      <c r="L21" s="2088"/>
      <c r="M21" s="2088"/>
      <c r="N21" s="2088"/>
      <c r="O21" s="2088"/>
      <c r="P21" s="2088"/>
      <c r="Q21" s="2088"/>
      <c r="R21" s="2088"/>
      <c r="S21" s="2094"/>
      <c r="T21" s="2128" t="s">
        <v>2056</v>
      </c>
      <c r="U21" s="2129"/>
      <c r="V21" s="2129"/>
      <c r="W21" s="2129"/>
      <c r="X21" s="2134" t="s">
        <v>2057</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2064</v>
      </c>
      <c r="B23" s="2091"/>
      <c r="C23" s="2091"/>
      <c r="D23" s="2091"/>
      <c r="E23" s="2091"/>
      <c r="F23" s="2091"/>
      <c r="G23" s="2091"/>
      <c r="H23" s="2092"/>
      <c r="T23" s="2073" t="s">
        <v>2058</v>
      </c>
      <c r="U23" s="2127"/>
      <c r="V23" s="2127"/>
      <c r="W23" s="2127"/>
      <c r="X23" s="2131">
        <v>44501</v>
      </c>
      <c r="Y23" s="2132"/>
      <c r="Z23" s="2132"/>
      <c r="AA23" s="2133"/>
    </row>
    <row r="24" spans="1:27" ht="14.1" customHeight="1" x14ac:dyDescent="0.2">
      <c r="A24" s="85" t="s">
        <v>672</v>
      </c>
      <c r="B24" s="46"/>
      <c r="C24" s="46"/>
      <c r="D24" s="46"/>
      <c r="E24" s="46"/>
      <c r="F24" s="46"/>
      <c r="G24" s="46"/>
      <c r="H24" s="58"/>
      <c r="J24" s="2060" t="str">
        <f>IF(B5="x",IF(AUDITCHECK!D29="AFR form Incomplete.","",IF(AUDITCHECK!D29="Deficit reduction plan is required.","School District must complete a deficit reduction plan in the 2020-2021 Budget",)),"")</f>
        <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61701</v>
      </c>
      <c r="B25" s="2038"/>
      <c r="C25" s="2038"/>
      <c r="D25" s="2038"/>
      <c r="E25" s="2038"/>
      <c r="F25" s="2038"/>
      <c r="G25" s="2038"/>
      <c r="H25" s="2039"/>
      <c r="I25" s="110"/>
      <c r="J25" s="2062"/>
      <c r="K25" s="2062"/>
      <c r="L25" s="2062"/>
      <c r="M25" s="2062"/>
      <c r="N25" s="2062"/>
      <c r="O25" s="2062"/>
      <c r="P25" s="2062"/>
      <c r="Q25" s="2062"/>
      <c r="R25" s="2062"/>
      <c r="S25" s="2063"/>
      <c r="T25" s="2124" t="s">
        <v>2068</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2063</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2064</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2065</v>
      </c>
      <c r="B42" s="2057"/>
      <c r="C42" s="2058"/>
      <c r="D42" s="2056" t="s">
        <v>2066</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2077</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1675315</v>
      </c>
      <c r="E16" s="1547"/>
      <c r="F16" s="1546">
        <f>SUM('Acct Summary 7-8'!C17,'Acct Summary 7-8'!D17,'Acct Summary 7-8'!F17)</f>
        <v>1363127</v>
      </c>
      <c r="G16" s="1547"/>
      <c r="H16" s="1546">
        <f>SUM(D16-F16)</f>
        <v>312188</v>
      </c>
      <c r="I16" s="1548"/>
      <c r="J16" s="1546">
        <f>SUM('Acct Summary 7-8'!C81,'Acct Summary 7-8'!D81,'Acct Summary 7-8'!F81,'Acct Summary 7-8'!I81)</f>
        <v>1164119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0</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Bloomington Area Voc Ctr</v>
      </c>
      <c r="E7" s="368"/>
      <c r="G7" s="247"/>
      <c r="H7" s="364"/>
      <c r="I7" s="364"/>
      <c r="J7" s="364"/>
      <c r="K7" s="364"/>
      <c r="L7" s="307"/>
      <c r="M7" s="307"/>
      <c r="N7" s="307"/>
      <c r="O7" s="307"/>
      <c r="P7" s="307"/>
    </row>
    <row r="8" spans="1:18" ht="12.75" x14ac:dyDescent="0.2">
      <c r="A8" s="307"/>
      <c r="B8" s="307"/>
      <c r="C8" s="366" t="s">
        <v>1115</v>
      </c>
      <c r="D8" s="369">
        <f>COVER!A13</f>
        <v>17064087041</v>
      </c>
      <c r="E8" s="370"/>
      <c r="G8" s="307"/>
      <c r="H8" s="307"/>
      <c r="I8" s="307"/>
      <c r="J8" s="307"/>
      <c r="K8" s="307"/>
      <c r="L8" s="307"/>
      <c r="M8" s="307"/>
      <c r="N8" s="307"/>
      <c r="O8" s="307"/>
      <c r="P8" s="307"/>
    </row>
    <row r="9" spans="1:18" ht="12.75" x14ac:dyDescent="0.2">
      <c r="A9" s="307"/>
      <c r="B9" s="307"/>
      <c r="C9" s="366" t="s">
        <v>708</v>
      </c>
      <c r="D9" s="371" t="str">
        <f>COVER!A15</f>
        <v>McLean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1164119</v>
      </c>
      <c r="I12" s="380"/>
      <c r="J12" s="380"/>
      <c r="K12" s="1559">
        <f>TRUNC((H12/H13*100000),5)/100000</f>
        <v>0.69486574160000003</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1675315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1363127</v>
      </c>
      <c r="I17" s="380"/>
      <c r="J17" s="389"/>
      <c r="K17" s="1559">
        <f>TRUNC((H17/H18*100000),5)/100000</f>
        <v>0.81365414860000007</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1675315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1164119</v>
      </c>
      <c r="I24" s="394"/>
      <c r="J24" s="394"/>
      <c r="K24" s="1555">
        <f>TRUNC(((H24/H25*100000)/100000),2)</f>
        <v>307.44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3786.46389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#DIV/0!</v>
      </c>
      <c r="P31" s="211"/>
    </row>
    <row r="32" spans="1:18" s="382" customFormat="1" ht="11.25" x14ac:dyDescent="0.2">
      <c r="A32" s="213"/>
      <c r="B32" s="377"/>
      <c r="C32" s="213" t="s">
        <v>842</v>
      </c>
      <c r="D32" s="213"/>
      <c r="E32" s="213"/>
      <c r="F32" s="213"/>
      <c r="G32" s="378"/>
      <c r="H32" s="1551">
        <f>'FP Info 3'!H37</f>
        <v>0</v>
      </c>
      <c r="I32" s="392"/>
      <c r="J32" s="392"/>
      <c r="K32" s="1555" t="e">
        <f>TRUNC(100-((((H32/H33*100))*100)/100),2)</f>
        <v>#DIV/0!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0</v>
      </c>
      <c r="I33" s="392"/>
      <c r="J33" s="392"/>
      <c r="K33" s="379"/>
      <c r="L33" s="213"/>
      <c r="M33" s="401" t="s">
        <v>1135</v>
      </c>
      <c r="N33" s="401"/>
      <c r="O33" s="1568" t="e">
        <f>(O31*O32)</f>
        <v>#DIV/0!</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25" sqref="T25:AA25"/>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801682</v>
      </c>
      <c r="D4" s="1573">
        <v>0</v>
      </c>
      <c r="E4" s="1573">
        <v>0</v>
      </c>
      <c r="F4" s="1573">
        <v>0</v>
      </c>
      <c r="G4" s="1573">
        <v>0</v>
      </c>
      <c r="H4" s="1573">
        <v>0</v>
      </c>
      <c r="I4" s="1573">
        <v>0</v>
      </c>
      <c r="J4" s="1574">
        <v>0</v>
      </c>
      <c r="K4" s="1573">
        <v>0</v>
      </c>
      <c r="L4" s="1573">
        <v>0</v>
      </c>
      <c r="M4" s="1575"/>
      <c r="N4" s="1576"/>
    </row>
    <row r="5" spans="1:14" x14ac:dyDescent="0.2">
      <c r="A5" s="427" t="s">
        <v>985</v>
      </c>
      <c r="B5" s="429">
        <v>120</v>
      </c>
      <c r="C5" s="1572">
        <v>362437</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1164119</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92766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92766</v>
      </c>
      <c r="N23" s="1594">
        <f>SUM(N21:N22)</f>
        <v>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0</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0</v>
      </c>
      <c r="D38" s="1573">
        <v>0</v>
      </c>
      <c r="E38" s="1573">
        <v>0</v>
      </c>
      <c r="F38" s="1573">
        <v>0</v>
      </c>
      <c r="G38" s="1573">
        <v>0</v>
      </c>
      <c r="H38" s="1573">
        <v>0</v>
      </c>
      <c r="I38" s="1573">
        <v>0</v>
      </c>
      <c r="J38" s="1574">
        <v>0</v>
      </c>
      <c r="K38" s="1573">
        <v>0</v>
      </c>
      <c r="L38" s="1586">
        <v>0</v>
      </c>
      <c r="M38" s="1604"/>
      <c r="N38" s="1604"/>
    </row>
    <row r="39" spans="1:14" s="307" customFormat="1" ht="13.5" customHeight="1" x14ac:dyDescent="0.2">
      <c r="A39" s="438" t="s">
        <v>339</v>
      </c>
      <c r="B39" s="432">
        <v>730</v>
      </c>
      <c r="C39" s="1573">
        <v>1164119</v>
      </c>
      <c r="D39" s="1573">
        <v>0</v>
      </c>
      <c r="E39" s="1573">
        <v>0</v>
      </c>
      <c r="F39" s="1573">
        <v>0</v>
      </c>
      <c r="G39" s="1573">
        <v>0</v>
      </c>
      <c r="H39" s="1573">
        <v>0</v>
      </c>
      <c r="I39" s="1573">
        <v>0</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92766</v>
      </c>
      <c r="N40" s="1604"/>
    </row>
    <row r="41" spans="1:14" ht="13.5" customHeight="1" thickBot="1" x14ac:dyDescent="0.25">
      <c r="A41" s="1426" t="s">
        <v>650</v>
      </c>
      <c r="B41" s="1405"/>
      <c r="C41" s="1594">
        <f>(SUM(C34,C37,C38,C39))</f>
        <v>1164119</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92766</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25" sqref="T25:AA25"/>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954897</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674133</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46285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1675315</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0</v>
      </c>
      <c r="D9" s="1613"/>
      <c r="E9" s="1586"/>
      <c r="F9" s="1586"/>
      <c r="G9" s="1614"/>
      <c r="H9" s="1586"/>
      <c r="I9" s="1609" t="s">
        <v>1159</v>
      </c>
      <c r="J9" s="1583"/>
      <c r="K9" s="1586"/>
      <c r="L9" s="325"/>
    </row>
    <row r="10" spans="1:13" s="452" customFormat="1" ht="13.5" thickBot="1" x14ac:dyDescent="0.25">
      <c r="A10" s="1426" t="s">
        <v>1163</v>
      </c>
      <c r="B10" s="1407"/>
      <c r="C10" s="1594">
        <f>SUM(C8:C9)</f>
        <v>1675315</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928302</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222927</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211898</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1363127</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1363127</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1" t="s">
        <v>1636</v>
      </c>
      <c r="B20" s="2232"/>
      <c r="C20" s="1622">
        <f>C8-C17</f>
        <v>312188</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312188</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851931</v>
      </c>
      <c r="D79" s="1583">
        <v>0</v>
      </c>
      <c r="E79" s="1630">
        <v>0</v>
      </c>
      <c r="F79" s="1630">
        <v>0</v>
      </c>
      <c r="G79" s="1630">
        <v>0</v>
      </c>
      <c r="H79" s="1630">
        <v>0</v>
      </c>
      <c r="I79" s="1630">
        <v>0</v>
      </c>
      <c r="J79" s="1630">
        <v>0</v>
      </c>
      <c r="K79" s="1630">
        <v>0</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1164119</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312188</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0.26817533259056847</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25" sqref="T25:AA25"/>
      <selection pane="bottomLeft" activeCell="C29" sqref="C2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0</v>
      </c>
      <c r="D5" s="1586">
        <v>0</v>
      </c>
      <c r="E5" s="1573">
        <v>0</v>
      </c>
      <c r="F5" s="1631">
        <v>0</v>
      </c>
      <c r="G5" s="1573">
        <v>0</v>
      </c>
      <c r="H5" s="1573">
        <v>0</v>
      </c>
      <c r="I5" s="1573">
        <v>0</v>
      </c>
      <c r="J5" s="1574">
        <v>0</v>
      </c>
      <c r="K5" s="1573">
        <v>0</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0</v>
      </c>
      <c r="D7" s="1573">
        <v>0</v>
      </c>
      <c r="E7" s="1575"/>
      <c r="F7" s="1574">
        <v>0</v>
      </c>
      <c r="G7" s="1574">
        <v>0</v>
      </c>
      <c r="H7" s="1574">
        <v>0</v>
      </c>
      <c r="I7" s="1575"/>
      <c r="J7" s="1575"/>
      <c r="K7" s="1575"/>
    </row>
    <row r="8" spans="1:12" x14ac:dyDescent="0.2">
      <c r="A8" s="427" t="s">
        <v>410</v>
      </c>
      <c r="B8" s="429">
        <v>1150</v>
      </c>
      <c r="C8" s="1580"/>
      <c r="D8" s="1580"/>
      <c r="E8" s="1582"/>
      <c r="F8" s="1582"/>
      <c r="G8" s="1586">
        <v>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0</v>
      </c>
      <c r="E16" s="1573">
        <v>0</v>
      </c>
      <c r="F16" s="1573">
        <v>0</v>
      </c>
      <c r="G16" s="1573">
        <v>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923175</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923175</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16030</v>
      </c>
      <c r="D65" s="1573">
        <v>0</v>
      </c>
      <c r="E65" s="1573">
        <v>0</v>
      </c>
      <c r="F65" s="1574">
        <v>0</v>
      </c>
      <c r="G65" s="1573">
        <v>0</v>
      </c>
      <c r="H65" s="1573">
        <v>0</v>
      </c>
      <c r="I65" s="1573">
        <v>0</v>
      </c>
      <c r="J65" s="1574">
        <v>0</v>
      </c>
      <c r="K65" s="1573">
        <v>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16030</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4852</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8896</v>
      </c>
      <c r="D105" s="1640"/>
      <c r="E105" s="1575"/>
      <c r="F105" s="1575"/>
      <c r="G105" s="1575"/>
      <c r="H105" s="1610"/>
      <c r="I105" s="1575"/>
      <c r="J105" s="1575"/>
      <c r="K105" s="1575"/>
    </row>
    <row r="106" spans="1:12" ht="12.75" customHeight="1" x14ac:dyDescent="0.2">
      <c r="A106" s="427" t="s">
        <v>1413</v>
      </c>
      <c r="B106" s="429">
        <v>1993</v>
      </c>
      <c r="C106" s="1573">
        <v>200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1744</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15692</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954897</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0</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674133</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674133</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0</v>
      </c>
      <c r="G152" s="1574">
        <v>0</v>
      </c>
      <c r="H152" s="1575"/>
      <c r="I152" s="1575"/>
      <c r="J152" s="1575"/>
      <c r="K152" s="1575"/>
    </row>
    <row r="153" spans="1:11" ht="12.75" customHeight="1" x14ac:dyDescent="0.2">
      <c r="A153" s="427" t="s">
        <v>1048</v>
      </c>
      <c r="B153" s="478">
        <v>3510</v>
      </c>
      <c r="C153" s="1632">
        <v>0</v>
      </c>
      <c r="D153" s="1573">
        <v>0</v>
      </c>
      <c r="E153" s="1640"/>
      <c r="F153" s="1573">
        <v>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49" t="s">
        <v>395</v>
      </c>
      <c r="B169" s="2250"/>
      <c r="C169" s="1658">
        <f t="shared" ref="C169:K169" si="6">SUM(C132,C141,C145,C146:C150,C155,C156:C167,C168)</f>
        <v>674133</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674133</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0</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0</v>
      </c>
      <c r="E263" s="1575"/>
      <c r="F263" s="1651">
        <v>0</v>
      </c>
      <c r="G263" s="1651">
        <v>0</v>
      </c>
      <c r="H263" s="1575"/>
      <c r="I263" s="1575"/>
      <c r="J263" s="1575"/>
      <c r="K263" s="1575"/>
    </row>
    <row r="264" spans="1:11" ht="12.75" customHeight="1" thickTop="1" thickBot="1" x14ac:dyDescent="0.25">
      <c r="A264" s="427" t="s">
        <v>374</v>
      </c>
      <c r="B264" s="429">
        <v>4992</v>
      </c>
      <c r="C264" s="1650">
        <v>0</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46285</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46285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46285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1675315</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T25" sqref="T25:AA25"/>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0</v>
      </c>
      <c r="D5" s="1573">
        <v>0</v>
      </c>
      <c r="E5" s="1573">
        <v>0</v>
      </c>
      <c r="F5" s="1573">
        <v>0</v>
      </c>
      <c r="G5" s="1573">
        <v>0</v>
      </c>
      <c r="H5" s="1573">
        <v>0</v>
      </c>
      <c r="I5" s="1574">
        <v>0</v>
      </c>
      <c r="J5" s="1574">
        <v>0</v>
      </c>
      <c r="K5" s="1672">
        <f>SUM(C5:J5)</f>
        <v>0</v>
      </c>
      <c r="L5" s="1573">
        <v>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0</v>
      </c>
      <c r="D8" s="1573">
        <v>0</v>
      </c>
      <c r="E8" s="1573">
        <v>0</v>
      </c>
      <c r="F8" s="1573">
        <v>0</v>
      </c>
      <c r="G8" s="1573">
        <v>0</v>
      </c>
      <c r="H8" s="1573">
        <v>0</v>
      </c>
      <c r="I8" s="1574">
        <v>0</v>
      </c>
      <c r="J8" s="1574">
        <v>0</v>
      </c>
      <c r="K8" s="1672">
        <f t="shared" si="0"/>
        <v>0</v>
      </c>
      <c r="L8" s="1573">
        <v>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0</v>
      </c>
      <c r="F10" s="1573">
        <v>0</v>
      </c>
      <c r="G10" s="1573">
        <v>0</v>
      </c>
      <c r="H10" s="1573">
        <v>0</v>
      </c>
      <c r="I10" s="1574">
        <v>0</v>
      </c>
      <c r="J10" s="1574">
        <v>0</v>
      </c>
      <c r="K10" s="1672">
        <f t="shared" si="0"/>
        <v>0</v>
      </c>
      <c r="L10" s="1573">
        <v>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712329</v>
      </c>
      <c r="D13" s="1573">
        <v>95948</v>
      </c>
      <c r="E13" s="1573">
        <v>28124</v>
      </c>
      <c r="F13" s="1573">
        <v>37934</v>
      </c>
      <c r="G13" s="1573">
        <v>7493</v>
      </c>
      <c r="H13" s="1573">
        <v>2460</v>
      </c>
      <c r="I13" s="1574">
        <v>0</v>
      </c>
      <c r="J13" s="1574">
        <v>0</v>
      </c>
      <c r="K13" s="1672">
        <f t="shared" si="0"/>
        <v>884288</v>
      </c>
      <c r="L13" s="1573">
        <v>972592</v>
      </c>
    </row>
    <row r="14" spans="1:14" x14ac:dyDescent="0.2">
      <c r="A14" s="1274" t="s">
        <v>957</v>
      </c>
      <c r="B14" s="503">
        <v>1500</v>
      </c>
      <c r="C14" s="1573">
        <v>0</v>
      </c>
      <c r="D14" s="1573">
        <v>0</v>
      </c>
      <c r="E14" s="1573">
        <v>0</v>
      </c>
      <c r="F14" s="1573">
        <v>0</v>
      </c>
      <c r="G14" s="1573">
        <v>0</v>
      </c>
      <c r="H14" s="1573">
        <v>0</v>
      </c>
      <c r="I14" s="1574">
        <v>0</v>
      </c>
      <c r="J14" s="1574">
        <v>0</v>
      </c>
      <c r="K14" s="1672">
        <f t="shared" si="0"/>
        <v>0</v>
      </c>
      <c r="L14" s="1573">
        <v>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44014</v>
      </c>
      <c r="I27" s="1673"/>
      <c r="J27" s="1582"/>
      <c r="K27" s="1672">
        <f t="shared" si="0"/>
        <v>44014</v>
      </c>
      <c r="L27" s="1577">
        <v>51000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712329</v>
      </c>
      <c r="D33" s="1674">
        <f t="shared" ref="D33:L33" si="1">SUM(D5:D32)</f>
        <v>95948</v>
      </c>
      <c r="E33" s="1674">
        <f t="shared" si="1"/>
        <v>28124</v>
      </c>
      <c r="F33" s="1674">
        <f t="shared" si="1"/>
        <v>37934</v>
      </c>
      <c r="G33" s="1674">
        <f t="shared" si="1"/>
        <v>7493</v>
      </c>
      <c r="H33" s="1674">
        <f t="shared" si="1"/>
        <v>46474</v>
      </c>
      <c r="I33" s="1674">
        <f t="shared" si="1"/>
        <v>0</v>
      </c>
      <c r="J33" s="1674">
        <f t="shared" si="1"/>
        <v>0</v>
      </c>
      <c r="K33" s="1674">
        <f t="shared" si="1"/>
        <v>928302</v>
      </c>
      <c r="L33" s="1674">
        <f t="shared" si="1"/>
        <v>1023592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35222</v>
      </c>
      <c r="D37" s="1573">
        <v>12531</v>
      </c>
      <c r="E37" s="1573">
        <v>0</v>
      </c>
      <c r="F37" s="1573">
        <v>0</v>
      </c>
      <c r="G37" s="1573">
        <v>0</v>
      </c>
      <c r="H37" s="1573">
        <v>0</v>
      </c>
      <c r="I37" s="1574">
        <v>0</v>
      </c>
      <c r="J37" s="1574">
        <v>0</v>
      </c>
      <c r="K37" s="1672">
        <f t="shared" si="2"/>
        <v>47753</v>
      </c>
      <c r="L37" s="1573">
        <v>42697</v>
      </c>
    </row>
    <row r="38" spans="1:14" x14ac:dyDescent="0.2">
      <c r="A38" s="1274" t="s">
        <v>196</v>
      </c>
      <c r="B38" s="503">
        <v>2130</v>
      </c>
      <c r="C38" s="1573">
        <v>0</v>
      </c>
      <c r="D38" s="1573">
        <v>0</v>
      </c>
      <c r="E38" s="1573">
        <v>0</v>
      </c>
      <c r="F38" s="1573">
        <v>0</v>
      </c>
      <c r="G38" s="1573">
        <v>0</v>
      </c>
      <c r="H38" s="1573">
        <v>0</v>
      </c>
      <c r="I38" s="1573">
        <v>0</v>
      </c>
      <c r="J38" s="1573">
        <v>0</v>
      </c>
      <c r="K38" s="1672">
        <f t="shared" si="2"/>
        <v>0</v>
      </c>
      <c r="L38" s="1573">
        <v>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35222</v>
      </c>
      <c r="D42" s="1674">
        <f t="shared" ref="D42:L42" si="3">SUM(D36:D41)</f>
        <v>12531</v>
      </c>
      <c r="E42" s="1674">
        <f t="shared" si="3"/>
        <v>0</v>
      </c>
      <c r="F42" s="1674">
        <f t="shared" si="3"/>
        <v>0</v>
      </c>
      <c r="G42" s="1674">
        <f t="shared" si="3"/>
        <v>0</v>
      </c>
      <c r="H42" s="1674">
        <f t="shared" si="3"/>
        <v>0</v>
      </c>
      <c r="I42" s="1674">
        <f t="shared" si="3"/>
        <v>0</v>
      </c>
      <c r="J42" s="1674">
        <f t="shared" si="3"/>
        <v>0</v>
      </c>
      <c r="K42" s="1674">
        <f t="shared" si="3"/>
        <v>47753</v>
      </c>
      <c r="L42" s="1674">
        <f t="shared" si="3"/>
        <v>42697</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2859</v>
      </c>
      <c r="F44" s="1586">
        <v>4556</v>
      </c>
      <c r="G44" s="1586">
        <v>0</v>
      </c>
      <c r="H44" s="1586">
        <v>320</v>
      </c>
      <c r="I44" s="1574">
        <v>0</v>
      </c>
      <c r="J44" s="1574">
        <v>0</v>
      </c>
      <c r="K44" s="1678">
        <f>SUM(C44:J44)</f>
        <v>7735</v>
      </c>
      <c r="L44" s="1586">
        <v>6850</v>
      </c>
    </row>
    <row r="45" spans="1:14" x14ac:dyDescent="0.2">
      <c r="A45" s="1274" t="s">
        <v>810</v>
      </c>
      <c r="B45" s="503">
        <v>2220</v>
      </c>
      <c r="C45" s="1573">
        <v>0</v>
      </c>
      <c r="D45" s="1573">
        <v>0</v>
      </c>
      <c r="E45" s="1573">
        <v>0</v>
      </c>
      <c r="F45" s="1573">
        <v>0</v>
      </c>
      <c r="G45" s="1573">
        <v>0</v>
      </c>
      <c r="H45" s="1573">
        <v>0</v>
      </c>
      <c r="I45" s="1574">
        <v>0</v>
      </c>
      <c r="J45" s="1574">
        <v>0</v>
      </c>
      <c r="K45" s="1678">
        <f>SUM(C45:J45)</f>
        <v>0</v>
      </c>
      <c r="L45" s="1573">
        <v>0</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0</v>
      </c>
      <c r="D47" s="1674">
        <f t="shared" ref="D47:K47" si="4">SUM(D44:D46)</f>
        <v>0</v>
      </c>
      <c r="E47" s="1674">
        <f t="shared" si="4"/>
        <v>2859</v>
      </c>
      <c r="F47" s="1674">
        <f t="shared" si="4"/>
        <v>4556</v>
      </c>
      <c r="G47" s="1674">
        <f t="shared" si="4"/>
        <v>0</v>
      </c>
      <c r="H47" s="1674">
        <f t="shared" si="4"/>
        <v>320</v>
      </c>
      <c r="I47" s="1674">
        <f t="shared" si="4"/>
        <v>0</v>
      </c>
      <c r="J47" s="1674">
        <f t="shared" si="4"/>
        <v>0</v>
      </c>
      <c r="K47" s="1674">
        <f t="shared" si="4"/>
        <v>7735</v>
      </c>
      <c r="L47" s="1674">
        <f>SUM(L44:L46)</f>
        <v>6850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0</v>
      </c>
      <c r="F49" s="1586">
        <v>0</v>
      </c>
      <c r="G49" s="1586">
        <v>0</v>
      </c>
      <c r="H49" s="1586">
        <v>0</v>
      </c>
      <c r="I49" s="1574">
        <v>0</v>
      </c>
      <c r="J49" s="1574">
        <v>0</v>
      </c>
      <c r="K49" s="1678">
        <f>SUM(C49:J49)</f>
        <v>0</v>
      </c>
      <c r="L49" s="1586">
        <v>0</v>
      </c>
    </row>
    <row r="50" spans="1:14" x14ac:dyDescent="0.2">
      <c r="A50" s="1274" t="s">
        <v>813</v>
      </c>
      <c r="B50" s="503">
        <v>2320</v>
      </c>
      <c r="C50" s="1574">
        <v>0</v>
      </c>
      <c r="D50" s="1573">
        <v>0</v>
      </c>
      <c r="E50" s="1573">
        <v>0</v>
      </c>
      <c r="F50" s="1573">
        <v>0</v>
      </c>
      <c r="G50" s="1573">
        <v>0</v>
      </c>
      <c r="H50" s="1573">
        <v>0</v>
      </c>
      <c r="I50" s="1574">
        <v>0</v>
      </c>
      <c r="J50" s="1574">
        <v>0</v>
      </c>
      <c r="K50" s="1678">
        <f>SUM(C50:J50)</f>
        <v>0</v>
      </c>
      <c r="L50" s="1573">
        <v>0</v>
      </c>
    </row>
    <row r="51" spans="1:14" x14ac:dyDescent="0.2">
      <c r="A51" s="1274" t="s">
        <v>42</v>
      </c>
      <c r="B51" s="503">
        <v>2330</v>
      </c>
      <c r="C51" s="1573">
        <v>106219</v>
      </c>
      <c r="D51" s="1573">
        <v>37262</v>
      </c>
      <c r="E51" s="1573">
        <v>14647</v>
      </c>
      <c r="F51" s="1573">
        <v>3266</v>
      </c>
      <c r="G51" s="1573">
        <v>5625</v>
      </c>
      <c r="H51" s="1573">
        <v>420</v>
      </c>
      <c r="I51" s="1574">
        <v>0</v>
      </c>
      <c r="J51" s="1574">
        <v>0</v>
      </c>
      <c r="K51" s="1678">
        <f>SUM(C51:J51)</f>
        <v>167439</v>
      </c>
      <c r="L51" s="1573">
        <v>175770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106219</v>
      </c>
      <c r="D53" s="1674">
        <f t="shared" ref="D53:L53" si="5">SUM(D49:D52)</f>
        <v>37262</v>
      </c>
      <c r="E53" s="1674">
        <f t="shared" si="5"/>
        <v>14647</v>
      </c>
      <c r="F53" s="1674">
        <f t="shared" si="5"/>
        <v>3266</v>
      </c>
      <c r="G53" s="1674">
        <f t="shared" si="5"/>
        <v>5625</v>
      </c>
      <c r="H53" s="1674">
        <f t="shared" si="5"/>
        <v>420</v>
      </c>
      <c r="I53" s="1674">
        <f t="shared" si="5"/>
        <v>0</v>
      </c>
      <c r="J53" s="1674">
        <f t="shared" si="5"/>
        <v>0</v>
      </c>
      <c r="K53" s="1674">
        <f t="shared" si="5"/>
        <v>167439</v>
      </c>
      <c r="L53" s="1674">
        <f t="shared" si="5"/>
        <v>175770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0</v>
      </c>
      <c r="D55" s="1586">
        <v>0</v>
      </c>
      <c r="E55" s="1586">
        <v>0</v>
      </c>
      <c r="F55" s="1586">
        <v>0</v>
      </c>
      <c r="G55" s="1586">
        <v>0</v>
      </c>
      <c r="H55" s="1586">
        <v>0</v>
      </c>
      <c r="I55" s="1574">
        <v>0</v>
      </c>
      <c r="J55" s="1574">
        <v>0</v>
      </c>
      <c r="K55" s="1678">
        <f>SUM(C55:J55)</f>
        <v>0</v>
      </c>
      <c r="L55" s="1586">
        <v>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0</v>
      </c>
      <c r="D60" s="1573">
        <v>0</v>
      </c>
      <c r="E60" s="1573">
        <v>0</v>
      </c>
      <c r="F60" s="1573">
        <v>0</v>
      </c>
      <c r="G60" s="1573">
        <v>0</v>
      </c>
      <c r="H60" s="1573">
        <v>0</v>
      </c>
      <c r="I60" s="1574">
        <v>0</v>
      </c>
      <c r="J60" s="1574">
        <v>0</v>
      </c>
      <c r="K60" s="1678">
        <f t="shared" si="7"/>
        <v>0</v>
      </c>
      <c r="L60" s="1573">
        <v>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0</v>
      </c>
      <c r="D63" s="1573">
        <v>0</v>
      </c>
      <c r="E63" s="1573">
        <v>0</v>
      </c>
      <c r="F63" s="1573">
        <v>0</v>
      </c>
      <c r="G63" s="1573">
        <v>0</v>
      </c>
      <c r="H63" s="1573">
        <v>0</v>
      </c>
      <c r="I63" s="1574">
        <v>0</v>
      </c>
      <c r="J63" s="1574">
        <v>0</v>
      </c>
      <c r="K63" s="1678">
        <f t="shared" si="7"/>
        <v>0</v>
      </c>
      <c r="L63" s="1573">
        <v>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0</v>
      </c>
      <c r="D65" s="1674">
        <f t="shared" ref="D65:L65" si="8">SUM(D59:D64)</f>
        <v>0</v>
      </c>
      <c r="E65" s="1674">
        <f t="shared" si="8"/>
        <v>0</v>
      </c>
      <c r="F65" s="1674">
        <f t="shared" si="8"/>
        <v>0</v>
      </c>
      <c r="G65" s="1674">
        <f t="shared" si="8"/>
        <v>0</v>
      </c>
      <c r="H65" s="1674">
        <f t="shared" si="8"/>
        <v>0</v>
      </c>
      <c r="I65" s="1674">
        <f t="shared" si="8"/>
        <v>0</v>
      </c>
      <c r="J65" s="1674">
        <f t="shared" si="8"/>
        <v>0</v>
      </c>
      <c r="K65" s="1674">
        <f t="shared" si="8"/>
        <v>0</v>
      </c>
      <c r="L65" s="1674">
        <f t="shared" si="8"/>
        <v>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141441</v>
      </c>
      <c r="D74" s="1681">
        <f t="shared" ref="D74:K74" si="10">SUM(D42,D47,D53,D57,D65,D72,D73)</f>
        <v>49793</v>
      </c>
      <c r="E74" s="1681">
        <f t="shared" si="10"/>
        <v>17506</v>
      </c>
      <c r="F74" s="1681">
        <f t="shared" si="10"/>
        <v>7822</v>
      </c>
      <c r="G74" s="1681">
        <f t="shared" si="10"/>
        <v>5625</v>
      </c>
      <c r="H74" s="1681">
        <f t="shared" si="10"/>
        <v>740</v>
      </c>
      <c r="I74" s="1681">
        <f t="shared" si="10"/>
        <v>0</v>
      </c>
      <c r="J74" s="1681">
        <f t="shared" si="10"/>
        <v>0</v>
      </c>
      <c r="K74" s="1681">
        <f t="shared" si="10"/>
        <v>222927</v>
      </c>
      <c r="L74" s="1681">
        <f>SUM(L42,L47,L53,L57,L65,L72,L73)</f>
        <v>225317</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186624</v>
      </c>
      <c r="F81" s="1673"/>
      <c r="G81" s="1673"/>
      <c r="H81" s="1573">
        <v>0</v>
      </c>
      <c r="I81" s="1582"/>
      <c r="J81" s="1582"/>
      <c r="K81" s="1672">
        <f t="shared" si="11"/>
        <v>186624</v>
      </c>
      <c r="L81" s="1573">
        <v>264200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186624</v>
      </c>
      <c r="F84" s="1673"/>
      <c r="G84" s="1673"/>
      <c r="H84" s="1674">
        <f>SUM(H78:H83)</f>
        <v>0</v>
      </c>
      <c r="I84" s="1582"/>
      <c r="J84" s="1582"/>
      <c r="K84" s="1674">
        <f>SUM(K78:K83)</f>
        <v>186624</v>
      </c>
      <c r="L84" s="1674">
        <f>SUM(L78:L83)</f>
        <v>264200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25274</v>
      </c>
      <c r="I88" s="1582"/>
      <c r="J88" s="1582"/>
      <c r="K88" s="1681">
        <f t="shared" si="12"/>
        <v>25274</v>
      </c>
      <c r="L88" s="1626">
        <v>26000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25274</v>
      </c>
      <c r="I92" s="1582"/>
      <c r="J92" s="1582"/>
      <c r="K92" s="1681">
        <f t="shared" si="12"/>
        <v>25274</v>
      </c>
      <c r="L92" s="1674">
        <f>SUM(L85:L91)</f>
        <v>26000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186624</v>
      </c>
      <c r="F102" s="1673"/>
      <c r="G102" s="1673"/>
      <c r="H102" s="1681">
        <f>SUM(H84,H92,H100,H101)</f>
        <v>25274</v>
      </c>
      <c r="I102" s="1582"/>
      <c r="J102" s="1582"/>
      <c r="K102" s="1681">
        <f>SUM(K84,K92,K100,K101)</f>
        <v>211898</v>
      </c>
      <c r="L102" s="1681">
        <f>SUM(L84,L92,L100,L101)</f>
        <v>290200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70000</v>
      </c>
      <c r="M113" s="502"/>
      <c r="N113" s="502"/>
    </row>
    <row r="114" spans="1:14" ht="12.75" customHeight="1" thickTop="1" thickBot="1" x14ac:dyDescent="0.25">
      <c r="A114" s="1380" t="s">
        <v>48</v>
      </c>
      <c r="B114" s="1388"/>
      <c r="C114" s="1674">
        <f>SUM(C33,C74,C75,C102,C112,C113)</f>
        <v>853770</v>
      </c>
      <c r="D114" s="1674">
        <f t="shared" ref="D114:K114" si="13">SUM(D33,D74,D75,D102,D112,D113)</f>
        <v>145741</v>
      </c>
      <c r="E114" s="1674">
        <f t="shared" si="13"/>
        <v>232254</v>
      </c>
      <c r="F114" s="1674">
        <f t="shared" si="13"/>
        <v>45756</v>
      </c>
      <c r="G114" s="1674">
        <f t="shared" si="13"/>
        <v>13118</v>
      </c>
      <c r="H114" s="1674">
        <f>SUM(H33,H74,H75,H102,H112,H113)</f>
        <v>72488</v>
      </c>
      <c r="I114" s="1674">
        <f t="shared" si="13"/>
        <v>0</v>
      </c>
      <c r="J114" s="1674">
        <f t="shared" si="13"/>
        <v>0</v>
      </c>
      <c r="K114" s="1674">
        <f t="shared" si="13"/>
        <v>1363127</v>
      </c>
      <c r="L114" s="1674">
        <f>SUM(L33,L74,L75,L102,L112,L113)</f>
        <v>1609109</v>
      </c>
    </row>
    <row r="115" spans="1:14" ht="13.5" thickTop="1" x14ac:dyDescent="0.2">
      <c r="A115" s="2261" t="s">
        <v>989</v>
      </c>
      <c r="B115" s="2262"/>
      <c r="C115" s="1675"/>
      <c r="D115" s="1675"/>
      <c r="E115" s="1675"/>
      <c r="F115" s="1675"/>
      <c r="G115" s="1675"/>
      <c r="H115" s="1675"/>
      <c r="I115" s="1675"/>
      <c r="J115" s="1675"/>
      <c r="K115" s="1689">
        <f>'Revenues 9-14'!C268-'Expenditures 15-22'!K114</f>
        <v>312188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0</v>
      </c>
      <c r="F124" s="1573">
        <v>0</v>
      </c>
      <c r="G124" s="1573">
        <v>0</v>
      </c>
      <c r="H124" s="1573">
        <v>0</v>
      </c>
      <c r="I124" s="1574">
        <v>0</v>
      </c>
      <c r="J124" s="1574">
        <v>0</v>
      </c>
      <c r="K124" s="1674">
        <f>SUM(C124:J124)</f>
        <v>0</v>
      </c>
      <c r="L124" s="1573">
        <v>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8" t="s">
        <v>616</v>
      </c>
      <c r="B151" s="2258"/>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1" t="s">
        <v>989</v>
      </c>
      <c r="B175" s="2262"/>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0</v>
      </c>
      <c r="F182" s="1573">
        <v>0</v>
      </c>
      <c r="G182" s="1573">
        <v>0</v>
      </c>
      <c r="H182" s="1573">
        <v>0</v>
      </c>
      <c r="I182" s="1574">
        <v>0</v>
      </c>
      <c r="J182" s="1574">
        <v>0</v>
      </c>
      <c r="K182" s="1672">
        <f>SUM(C182:J182)</f>
        <v>0</v>
      </c>
      <c r="L182" s="1573">
        <v>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61" t="s">
        <v>989</v>
      </c>
      <c r="B211" s="2262"/>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0</v>
      </c>
      <c r="E215" s="1673"/>
      <c r="F215" s="1673"/>
      <c r="G215" s="1673"/>
      <c r="H215" s="1673"/>
      <c r="I215" s="1673"/>
      <c r="J215" s="1673"/>
      <c r="K215" s="1672">
        <f>D215</f>
        <v>0</v>
      </c>
      <c r="L215" s="1573">
        <v>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0</v>
      </c>
      <c r="E217" s="1673"/>
      <c r="F217" s="1673"/>
      <c r="G217" s="1673"/>
      <c r="H217" s="1673"/>
      <c r="I217" s="1673"/>
      <c r="J217" s="1673"/>
      <c r="K217" s="1672">
        <f t="shared" si="19"/>
        <v>0</v>
      </c>
      <c r="L217" s="1573">
        <v>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0</v>
      </c>
      <c r="E223" s="1673"/>
      <c r="F223" s="1673"/>
      <c r="G223" s="1673"/>
      <c r="H223" s="1673"/>
      <c r="I223" s="1673"/>
      <c r="J223" s="1673"/>
      <c r="K223" s="1672">
        <f t="shared" si="19"/>
        <v>0</v>
      </c>
      <c r="L223" s="1573">
        <v>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0</v>
      </c>
      <c r="E246" s="1673"/>
      <c r="F246" s="1673"/>
      <c r="G246" s="1673"/>
      <c r="H246" s="1673"/>
      <c r="I246" s="1673"/>
      <c r="J246" s="1673"/>
      <c r="K246" s="1678">
        <f t="shared" ref="K246:K256" si="21">D246</f>
        <v>0</v>
      </c>
      <c r="L246" s="1573">
        <v>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0</v>
      </c>
      <c r="E259" s="1673"/>
      <c r="F259" s="1673"/>
      <c r="G259" s="1673"/>
      <c r="H259" s="1673"/>
      <c r="I259" s="1673"/>
      <c r="J259" s="1673"/>
      <c r="K259" s="1678">
        <f>D259</f>
        <v>0</v>
      </c>
      <c r="L259" s="1586">
        <v>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0</v>
      </c>
      <c r="E264" s="1673"/>
      <c r="F264" s="1673"/>
      <c r="G264" s="1673"/>
      <c r="H264" s="1673"/>
      <c r="I264" s="1673"/>
      <c r="J264" s="1673"/>
      <c r="K264" s="1678">
        <f t="shared" ref="K264:K269" si="22">D264</f>
        <v>0</v>
      </c>
      <c r="L264" s="1573">
        <v>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0</v>
      </c>
      <c r="E266" s="1673"/>
      <c r="F266" s="1673"/>
      <c r="G266" s="1673"/>
      <c r="H266" s="1673"/>
      <c r="I266" s="1673"/>
      <c r="J266" s="1673"/>
      <c r="K266" s="1678">
        <f t="shared" si="22"/>
        <v>0</v>
      </c>
      <c r="L266" s="1573">
        <v>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0</v>
      </c>
      <c r="E268" s="1673"/>
      <c r="F268" s="1673"/>
      <c r="G268" s="1673"/>
      <c r="H268" s="1673"/>
      <c r="I268" s="1673"/>
      <c r="J268" s="1673"/>
      <c r="K268" s="1678">
        <f t="shared" si="22"/>
        <v>0</v>
      </c>
      <c r="L268" s="1573">
        <v>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9" t="s">
        <v>502</v>
      </c>
      <c r="B295" s="2280"/>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1" t="s">
        <v>989</v>
      </c>
      <c r="B296" s="2262"/>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989</v>
      </c>
      <c r="B368" s="2262"/>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0</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c r="I14" s="1749"/>
      <c r="J14" s="1751"/>
      <c r="K14" s="1745"/>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79648</v>
      </c>
      <c r="D12" s="1771">
        <v>13118</v>
      </c>
      <c r="E12" s="1771"/>
      <c r="F12" s="1765">
        <f>(C12+D12)-E12</f>
        <v>92766</v>
      </c>
      <c r="G12" s="681">
        <v>10</v>
      </c>
      <c r="H12" s="619">
        <v>23932</v>
      </c>
      <c r="I12" s="619">
        <v>9277</v>
      </c>
      <c r="J12" s="619"/>
      <c r="K12" s="1442">
        <f>(H12+I12)-J12</f>
        <v>33209</v>
      </c>
      <c r="L12" s="1442">
        <f>F12-K12</f>
        <v>59557</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79648</v>
      </c>
      <c r="D16" s="1765">
        <f>SUM(D3,D5:D6,D8:D10,D12:D15)</f>
        <v>13118</v>
      </c>
      <c r="E16" s="1765">
        <f>SUM(E3,E5:E6,E8:E10,E12:E15)</f>
        <v>0</v>
      </c>
      <c r="F16" s="1765">
        <f>SUM(F3,F5:F6,F8:F10,F12:F15)</f>
        <v>92766</v>
      </c>
      <c r="G16" s="681"/>
      <c r="H16" s="1435">
        <f>SUM(H3,H6,H8:H10,H12:H14,)</f>
        <v>23932</v>
      </c>
      <c r="I16" s="1435">
        <f>SUM(I3,I6,I8:I10,I12:I14,)</f>
        <v>9277</v>
      </c>
      <c r="J16" s="1435">
        <f>SUM(J3,J6,J8:J10,J12:J14,)</f>
        <v>0</v>
      </c>
      <c r="K16" s="1435">
        <f>(H16+I16)-J16</f>
        <v>33209</v>
      </c>
      <c r="L16" s="1435">
        <f>F16-K16</f>
        <v>59557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9277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1363127</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1363127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44014</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211898</v>
      </c>
      <c r="G53" s="701"/>
    </row>
    <row r="54" spans="1:7" x14ac:dyDescent="0.2">
      <c r="A54" s="705" t="s">
        <v>456</v>
      </c>
      <c r="B54" s="705" t="s">
        <v>1459</v>
      </c>
      <c r="C54" s="724" t="s">
        <v>975</v>
      </c>
      <c r="D54" s="720" t="s">
        <v>1086</v>
      </c>
      <c r="E54" s="704"/>
      <c r="F54" s="1782">
        <f>'Expenditures 15-22'!G114</f>
        <v>13118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269030</v>
      </c>
      <c r="G77" s="701"/>
    </row>
    <row r="78" spans="1:9" s="728" customFormat="1" ht="12" customHeight="1" thickTop="1" thickBot="1" x14ac:dyDescent="0.25">
      <c r="A78" s="1450"/>
      <c r="B78" s="1448"/>
      <c r="C78" s="1445"/>
      <c r="D78" s="1449" t="s">
        <v>2012</v>
      </c>
      <c r="E78" s="1447"/>
      <c r="F78" s="1788">
        <f>(F14-F77)</f>
        <v>1094097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200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674133</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46285</v>
      </c>
      <c r="G171" s="760"/>
    </row>
    <row r="172" spans="1:7" x14ac:dyDescent="0.2">
      <c r="A172" s="1529" t="s">
        <v>5</v>
      </c>
      <c r="B172" s="1530" t="s">
        <v>1885</v>
      </c>
      <c r="C172" s="1531">
        <v>3100</v>
      </c>
      <c r="D172" s="1532" t="s">
        <v>1887</v>
      </c>
      <c r="E172" s="739"/>
      <c r="F172" s="1794"/>
      <c r="G172" s="760"/>
    </row>
    <row r="173" spans="1:7" x14ac:dyDescent="0.2">
      <c r="A173" s="1529" t="s">
        <v>659</v>
      </c>
      <c r="B173" s="1530" t="s">
        <v>1885</v>
      </c>
      <c r="C173" s="1531">
        <v>3300</v>
      </c>
      <c r="D173" s="1532" t="s">
        <v>1888</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720618</v>
      </c>
    </row>
    <row r="176" spans="1:7" ht="12" customHeight="1" x14ac:dyDescent="0.2">
      <c r="A176" s="1443"/>
      <c r="B176" s="1453"/>
      <c r="C176" s="1454"/>
      <c r="D176" s="1455" t="s">
        <v>2014</v>
      </c>
      <c r="E176" s="1456"/>
      <c r="F176" s="1793">
        <f>'PCTC-OEPP 27-28'!F78-F175</f>
        <v>373479</v>
      </c>
    </row>
    <row r="177" spans="1:9" ht="12" customHeight="1" x14ac:dyDescent="0.2">
      <c r="A177" s="1443"/>
      <c r="B177" s="1453"/>
      <c r="C177" s="1454"/>
      <c r="D177" s="1455" t="s">
        <v>1794</v>
      </c>
      <c r="E177" s="1456"/>
      <c r="F177" s="1793">
        <f>'Cap Outlay Deprec 26'!I18</f>
        <v>9277</v>
      </c>
    </row>
    <row r="178" spans="1:9" ht="12" customHeight="1" x14ac:dyDescent="0.2">
      <c r="A178" s="1443"/>
      <c r="B178" s="1453"/>
      <c r="C178" s="1454"/>
      <c r="D178" s="1455" t="s">
        <v>2015</v>
      </c>
      <c r="E178" s="1456"/>
      <c r="F178" s="1793">
        <f>F176+F177</f>
        <v>382756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2069</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920809</v>
      </c>
      <c r="F19" s="1802"/>
      <c r="G19" s="1804">
        <f>'Expenditures 15-22'!K33-SUM('Expenditures 15-22'!G33,'Expenditures 15-22'!I33)+'Expenditures 15-22'!D229</f>
        <v>920809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47753</v>
      </c>
      <c r="F21" s="1805"/>
      <c r="G21" s="1808">
        <f>'Expenditures 15-22'!K42-SUM('Expenditures 15-22'!G42,'Expenditures 15-22'!I42)+'Expenditures 15-22'!K120-SUM('Expenditures 15-22'!G120,'Expenditures 15-22'!I120)+'Expenditures 15-22'!K180-SUM('Expenditures 15-22'!G180,'Expenditures 15-22'!I180)+'Expenditures 15-22'!D238</f>
        <v>47753</v>
      </c>
      <c r="H21" s="817"/>
      <c r="I21" s="157"/>
    </row>
    <row r="22" spans="1:9" s="542" customFormat="1" ht="12" customHeight="1" x14ac:dyDescent="0.2">
      <c r="A22" s="824" t="s">
        <v>560</v>
      </c>
      <c r="B22" s="825"/>
      <c r="C22" s="823">
        <v>2200</v>
      </c>
      <c r="D22" s="1805"/>
      <c r="E22" s="1807">
        <f>'Expenditures 15-22'!K47-SUM('Expenditures 15-22'!G47,'Expenditures 15-22'!I47)+'Expenditures 15-22'!D243</f>
        <v>7735</v>
      </c>
      <c r="F22" s="1805"/>
      <c r="G22" s="1808">
        <f>'Expenditures 15-22'!K47-SUM('Expenditures 15-22'!G47,'Expenditures 15-22'!I47)+'Expenditures 15-22'!D243</f>
        <v>7735</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161814</v>
      </c>
      <c r="F23" s="1805"/>
      <c r="G23" s="1807">
        <f>'Expenditures 15-22'!K53-SUM('Expenditures 15-22'!G53,'Expenditures 15-22'!I53)+'Expenditures 15-22'!D257+'Expenditures 15-22'!K330-SUM('Expenditures 15-22'!G330,'Expenditures 15-22'!I330)</f>
        <v>161814</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0</v>
      </c>
      <c r="F28" s="1809">
        <f>'Expenditures 15-22'!K61-SUM('Expenditures 15-22'!G61,'Expenditures 15-22'!I61)+'Expenditures 15-22'!K124-SUM('Expenditures 15-22'!G124,'Expenditures 15-22'!I124)+'Expenditures 15-22'!D266-E9</f>
        <v>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0</v>
      </c>
      <c r="E41" s="1809">
        <f>SUM(E19:E40)</f>
        <v>1138111</v>
      </c>
      <c r="F41" s="1809">
        <f>SUM(F19:F39)</f>
        <v>0</v>
      </c>
      <c r="G41" s="1809">
        <f>SUM(G19:G40)</f>
        <v>1138111</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0</v>
      </c>
      <c r="F43" s="1458" t="s">
        <v>470</v>
      </c>
      <c r="G43" s="1810">
        <f>F41</f>
        <v>0</v>
      </c>
    </row>
    <row r="44" spans="1:7" ht="12" customHeight="1" x14ac:dyDescent="0.2">
      <c r="A44" s="817"/>
      <c r="B44" s="157"/>
      <c r="C44" s="831"/>
      <c r="D44" s="1458" t="s">
        <v>471</v>
      </c>
      <c r="E44" s="1810">
        <f>E41</f>
        <v>1138111</v>
      </c>
      <c r="F44" s="1458" t="s">
        <v>471</v>
      </c>
      <c r="G44" s="1810">
        <f>G41</f>
        <v>1138111</v>
      </c>
    </row>
    <row r="45" spans="1:7" ht="12" customHeight="1" x14ac:dyDescent="0.2">
      <c r="A45" s="817"/>
      <c r="B45" s="157"/>
      <c r="C45" s="157"/>
      <c r="D45" s="1459" t="s">
        <v>999</v>
      </c>
      <c r="E45" s="1811">
        <f>(E43/E44)</f>
        <v>0</v>
      </c>
      <c r="F45" s="1459" t="s">
        <v>999</v>
      </c>
      <c r="G45" s="1811">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9" width="2.7109375" style="1507" bestFit="1" customWidth="1"/>
    <col min="10"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Bloomington Area Voc Ctr</v>
      </c>
      <c r="D6" s="2415"/>
      <c r="E6" s="2415"/>
      <c r="F6" s="1482"/>
      <c r="G6" s="1507"/>
      <c r="L6" s="1507"/>
      <c r="M6" s="1855"/>
      <c r="N6" s="1855"/>
      <c r="O6" s="1855"/>
    </row>
    <row r="7" spans="1:15" ht="11.25" customHeight="1" thickBot="1" x14ac:dyDescent="0.3">
      <c r="A7" s="1480"/>
      <c r="B7" s="1481"/>
      <c r="C7" s="2416">
        <f>COVER!A13</f>
        <v>17064087041</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t="s">
        <v>2051</v>
      </c>
      <c r="D12" s="1495" t="s">
        <v>2051</v>
      </c>
      <c r="E12" s="1498"/>
      <c r="F12" s="1497" t="s">
        <v>2070</v>
      </c>
      <c r="G12" s="1507"/>
      <c r="H12" s="1507">
        <f t="shared" ref="H12:H33" si="0">IF(C12="X",5,0)</f>
        <v>5</v>
      </c>
      <c r="I12" s="1507">
        <f t="shared" ref="I12:I33" si="1">IF(D12="X",5,0)</f>
        <v>5</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t="s">
        <v>2051</v>
      </c>
      <c r="D18" s="1495" t="s">
        <v>2051</v>
      </c>
      <c r="E18" s="1498"/>
      <c r="F18" s="1497" t="s">
        <v>2070</v>
      </c>
      <c r="G18" s="1507"/>
      <c r="H18" s="1507">
        <f t="shared" si="0"/>
        <v>5</v>
      </c>
      <c r="I18" s="1507">
        <f t="shared" si="1"/>
        <v>5</v>
      </c>
      <c r="J18" s="1507">
        <f t="shared" si="2"/>
        <v>0</v>
      </c>
      <c r="L18" s="1507"/>
      <c r="M18" s="1855"/>
      <c r="N18" s="1855"/>
      <c r="O18" s="1855"/>
    </row>
    <row r="19" spans="1:15" ht="12" customHeight="1" x14ac:dyDescent="0.2">
      <c r="A19" s="1493" t="s">
        <v>1510</v>
      </c>
      <c r="B19" s="1494"/>
      <c r="C19" s="1495" t="s">
        <v>2051</v>
      </c>
      <c r="D19" s="1495" t="s">
        <v>2051</v>
      </c>
      <c r="E19" s="1498"/>
      <c r="F19" s="1497" t="s">
        <v>2070</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2051</v>
      </c>
      <c r="D21" s="1495" t="s">
        <v>2051</v>
      </c>
      <c r="E21" s="1498"/>
      <c r="F21" s="1497" t="s">
        <v>2070</v>
      </c>
      <c r="G21" s="1507"/>
      <c r="H21" s="1507">
        <f t="shared" si="0"/>
        <v>5</v>
      </c>
      <c r="I21" s="1507">
        <f t="shared" si="1"/>
        <v>5</v>
      </c>
      <c r="J21" s="1507">
        <f t="shared" si="2"/>
        <v>0</v>
      </c>
      <c r="L21" s="1507"/>
      <c r="M21" s="1855"/>
      <c r="N21" s="1855"/>
      <c r="O21" s="1855"/>
    </row>
    <row r="22" spans="1:15" ht="12" customHeight="1" x14ac:dyDescent="0.2">
      <c r="A22" s="1493" t="s">
        <v>1513</v>
      </c>
      <c r="B22" s="1494"/>
      <c r="C22" s="1495" t="s">
        <v>2051</v>
      </c>
      <c r="D22" s="1495" t="s">
        <v>2051</v>
      </c>
      <c r="E22" s="1498"/>
      <c r="F22" s="1497" t="s">
        <v>2070</v>
      </c>
      <c r="G22" s="1507"/>
      <c r="H22" s="1507">
        <f t="shared" si="0"/>
        <v>5</v>
      </c>
      <c r="I22" s="1507">
        <f t="shared" si="1"/>
        <v>5</v>
      </c>
      <c r="J22" s="1507">
        <f t="shared" si="2"/>
        <v>0</v>
      </c>
      <c r="L22" s="1507"/>
      <c r="M22" s="1855"/>
      <c r="N22" s="1855"/>
      <c r="O22" s="1855"/>
    </row>
    <row r="23" spans="1:15" ht="12" customHeight="1" x14ac:dyDescent="0.2">
      <c r="A23" s="1493" t="s">
        <v>1514</v>
      </c>
      <c r="B23" s="1494"/>
      <c r="C23" s="1495" t="s">
        <v>2051</v>
      </c>
      <c r="D23" s="1495" t="s">
        <v>2051</v>
      </c>
      <c r="E23" s="1498"/>
      <c r="F23" s="1497" t="s">
        <v>2070</v>
      </c>
      <c r="G23" s="1507"/>
      <c r="H23" s="1507">
        <f t="shared" si="0"/>
        <v>5</v>
      </c>
      <c r="I23" s="1507">
        <f t="shared" si="1"/>
        <v>5</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2051</v>
      </c>
      <c r="D25" s="1495" t="s">
        <v>2051</v>
      </c>
      <c r="E25" s="1498"/>
      <c r="F25" s="1497" t="s">
        <v>2070</v>
      </c>
      <c r="G25" s="1507"/>
      <c r="H25" s="1507">
        <f t="shared" si="0"/>
        <v>5</v>
      </c>
      <c r="I25" s="1507">
        <f t="shared" si="1"/>
        <v>5</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t="s">
        <v>2051</v>
      </c>
      <c r="D29" s="1495" t="s">
        <v>2051</v>
      </c>
      <c r="E29" s="1498"/>
      <c r="F29" s="1497" t="s">
        <v>2070</v>
      </c>
      <c r="G29" s="1507"/>
      <c r="H29" s="1507">
        <f t="shared" si="0"/>
        <v>5</v>
      </c>
      <c r="I29" s="1507">
        <f t="shared" si="1"/>
        <v>5</v>
      </c>
      <c r="J29" s="1507">
        <f t="shared" si="2"/>
        <v>0</v>
      </c>
      <c r="L29" s="1507"/>
      <c r="M29" s="1855"/>
      <c r="N29" s="1855"/>
      <c r="O29" s="1855"/>
    </row>
    <row r="30" spans="1:15" ht="12" customHeight="1" x14ac:dyDescent="0.2">
      <c r="A30" s="1493" t="s">
        <v>1521</v>
      </c>
      <c r="B30" s="1494"/>
      <c r="C30" s="1495" t="s">
        <v>2051</v>
      </c>
      <c r="D30" s="1495" t="s">
        <v>2051</v>
      </c>
      <c r="E30" s="1498"/>
      <c r="F30" s="1497" t="s">
        <v>2070</v>
      </c>
      <c r="G30" s="1507"/>
      <c r="H30" s="1507">
        <f t="shared" si="0"/>
        <v>5</v>
      </c>
      <c r="I30" s="1507">
        <f t="shared" si="1"/>
        <v>5</v>
      </c>
      <c r="J30" s="1507">
        <f t="shared" si="2"/>
        <v>0</v>
      </c>
      <c r="L30" s="1507"/>
      <c r="M30" s="1855"/>
      <c r="N30" s="1855"/>
      <c r="O30" s="1855"/>
    </row>
    <row r="31" spans="1:15" ht="12" customHeight="1" x14ac:dyDescent="0.2">
      <c r="A31" s="1493" t="s">
        <v>1522</v>
      </c>
      <c r="B31" s="1494"/>
      <c r="C31" s="1495" t="s">
        <v>2051</v>
      </c>
      <c r="D31" s="1495" t="s">
        <v>2051</v>
      </c>
      <c r="E31" s="1498"/>
      <c r="F31" s="1497" t="s">
        <v>2070</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50</v>
      </c>
      <c r="I34" s="1507">
        <f>SUM(I11:I32)</f>
        <v>50</v>
      </c>
      <c r="J34" s="1507">
        <f>SUM(J11:J32)</f>
        <v>0</v>
      </c>
      <c r="K34" s="1507">
        <f>SUM(H34:J34)</f>
        <v>100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2071</v>
      </c>
    </row>
    <row r="6" spans="1:2" x14ac:dyDescent="0.2">
      <c r="A6" s="847">
        <v>2</v>
      </c>
      <c r="B6" s="307" t="s">
        <v>2072</v>
      </c>
    </row>
    <row r="7" spans="1:2" x14ac:dyDescent="0.2">
      <c r="A7" s="847">
        <v>3</v>
      </c>
      <c r="B7" s="307" t="s">
        <v>2073</v>
      </c>
    </row>
    <row r="8" spans="1:2" x14ac:dyDescent="0.2">
      <c r="A8" s="847">
        <v>4</v>
      </c>
      <c r="B8" s="307" t="s">
        <v>2074</v>
      </c>
    </row>
    <row r="9" spans="1:2" x14ac:dyDescent="0.2">
      <c r="A9" s="848"/>
      <c r="B9" s="307" t="s">
        <v>2075</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Bloomington Area Voc Ctr</v>
      </c>
    </row>
    <row r="65" spans="2:2" x14ac:dyDescent="0.2">
      <c r="B65" s="849">
        <f>COVER!A13</f>
        <v>17064087041</v>
      </c>
    </row>
  </sheetData>
  <phoneticPr fontId="16"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19" t="s">
        <v>1665</v>
      </c>
      <c r="B18" s="241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8" t="str">
        <f>COVER!A17</f>
        <v>Bloomington Area Voc Ctr</v>
      </c>
      <c r="K6" s="2438"/>
      <c r="L6" s="2452"/>
      <c r="M6" s="838"/>
      <c r="N6" s="1999"/>
    </row>
    <row r="7" spans="1:14" x14ac:dyDescent="0.2">
      <c r="A7" s="2453" t="s">
        <v>864</v>
      </c>
      <c r="B7" s="2454"/>
      <c r="C7" s="2454"/>
      <c r="D7" s="2454"/>
      <c r="E7" s="2455"/>
      <c r="F7" s="839"/>
      <c r="G7" s="838"/>
      <c r="H7" s="838"/>
      <c r="I7" s="1925" t="s">
        <v>369</v>
      </c>
      <c r="J7" s="2440">
        <f>COVER!A13</f>
        <v>17064087041</v>
      </c>
      <c r="K7" s="2440"/>
      <c r="L7" s="2440"/>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6" t="s">
        <v>478</v>
      </c>
      <c r="B11" s="2457"/>
      <c r="C11" s="2458"/>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0</v>
      </c>
      <c r="F12" s="1943"/>
      <c r="G12" s="1969">
        <f>G68</f>
        <v>0</v>
      </c>
      <c r="H12" s="1945">
        <f t="shared" ref="H12:H18" si="0">SUM(E12:G12)</f>
        <v>0</v>
      </c>
      <c r="I12" s="1944"/>
      <c r="J12" s="1943"/>
      <c r="K12" s="1944"/>
      <c r="L12" s="1945">
        <f t="shared" ref="L12:L18" si="1">SUM(I12:K12)</f>
        <v>0</v>
      </c>
      <c r="M12" s="838"/>
      <c r="N12" s="1999"/>
    </row>
    <row r="13" spans="1:14" x14ac:dyDescent="0.2">
      <c r="A13" s="2004">
        <v>2</v>
      </c>
      <c r="B13" s="1941" t="s">
        <v>42</v>
      </c>
      <c r="C13" s="842"/>
      <c r="D13" s="1942">
        <v>2330</v>
      </c>
      <c r="E13" s="1945">
        <f>'Expenditures 15-22'!K51</f>
        <v>167439</v>
      </c>
      <c r="F13" s="1943"/>
      <c r="G13" s="1969">
        <f>H68</f>
        <v>0</v>
      </c>
      <c r="H13" s="1945">
        <f t="shared" si="0"/>
        <v>167439</v>
      </c>
      <c r="I13" s="1944">
        <v>263903</v>
      </c>
      <c r="J13" s="1943"/>
      <c r="K13" s="1944"/>
      <c r="L13" s="1945">
        <f t="shared" si="1"/>
        <v>263903</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9" t="s">
        <v>7</v>
      </c>
      <c r="C18" s="2460"/>
      <c r="D18" s="2461"/>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167439</v>
      </c>
      <c r="F19" s="1951">
        <f t="shared" si="2"/>
        <v>0</v>
      </c>
      <c r="G19" s="1951">
        <f t="shared" ref="G19" si="3">SUM(G12:G17)-G18</f>
        <v>0</v>
      </c>
      <c r="H19" s="1951">
        <f t="shared" si="2"/>
        <v>167439</v>
      </c>
      <c r="I19" s="1951">
        <f t="shared" si="2"/>
        <v>263903</v>
      </c>
      <c r="J19" s="1951">
        <f t="shared" si="2"/>
        <v>0</v>
      </c>
      <c r="K19" s="1951">
        <f t="shared" si="2"/>
        <v>0</v>
      </c>
      <c r="L19" s="1951">
        <f t="shared" si="2"/>
        <v>263903</v>
      </c>
      <c r="M19" s="838"/>
      <c r="N19" s="1999"/>
    </row>
    <row r="20" spans="1:14" ht="13.5" thickTop="1" x14ac:dyDescent="0.2">
      <c r="A20" s="2004">
        <v>9</v>
      </c>
      <c r="B20" s="2462" t="s">
        <v>2021</v>
      </c>
      <c r="C20" s="2462"/>
      <c r="D20" s="2463"/>
      <c r="E20" s="1952"/>
      <c r="F20" s="1952"/>
      <c r="G20" s="1952"/>
      <c r="H20" s="1952"/>
      <c r="I20" s="1952"/>
      <c r="J20" s="1952"/>
      <c r="K20" s="1952"/>
      <c r="L20" s="1953">
        <f>IF(AND(H19&gt;0,L19&gt;0),(((L19-H19)/H19)),"Enter Budget Data")</f>
        <v>0.57611428639683704</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4"/>
      <c r="D27" s="2464"/>
      <c r="E27" s="843"/>
      <c r="F27" s="2465"/>
      <c r="G27" s="2465"/>
      <c r="H27" s="2465"/>
      <c r="I27" s="838"/>
      <c r="J27" s="838"/>
      <c r="K27" s="838"/>
      <c r="L27" s="838"/>
      <c r="M27" s="838"/>
      <c r="N27" s="1999"/>
    </row>
    <row r="28" spans="1:14" x14ac:dyDescent="0.2">
      <c r="A28" s="1998"/>
      <c r="B28" s="2008"/>
      <c r="C28" s="1958" t="s">
        <v>1026</v>
      </c>
      <c r="D28" s="844"/>
      <c r="E28" s="1959"/>
      <c r="F28" s="2466" t="s">
        <v>1492</v>
      </c>
      <c r="G28" s="2466"/>
      <c r="H28" s="2466"/>
      <c r="I28" s="838"/>
      <c r="J28" s="838"/>
      <c r="K28" s="838"/>
      <c r="L28" s="838"/>
      <c r="M28" s="838"/>
      <c r="N28" s="1999"/>
    </row>
    <row r="29" spans="1:14" x14ac:dyDescent="0.2">
      <c r="A29" s="1998"/>
      <c r="B29" s="2008"/>
      <c r="C29" s="2467"/>
      <c r="D29" s="2467"/>
      <c r="E29" s="845"/>
      <c r="F29" s="2467"/>
      <c r="G29" s="2467"/>
      <c r="H29" s="2467"/>
      <c r="I29" s="838"/>
      <c r="J29" s="838"/>
      <c r="K29" s="838"/>
      <c r="L29" s="838"/>
      <c r="M29" s="838"/>
      <c r="N29" s="1999"/>
    </row>
    <row r="30" spans="1:14" x14ac:dyDescent="0.2">
      <c r="A30" s="1998"/>
      <c r="B30" s="2008"/>
      <c r="C30" s="1961" t="s">
        <v>1544</v>
      </c>
      <c r="D30" s="838"/>
      <c r="E30" s="1960"/>
      <c r="F30" s="2451" t="s">
        <v>1493</v>
      </c>
      <c r="G30" s="2451"/>
      <c r="H30" s="2451"/>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8" t="s">
        <v>2024</v>
      </c>
      <c r="D34" s="2429"/>
      <c r="E34" s="2429"/>
      <c r="F34" s="2429"/>
      <c r="G34" s="2429"/>
      <c r="H34" s="2429"/>
      <c r="I34" s="2429"/>
      <c r="J34" s="2429"/>
      <c r="K34" s="2017"/>
      <c r="L34" s="838"/>
      <c r="M34" s="838"/>
      <c r="N34" s="1999"/>
    </row>
    <row r="35" spans="1:14" x14ac:dyDescent="0.2">
      <c r="A35" s="1998"/>
      <c r="B35" s="838"/>
      <c r="C35" s="2429"/>
      <c r="D35" s="2429"/>
      <c r="E35" s="2429"/>
      <c r="F35" s="2429"/>
      <c r="G35" s="2429"/>
      <c r="H35" s="2429"/>
      <c r="I35" s="2429"/>
      <c r="J35" s="2429"/>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8" t="s">
        <v>2025</v>
      </c>
      <c r="D37" s="2429"/>
      <c r="E37" s="2429"/>
      <c r="F37" s="2429"/>
      <c r="G37" s="2429"/>
      <c r="H37" s="2429"/>
      <c r="I37" s="2429"/>
      <c r="J37" s="2429"/>
      <c r="K37" s="2017"/>
      <c r="L37" s="2019"/>
      <c r="M37" s="838"/>
      <c r="N37" s="1999"/>
    </row>
    <row r="38" spans="1:14" x14ac:dyDescent="0.2">
      <c r="A38" s="1998"/>
      <c r="B38" s="838"/>
      <c r="C38" s="2429"/>
      <c r="D38" s="2429"/>
      <c r="E38" s="2429"/>
      <c r="F38" s="2429"/>
      <c r="G38" s="2429"/>
      <c r="H38" s="2429"/>
      <c r="I38" s="2429"/>
      <c r="J38" s="2429"/>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t="s">
        <v>2051</v>
      </c>
      <c r="C40" s="2430" t="s">
        <v>2026</v>
      </c>
      <c r="D40" s="2431"/>
      <c r="E40" s="2431"/>
      <c r="F40" s="2431"/>
      <c r="G40" s="2431"/>
      <c r="H40" s="2431"/>
      <c r="I40" s="2431"/>
      <c r="J40" s="2431"/>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2" t="s">
        <v>2027</v>
      </c>
      <c r="B43" s="2433"/>
      <c r="C43" s="2433"/>
      <c r="D43" s="2433"/>
      <c r="E43" s="2433"/>
      <c r="F43" s="2433"/>
      <c r="G43" s="2433"/>
      <c r="H43" s="2433"/>
      <c r="I43" s="2433"/>
      <c r="J43" s="2433"/>
      <c r="K43" s="2433"/>
      <c r="L43" s="2433"/>
      <c r="M43" s="2433"/>
      <c r="N43" s="2434"/>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5" t="s">
        <v>2029</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8" t="str">
        <f>J6</f>
        <v>Bloomington Area Voc Ctr</v>
      </c>
      <c r="M52" s="2438"/>
      <c r="N52" s="2439"/>
    </row>
    <row r="53" spans="1:14" x14ac:dyDescent="0.2">
      <c r="A53" s="1983"/>
      <c r="B53" s="1984"/>
      <c r="C53" s="1984"/>
      <c r="D53" s="1984"/>
      <c r="E53" s="1984"/>
      <c r="F53" s="1984"/>
      <c r="G53" s="1984"/>
      <c r="H53" s="1984"/>
      <c r="I53" s="1984"/>
      <c r="J53" s="1984"/>
      <c r="K53" s="1925" t="s">
        <v>369</v>
      </c>
      <c r="L53" s="2440">
        <f>J7</f>
        <v>17064087041</v>
      </c>
      <c r="M53" s="2440"/>
      <c r="N53" s="2441"/>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2"/>
      <c r="B55" s="2443"/>
      <c r="C55" s="2443"/>
      <c r="D55" s="1971"/>
      <c r="E55" s="1971"/>
      <c r="F55" s="1971"/>
      <c r="G55" s="2444" t="s">
        <v>2030</v>
      </c>
      <c r="H55" s="2444"/>
      <c r="I55" s="2444"/>
      <c r="J55" s="2444"/>
      <c r="K55" s="2444"/>
      <c r="L55" s="2444"/>
      <c r="M55" s="2444"/>
      <c r="N55" s="2445"/>
    </row>
    <row r="56" spans="1:14" ht="63.75" x14ac:dyDescent="0.2">
      <c r="A56" s="2446" t="s">
        <v>2031</v>
      </c>
      <c r="B56" s="2447"/>
      <c r="C56" s="2448"/>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9" t="s">
        <v>296</v>
      </c>
      <c r="B57" s="2450"/>
      <c r="C57" s="2450"/>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6" t="s">
        <v>2041</v>
      </c>
      <c r="B58" s="2427"/>
      <c r="C58" s="2427"/>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20" t="s">
        <v>297</v>
      </c>
      <c r="B59" s="2421"/>
      <c r="C59" s="2421"/>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20" t="s">
        <v>236</v>
      </c>
      <c r="B60" s="2421"/>
      <c r="C60" s="2421"/>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20" t="s">
        <v>697</v>
      </c>
      <c r="B61" s="2421"/>
      <c r="C61" s="2421"/>
      <c r="D61" s="1968">
        <v>2365</v>
      </c>
      <c r="E61" s="1978">
        <f>'Expenditures 15-22'!K323</f>
        <v>0</v>
      </c>
      <c r="F61" s="1973"/>
      <c r="G61" s="2032"/>
      <c r="H61" s="2033"/>
      <c r="I61" s="2033"/>
      <c r="J61" s="2033"/>
      <c r="K61" s="2033"/>
      <c r="L61" s="2033"/>
      <c r="M61" s="2033"/>
      <c r="N61" s="1976">
        <f t="shared" si="4"/>
        <v>0</v>
      </c>
    </row>
    <row r="62" spans="1:14" ht="24" customHeight="1" x14ac:dyDescent="0.2">
      <c r="A62" s="2420" t="s">
        <v>237</v>
      </c>
      <c r="B62" s="2421"/>
      <c r="C62" s="2421"/>
      <c r="D62" s="1968">
        <v>2366</v>
      </c>
      <c r="E62" s="1978">
        <f>'Expenditures 15-22'!K324</f>
        <v>0</v>
      </c>
      <c r="F62" s="1973"/>
      <c r="G62" s="2032"/>
      <c r="H62" s="2033"/>
      <c r="I62" s="2033"/>
      <c r="J62" s="2033"/>
      <c r="K62" s="2033"/>
      <c r="L62" s="2033"/>
      <c r="M62" s="2033"/>
      <c r="N62" s="1976">
        <f t="shared" si="4"/>
        <v>0</v>
      </c>
    </row>
    <row r="63" spans="1:14" ht="24" customHeight="1" x14ac:dyDescent="0.2">
      <c r="A63" s="2426" t="s">
        <v>1022</v>
      </c>
      <c r="B63" s="2427"/>
      <c r="C63" s="2427"/>
      <c r="D63" s="1968">
        <v>2367</v>
      </c>
      <c r="E63" s="1978">
        <f>'Expenditures 15-22'!K325</f>
        <v>0</v>
      </c>
      <c r="F63" s="1973"/>
      <c r="G63" s="2032"/>
      <c r="H63" s="2033"/>
      <c r="I63" s="2033"/>
      <c r="J63" s="2033"/>
      <c r="K63" s="2033"/>
      <c r="L63" s="2033"/>
      <c r="M63" s="2033"/>
      <c r="N63" s="1976">
        <f t="shared" si="4"/>
        <v>0</v>
      </c>
    </row>
    <row r="64" spans="1:14" ht="24" customHeight="1" x14ac:dyDescent="0.2">
      <c r="A64" s="2420" t="s">
        <v>1023</v>
      </c>
      <c r="B64" s="2421"/>
      <c r="C64" s="2421"/>
      <c r="D64" s="1968">
        <v>2368</v>
      </c>
      <c r="E64" s="1978">
        <f>'Expenditures 15-22'!K326</f>
        <v>0</v>
      </c>
      <c r="F64" s="1973"/>
      <c r="G64" s="2032"/>
      <c r="H64" s="2033"/>
      <c r="I64" s="2033"/>
      <c r="J64" s="2033"/>
      <c r="K64" s="2033"/>
      <c r="L64" s="2033"/>
      <c r="M64" s="2033"/>
      <c r="N64" s="1976">
        <f t="shared" si="4"/>
        <v>0</v>
      </c>
    </row>
    <row r="65" spans="1:14" ht="24" customHeight="1" x14ac:dyDescent="0.2">
      <c r="A65" s="2420" t="s">
        <v>965</v>
      </c>
      <c r="B65" s="2421"/>
      <c r="C65" s="2421"/>
      <c r="D65" s="1968">
        <v>2369</v>
      </c>
      <c r="E65" s="1978">
        <f>'Expenditures 15-22'!K327</f>
        <v>0</v>
      </c>
      <c r="F65" s="1973"/>
      <c r="G65" s="2032"/>
      <c r="H65" s="2033"/>
      <c r="I65" s="2033"/>
      <c r="J65" s="2033"/>
      <c r="K65" s="2033"/>
      <c r="L65" s="2033"/>
      <c r="M65" s="2033"/>
      <c r="N65" s="1976">
        <f t="shared" si="4"/>
        <v>0</v>
      </c>
    </row>
    <row r="66" spans="1:14" ht="24" customHeight="1" x14ac:dyDescent="0.2">
      <c r="A66" s="2420" t="s">
        <v>469</v>
      </c>
      <c r="B66" s="2421"/>
      <c r="C66" s="2421"/>
      <c r="D66" s="1968">
        <v>2371</v>
      </c>
      <c r="E66" s="1978">
        <f>'Expenditures 15-22'!K328</f>
        <v>0</v>
      </c>
      <c r="F66" s="1973"/>
      <c r="G66" s="2032"/>
      <c r="H66" s="2033"/>
      <c r="I66" s="2033"/>
      <c r="J66" s="2033"/>
      <c r="K66" s="2033"/>
      <c r="L66" s="2033"/>
      <c r="M66" s="2033"/>
      <c r="N66" s="1976">
        <f t="shared" si="4"/>
        <v>0</v>
      </c>
    </row>
    <row r="67" spans="1:14" ht="24.75" customHeight="1" x14ac:dyDescent="0.2">
      <c r="A67" s="2422" t="s">
        <v>2042</v>
      </c>
      <c r="B67" s="2423"/>
      <c r="C67" s="2423"/>
      <c r="D67" s="1970">
        <v>2372</v>
      </c>
      <c r="E67" s="1979">
        <f>'Expenditures 15-22'!K329</f>
        <v>0</v>
      </c>
      <c r="F67" s="1973"/>
      <c r="G67" s="2034"/>
      <c r="H67" s="2035"/>
      <c r="I67" s="2035"/>
      <c r="J67" s="2035"/>
      <c r="K67" s="2035"/>
      <c r="L67" s="2035"/>
      <c r="M67" s="2035"/>
      <c r="N67" s="1976">
        <f t="shared" si="4"/>
        <v>0</v>
      </c>
    </row>
    <row r="68" spans="1:14" x14ac:dyDescent="0.2">
      <c r="A68" s="2424" t="s">
        <v>1151</v>
      </c>
      <c r="B68" s="2425"/>
      <c r="C68" s="2425"/>
      <c r="D68" s="1971"/>
      <c r="E68" s="1975">
        <f>SUM(E57:E67)</f>
        <v>0</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1675315</v>
      </c>
      <c r="C8" s="1813">
        <f>'Acct Summary 7-8'!D8</f>
        <v>0</v>
      </c>
      <c r="D8" s="1813">
        <f>'Acct Summary 7-8'!F8</f>
        <v>0</v>
      </c>
      <c r="E8" s="1813">
        <f>'Acct Summary 7-8'!I8</f>
        <v>0</v>
      </c>
      <c r="F8" s="1813">
        <f>SUM(B8:E8)</f>
        <v>1675315</v>
      </c>
    </row>
    <row r="9" spans="1:8" s="858" customFormat="1" ht="14.25" customHeight="1" thickBot="1" x14ac:dyDescent="0.25">
      <c r="A9" s="857" t="s">
        <v>1353</v>
      </c>
      <c r="B9" s="1814">
        <f>'Acct Summary 7-8'!C17</f>
        <v>1363127</v>
      </c>
      <c r="C9" s="1814">
        <f>'Acct Summary 7-8'!D17</f>
        <v>0</v>
      </c>
      <c r="D9" s="1814">
        <f>'Acct Summary 7-8'!F17</f>
        <v>0</v>
      </c>
      <c r="E9" s="1813"/>
      <c r="F9" s="1813">
        <f>SUM(B9:E9)</f>
        <v>1363127</v>
      </c>
    </row>
    <row r="10" spans="1:8" s="858" customFormat="1" ht="14.25" thickTop="1" thickBot="1" x14ac:dyDescent="0.25">
      <c r="A10" s="859" t="s">
        <v>1354</v>
      </c>
      <c r="B10" s="1815">
        <f>(B8-B9)</f>
        <v>312188</v>
      </c>
      <c r="C10" s="1815">
        <f>(C8-C9)</f>
        <v>0</v>
      </c>
      <c r="D10" s="1815">
        <f>(D8-D9)</f>
        <v>0</v>
      </c>
      <c r="E10" s="1814">
        <f>(E8-E9)</f>
        <v>0</v>
      </c>
      <c r="F10" s="1816">
        <f>SUM(F8-F9)</f>
        <v>312188</v>
      </c>
    </row>
    <row r="11" spans="1:8" s="858" customFormat="1" ht="14.25" thickTop="1" thickBot="1" x14ac:dyDescent="0.25">
      <c r="A11" s="860" t="s">
        <v>1903</v>
      </c>
      <c r="B11" s="1817">
        <f>'Acct Summary 7-8'!C81</f>
        <v>1164119</v>
      </c>
      <c r="C11" s="1817">
        <f>'Acct Summary 7-8'!D81</f>
        <v>0</v>
      </c>
      <c r="D11" s="1817">
        <f>'Acct Summary 7-8'!F81</f>
        <v>0</v>
      </c>
      <c r="E11" s="1817">
        <f>'Acct Summary 7-8'!I81</f>
        <v>0</v>
      </c>
      <c r="F11" s="1818">
        <f>SUM(B11:E11)</f>
        <v>1164119</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9"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17064087041</v>
      </c>
      <c r="E2" s="1542">
        <v>2020</v>
      </c>
      <c r="F2" s="1542">
        <v>1</v>
      </c>
      <c r="G2" s="1899">
        <v>101000300</v>
      </c>
    </row>
    <row r="3" spans="1:7" ht="15" x14ac:dyDescent="0.25">
      <c r="A3" t="s">
        <v>950</v>
      </c>
      <c r="B3" s="135" t="str">
        <f>COVER!A15</f>
        <v>McLean</v>
      </c>
      <c r="E3" s="1830" t="s">
        <v>1971</v>
      </c>
      <c r="F3" s="1830" t="s">
        <v>1970</v>
      </c>
      <c r="G3" s="1899">
        <v>101000400</v>
      </c>
    </row>
    <row r="4" spans="1:7" ht="15" x14ac:dyDescent="0.25">
      <c r="A4" t="s">
        <v>1000</v>
      </c>
      <c r="B4" s="135" t="str">
        <f>COVER!A17</f>
        <v>Bloomington Area Voc Ctr</v>
      </c>
      <c r="E4" s="1828">
        <v>44119</v>
      </c>
      <c r="F4" s="1829">
        <v>44151</v>
      </c>
      <c r="G4" s="1899">
        <v>101000600</v>
      </c>
    </row>
    <row r="5" spans="1:7" ht="15" x14ac:dyDescent="0.25">
      <c r="A5" t="s">
        <v>699</v>
      </c>
      <c r="B5" s="135" t="str">
        <f>COVER!A38</f>
        <v>Dr. Barry Reilly</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Tim C. Custis</v>
      </c>
      <c r="G17" s="1899">
        <v>402100800</v>
      </c>
    </row>
    <row r="18" spans="1:7" ht="15" x14ac:dyDescent="0.25">
      <c r="A18" t="s">
        <v>1140</v>
      </c>
      <c r="B18" s="135" t="str">
        <f>COVER!T17</f>
        <v>4200 N Knoxville Ave.</v>
      </c>
      <c r="G18" s="1899">
        <v>102200300</v>
      </c>
    </row>
    <row r="19" spans="1:7" ht="15" x14ac:dyDescent="0.25">
      <c r="A19" t="s">
        <v>880</v>
      </c>
      <c r="B19" s="135" t="str">
        <f>COVER!T25</f>
        <v>tcustis@gorenzcpa.com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362437</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1164119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1164119</v>
      </c>
      <c r="D92" s="2" t="str">
        <f t="shared" si="0"/>
        <v>Error?</v>
      </c>
      <c r="G92" s="1899">
        <v>102640600</v>
      </c>
    </row>
    <row r="93" spans="1:7" ht="15" x14ac:dyDescent="0.25">
      <c r="A93" s="5">
        <v>32</v>
      </c>
      <c r="B93" s="1832">
        <f>'Assets-Liab 5-6'!C41</f>
        <v>1164119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92766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92766</v>
      </c>
      <c r="C279" s="2" t="s">
        <v>569</v>
      </c>
      <c r="D279" s="2" t="str">
        <f t="shared" si="3"/>
        <v>Error?</v>
      </c>
    </row>
    <row r="280" spans="1:4" x14ac:dyDescent="0.2">
      <c r="A280" s="5">
        <v>219</v>
      </c>
      <c r="B280" s="1832">
        <f>'Assets-Liab 5-6'!M40</f>
        <v>92766</v>
      </c>
      <c r="D280" s="2" t="str">
        <f t="shared" si="3"/>
        <v>Error?</v>
      </c>
    </row>
    <row r="281" spans="1:4" x14ac:dyDescent="0.2">
      <c r="A281" s="5">
        <v>220</v>
      </c>
      <c r="B281" s="1832">
        <f>'Assets-Liab 5-6'!M41</f>
        <v>92766</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712329</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712329</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35222</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35222</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106219</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141441</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853770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95948</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95948</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12531</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12531</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37262</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49793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145741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28124</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28124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2859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2859</v>
      </c>
      <c r="C847" s="2" t="s">
        <v>569</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14647</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17506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232254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37934</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37934</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4556</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4556</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3266</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7822</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45756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7493</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7493</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5625</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5625</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13118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2460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46474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320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320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420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740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25274</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72488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884288</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928302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47753</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47753</v>
      </c>
      <c r="C1115" s="2" t="s">
        <v>569</v>
      </c>
      <c r="D1115" s="2" t="str">
        <f t="shared" si="16"/>
        <v>Error?</v>
      </c>
    </row>
    <row r="1116" spans="1:4" x14ac:dyDescent="0.2">
      <c r="A1116" s="5">
        <v>1055</v>
      </c>
      <c r="B1116" s="1832">
        <f>'Expenditures 15-22'!K44</f>
        <v>7735</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7735</v>
      </c>
      <c r="C1119" s="2" t="s">
        <v>569</v>
      </c>
      <c r="D1119" s="2" t="str">
        <f t="shared" si="16"/>
        <v>Error?</v>
      </c>
    </row>
    <row r="1120" spans="1:4" x14ac:dyDescent="0.2">
      <c r="A1120" s="5">
        <v>1059</v>
      </c>
      <c r="B1120" s="1832">
        <f>'Expenditures 15-22'!K49</f>
        <v>0</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167439</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222927</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211898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1363127</v>
      </c>
      <c r="C1152" s="2" t="s">
        <v>569</v>
      </c>
      <c r="D1152" s="2" t="str">
        <f t="shared" si="17"/>
        <v>Error?</v>
      </c>
    </row>
    <row r="1153" spans="1:4" x14ac:dyDescent="0.2">
      <c r="A1153" s="5">
        <v>1092</v>
      </c>
      <c r="B1153" s="1832">
        <f>'Expenditures 15-22'!K115</f>
        <v>312188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851931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1164119</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79648</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79648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13118</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13118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92766</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92766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23932</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23932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9277</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9277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33209</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33209</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59557</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59557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186624</v>
      </c>
      <c r="C2088" s="2" t="s">
        <v>569</v>
      </c>
      <c r="D2088" s="2" t="str">
        <f t="shared" si="31"/>
        <v>Error?</v>
      </c>
    </row>
    <row r="2089" spans="1:4" x14ac:dyDescent="0.2">
      <c r="A2089" s="5">
        <v>2028</v>
      </c>
      <c r="B2089" s="1832">
        <f>'Expenditures 15-22'!K92</f>
        <v>25274</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954897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674133</v>
      </c>
      <c r="C2553" s="2" t="s">
        <v>569</v>
      </c>
      <c r="D2553" s="2" t="str">
        <f t="shared" si="38"/>
        <v>Error?</v>
      </c>
    </row>
    <row r="2554" spans="1:4" x14ac:dyDescent="0.2">
      <c r="A2554" s="5">
        <v>2493</v>
      </c>
      <c r="B2554" s="1832">
        <f>'Acct Summary 7-8'!C7</f>
        <v>46285</v>
      </c>
      <c r="C2554" s="2" t="s">
        <v>569</v>
      </c>
      <c r="D2554" s="2" t="str">
        <f t="shared" si="38"/>
        <v>Error?</v>
      </c>
    </row>
    <row r="2555" spans="1:4" x14ac:dyDescent="0.2">
      <c r="A2555" s="5">
        <v>2494</v>
      </c>
      <c r="B2555" s="1832">
        <f>'Acct Summary 7-8'!C8</f>
        <v>1675315</v>
      </c>
      <c r="C2555" s="2" t="s">
        <v>569</v>
      </c>
      <c r="D2555" s="2" t="str">
        <f t="shared" si="38"/>
        <v>Error?</v>
      </c>
    </row>
    <row r="2556" spans="1:4" x14ac:dyDescent="0.2">
      <c r="A2556" s="5">
        <v>2495</v>
      </c>
      <c r="B2556" s="1832">
        <f>'Acct Summary 7-8'!C12</f>
        <v>928302</v>
      </c>
      <c r="C2556" s="2" t="s">
        <v>569</v>
      </c>
      <c r="D2556" s="2" t="str">
        <f t="shared" si="38"/>
        <v>Error?</v>
      </c>
    </row>
    <row r="2557" spans="1:4" x14ac:dyDescent="0.2">
      <c r="A2557" s="5">
        <v>2496</v>
      </c>
      <c r="B2557" s="1832">
        <f>'Acct Summary 7-8'!C13</f>
        <v>222927</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211898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1363127</v>
      </c>
      <c r="C2561" s="2" t="s">
        <v>569</v>
      </c>
      <c r="D2561" s="2" t="str">
        <f t="shared" si="39"/>
        <v>Error?</v>
      </c>
    </row>
    <row r="2562" spans="1:4" x14ac:dyDescent="0.2">
      <c r="A2562" s="5">
        <v>2501</v>
      </c>
      <c r="B2562" s="1832">
        <f>'Acct Summary 7-8'!C20</f>
        <v>312188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106219</v>
      </c>
      <c r="D2718" s="2" t="str">
        <f t="shared" si="41"/>
        <v>Error?</v>
      </c>
    </row>
    <row r="2719" spans="1:4" x14ac:dyDescent="0.2">
      <c r="A2719" s="5">
        <v>2658</v>
      </c>
      <c r="B2719" s="1832">
        <f>'Expenditures 15-22'!D51</f>
        <v>37262</v>
      </c>
      <c r="D2719" s="2" t="str">
        <f t="shared" si="41"/>
        <v>Error?</v>
      </c>
    </row>
    <row r="2720" spans="1:4" x14ac:dyDescent="0.2">
      <c r="A2720" s="5">
        <v>2659</v>
      </c>
      <c r="B2720" s="1832">
        <f>'Expenditures 15-22'!E51</f>
        <v>14647</v>
      </c>
      <c r="D2720" s="2" t="str">
        <f t="shared" si="41"/>
        <v>Error?</v>
      </c>
    </row>
    <row r="2721" spans="1:4" x14ac:dyDescent="0.2">
      <c r="A2721" s="5">
        <v>2660</v>
      </c>
      <c r="B2721" s="1832">
        <f>'Expenditures 15-22'!F51</f>
        <v>3266</v>
      </c>
      <c r="D2721" s="2" t="str">
        <f t="shared" si="41"/>
        <v>Error?</v>
      </c>
    </row>
    <row r="2722" spans="1:4" x14ac:dyDescent="0.2">
      <c r="A2722" s="5">
        <v>2661</v>
      </c>
      <c r="B2722" s="1832">
        <f>'Expenditures 15-22'!G51</f>
        <v>5625</v>
      </c>
      <c r="D2722" s="2" t="str">
        <f t="shared" si="41"/>
        <v>Error?</v>
      </c>
    </row>
    <row r="2723" spans="1:4" x14ac:dyDescent="0.2">
      <c r="A2723" s="5">
        <v>2662</v>
      </c>
      <c r="B2723" s="1832">
        <f>'Expenditures 15-22'!H51</f>
        <v>420</v>
      </c>
      <c r="D2723" s="2" t="str">
        <f t="shared" si="41"/>
        <v>Error?</v>
      </c>
    </row>
    <row r="2724" spans="1:4" x14ac:dyDescent="0.2">
      <c r="A2724" s="5">
        <v>2663</v>
      </c>
      <c r="B2724" s="1832">
        <f>'Expenditures 15-22'!K51</f>
        <v>167439</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186624</v>
      </c>
      <c r="C2789" s="2" t="s">
        <v>569</v>
      </c>
      <c r="D2789" s="2" t="str">
        <f t="shared" si="42"/>
        <v>Error?</v>
      </c>
    </row>
    <row r="2790" spans="1:4" x14ac:dyDescent="0.2">
      <c r="A2790" s="5">
        <v>2729</v>
      </c>
      <c r="B2790" s="1832">
        <f>'Expenditures 15-22'!E102</f>
        <v>186624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186624</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186624</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312188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801682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1675315</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1363127</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1164119</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46285</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f>'FP Info 3'!H31</f>
        <v>0</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923175</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923175</v>
      </c>
      <c r="C5087" s="2" t="s">
        <v>569</v>
      </c>
      <c r="D5087" s="2" t="str">
        <f t="shared" si="78"/>
        <v>Error?</v>
      </c>
    </row>
    <row r="5088" spans="1:4" x14ac:dyDescent="0.2">
      <c r="A5088" s="5">
        <v>5027</v>
      </c>
      <c r="B5088" s="1832">
        <f>'Revenues 9-14'!C65</f>
        <v>16030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16030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4852</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8896</v>
      </c>
      <c r="D5117" s="2" t="str">
        <f t="shared" si="78"/>
        <v>Error?</v>
      </c>
    </row>
    <row r="5118" spans="1:4" x14ac:dyDescent="0.2">
      <c r="A5118" s="5">
        <v>5057</v>
      </c>
      <c r="B5118" s="1832">
        <f>'Revenues 9-14'!C106</f>
        <v>200</v>
      </c>
      <c r="D5118" s="2" t="str">
        <f t="shared" si="78"/>
        <v>Error?</v>
      </c>
    </row>
    <row r="5119" spans="1:4" x14ac:dyDescent="0.2">
      <c r="A5119" s="5">
        <v>5058</v>
      </c>
      <c r="B5119" s="1832">
        <f>'Revenues 9-14'!C107</f>
        <v>1744</v>
      </c>
      <c r="D5119" s="2" t="str">
        <f t="shared" ref="D5119:D5182" si="79">IF(ISBLANK(B5119),"OK",IF(A5119-B5119=0,"OK","Error?"))</f>
        <v>Error?</v>
      </c>
    </row>
    <row r="5120" spans="1:4" x14ac:dyDescent="0.2">
      <c r="A5120" s="5">
        <v>5059</v>
      </c>
      <c r="B5120" s="1832">
        <f>'Revenues 9-14'!C108</f>
        <v>15692</v>
      </c>
      <c r="C5120" s="2" t="s">
        <v>569</v>
      </c>
      <c r="D5120" s="2" t="str">
        <f t="shared" si="79"/>
        <v>Error?</v>
      </c>
    </row>
    <row r="5121" spans="1:4" x14ac:dyDescent="0.2">
      <c r="A5121" s="5">
        <v>5060</v>
      </c>
      <c r="B5121" s="1832">
        <f>'Revenues 9-14'!C109</f>
        <v>954897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674133</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674133</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674133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674133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46285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46285</v>
      </c>
      <c r="C5326" s="2" t="s">
        <v>569</v>
      </c>
      <c r="D5326" s="2" t="str">
        <f t="shared" si="82"/>
        <v>Error?</v>
      </c>
    </row>
    <row r="5327" spans="1:5" x14ac:dyDescent="0.2">
      <c r="A5327" s="5">
        <v>5266</v>
      </c>
      <c r="B5327" s="1832">
        <f>'Revenues 9-14'!C268</f>
        <v>1675315</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312188</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0.26817533259056847</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44014</v>
      </c>
      <c r="D6890" s="2" t="str">
        <f t="shared" si="106"/>
        <v>Error?</v>
      </c>
    </row>
    <row r="6891" spans="1:4" x14ac:dyDescent="0.2">
      <c r="A6891">
        <v>6830</v>
      </c>
      <c r="B6891" s="1832">
        <f>'Expenditures 15-22'!K27</f>
        <v>44014</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25274</v>
      </c>
      <c r="D6987" s="2" t="str">
        <f t="shared" si="108"/>
        <v>Error?</v>
      </c>
    </row>
    <row r="6988" spans="1:4" x14ac:dyDescent="0.2">
      <c r="A6988">
        <v>6927</v>
      </c>
      <c r="B6988" s="1832">
        <f>'Expenditures 15-22'!K88</f>
        <v>25274</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25274</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9277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1363127</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269030</v>
      </c>
      <c r="D7834" s="2" t="str">
        <f t="shared" si="129"/>
        <v>Error?</v>
      </c>
      <c r="E7834" s="4" t="s">
        <v>1998</v>
      </c>
    </row>
    <row r="7835" spans="1:5" x14ac:dyDescent="0.2">
      <c r="A7835">
        <v>7774</v>
      </c>
      <c r="B7835" s="1832">
        <f>'PCTC-OEPP 27-28'!F78</f>
        <v>1094097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674133</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46285</v>
      </c>
      <c r="D7876" s="2" t="str">
        <f t="shared" si="129"/>
        <v>Error?</v>
      </c>
      <c r="E7876" s="4" t="s">
        <v>1998</v>
      </c>
    </row>
    <row r="7877" spans="1:5" x14ac:dyDescent="0.2">
      <c r="A7877">
        <v>7816</v>
      </c>
      <c r="B7877" s="1832">
        <f>'PCTC-OEPP 27-28'!F175</f>
        <v>720618</v>
      </c>
      <c r="D7877" s="2" t="str">
        <f t="shared" si="129"/>
        <v>Error?</v>
      </c>
      <c r="E7877" s="4" t="s">
        <v>1998</v>
      </c>
    </row>
    <row r="7878" spans="1:5" x14ac:dyDescent="0.2">
      <c r="A7878">
        <v>7817</v>
      </c>
      <c r="B7878" s="1832">
        <f>'PCTC-OEPP 27-28'!F176</f>
        <v>373479</v>
      </c>
      <c r="D7878" s="2" t="str">
        <f t="shared" si="129"/>
        <v>Error?</v>
      </c>
      <c r="E7878" s="4" t="s">
        <v>1998</v>
      </c>
    </row>
    <row r="7879" spans="1:5" x14ac:dyDescent="0.2">
      <c r="A7879">
        <v>7818</v>
      </c>
      <c r="B7879" s="1832">
        <f>'PCTC-OEPP 27-28'!F178</f>
        <v>382756</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Bloomington Area Voc Ctr</v>
      </c>
      <c r="B7" s="2516"/>
      <c r="C7" s="2516"/>
      <c r="D7" s="2554"/>
      <c r="E7" s="2555">
        <f>COVER!A13</f>
        <v>17064087041</v>
      </c>
      <c r="F7" s="2556"/>
      <c r="G7" s="2522" t="str">
        <f>COVER!T23</f>
        <v>066-005027</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Gorenz and Associates, Ltd.</v>
      </c>
      <c r="H9" s="2529"/>
      <c r="I9" s="2529"/>
      <c r="J9" s="2529"/>
      <c r="K9" s="2529"/>
      <c r="L9" s="2530"/>
    </row>
    <row r="10" spans="1:29" ht="13.5" customHeight="1" x14ac:dyDescent="0.2">
      <c r="A10" s="2512" t="str">
        <f>COVER!A38</f>
        <v>Dr. Barry Reilly</v>
      </c>
      <c r="B10" s="2513"/>
      <c r="C10" s="2513"/>
      <c r="D10" s="2513"/>
      <c r="E10" s="2513"/>
      <c r="F10" s="2514"/>
      <c r="G10" s="2528" t="str">
        <f>COVER!T17</f>
        <v>4200 N Knoxville Ave.</v>
      </c>
      <c r="H10" s="2541"/>
      <c r="I10" s="2541"/>
      <c r="J10" s="2541"/>
      <c r="K10" s="2541"/>
      <c r="L10" s="2542"/>
    </row>
    <row r="11" spans="1:29" ht="13.5" customHeight="1" x14ac:dyDescent="0.2">
      <c r="A11" s="963" t="s">
        <v>1502</v>
      </c>
      <c r="B11" s="964"/>
      <c r="C11" s="965"/>
      <c r="D11" s="970"/>
      <c r="E11" s="965"/>
      <c r="F11" s="969"/>
      <c r="G11" s="2528" t="str">
        <f>COVER!T19</f>
        <v>Peoria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tcustis@gorenzcpa.com</v>
      </c>
      <c r="J13" s="2550"/>
      <c r="K13" s="2550"/>
      <c r="L13" s="2551"/>
    </row>
    <row r="14" spans="1:29" ht="13.5" customHeight="1" x14ac:dyDescent="0.2">
      <c r="A14" s="2528" t="str">
        <f>COVER!A19</f>
        <v>300 East Monroe Street</v>
      </c>
      <c r="B14" s="2541"/>
      <c r="C14" s="2541"/>
      <c r="D14" s="2541"/>
      <c r="E14" s="2541"/>
      <c r="F14" s="2542"/>
      <c r="G14" s="974" t="s">
        <v>1175</v>
      </c>
      <c r="H14" s="972"/>
      <c r="I14" s="972"/>
      <c r="J14" s="972"/>
      <c r="K14" s="972"/>
      <c r="L14" s="973"/>
    </row>
    <row r="15" spans="1:29" ht="13.5" customHeight="1" x14ac:dyDescent="0.2">
      <c r="A15" s="2528" t="str">
        <f>COVER!A21</f>
        <v>Bloomington</v>
      </c>
      <c r="B15" s="2541"/>
      <c r="C15" s="2541"/>
      <c r="D15" s="2541"/>
      <c r="E15" s="2541"/>
      <c r="F15" s="2542"/>
      <c r="G15" s="2538" t="str">
        <f>COVER!T15</f>
        <v>Tim C. Custis</v>
      </c>
      <c r="H15" s="2539"/>
      <c r="I15" s="2539"/>
      <c r="J15" s="2539"/>
      <c r="K15" s="2539"/>
      <c r="L15" s="2540"/>
    </row>
    <row r="16" spans="1:29" ht="12.2" customHeight="1" x14ac:dyDescent="0.2">
      <c r="A16" s="2518">
        <f>COVER!A25</f>
        <v>61701</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309-685-7621</v>
      </c>
      <c r="H18" s="2516"/>
      <c r="I18" s="2516"/>
      <c r="J18" s="2516"/>
      <c r="K18" s="2515" t="str">
        <f>COVER!X21</f>
        <v>309-685-4758</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Bloomington Area Voc Ctr</v>
      </c>
      <c r="B1" s="2558"/>
      <c r="C1" s="2558"/>
      <c r="D1" s="2558"/>
    </row>
    <row r="2" spans="1:11" s="991" customFormat="1" ht="12.75" x14ac:dyDescent="0.2">
      <c r="A2" s="2559">
        <f>'Single Audit Cover'!E7</f>
        <v>17064087041</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Bloomington Area Voc Ctr</v>
      </c>
      <c r="B1" s="2562"/>
      <c r="C1" s="2562"/>
      <c r="D1" s="2562"/>
      <c r="E1" s="2562"/>
    </row>
    <row r="2" spans="1:5" x14ac:dyDescent="0.2">
      <c r="A2" s="2563">
        <f>'Single Audit Cover'!E7</f>
        <v>17064087041</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46285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46285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46285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46285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Bloomington Area Voc Ctr</v>
      </c>
      <c r="C1" s="2566"/>
      <c r="D1" s="2566"/>
      <c r="E1" s="2566"/>
      <c r="F1" s="2566"/>
      <c r="G1" s="2566"/>
      <c r="H1" s="2566"/>
      <c r="I1" s="2566"/>
      <c r="J1" s="2566"/>
      <c r="K1" s="2566"/>
      <c r="L1" s="2566"/>
      <c r="M1" s="2566"/>
    </row>
    <row r="2" spans="2:14" ht="15" x14ac:dyDescent="0.2">
      <c r="B2" s="2567">
        <f>'Single Audit Cover'!E7</f>
        <v>17064087041</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t="s">
        <v>1159</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Bloomington Area Voc Ctr</v>
      </c>
      <c r="B1" s="2571"/>
      <c r="C1" s="2571"/>
      <c r="D1" s="2571"/>
      <c r="E1" s="2571"/>
      <c r="F1" s="2571"/>
    </row>
    <row r="2" spans="1:7" ht="13.5" customHeight="1" x14ac:dyDescent="0.2">
      <c r="A2" s="2567">
        <f>'Single Audit Cover'!E7</f>
        <v>17064087041</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Bloomington Area Voc Ctr</v>
      </c>
      <c r="C1" s="2587"/>
      <c r="D1" s="2587"/>
      <c r="E1" s="2587"/>
      <c r="F1" s="2587"/>
      <c r="G1" s="2587"/>
      <c r="H1" s="2587"/>
      <c r="I1" s="2587"/>
      <c r="J1" s="1178"/>
    </row>
    <row r="2" spans="2:10" s="295" customFormat="1" ht="12.75" customHeight="1" x14ac:dyDescent="0.2">
      <c r="B2" s="2588">
        <f>'Single Audit Cover'!E7</f>
        <v>17064087041</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Bloomington Area Voc Ctr</v>
      </c>
      <c r="C1" s="2586"/>
      <c r="D1" s="2586"/>
      <c r="E1" s="2586"/>
      <c r="F1" s="2586"/>
      <c r="G1" s="2586"/>
      <c r="H1" s="2586"/>
      <c r="I1" s="2586"/>
      <c r="J1" s="2586"/>
      <c r="K1" s="2586"/>
      <c r="L1" s="1144"/>
      <c r="M1" s="1144"/>
    </row>
    <row r="2" spans="1:13" ht="12" customHeight="1" x14ac:dyDescent="0.2">
      <c r="B2" s="2588">
        <f>'Single Audit Cover'!E7</f>
        <v>17064087041</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t="s">
        <v>2069</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Bloomington Area Voc Ctr</v>
      </c>
      <c r="C1" s="2613"/>
      <c r="D1" s="2613"/>
      <c r="E1" s="2613"/>
      <c r="F1" s="2613"/>
      <c r="G1" s="2613"/>
      <c r="H1" s="2613"/>
      <c r="I1" s="2613"/>
      <c r="J1" s="2613"/>
      <c r="K1" s="2613"/>
      <c r="L1" s="1221"/>
    </row>
    <row r="2" spans="1:12" ht="12.75" customHeight="1" x14ac:dyDescent="0.2">
      <c r="B2" s="2614">
        <f>'Single Audit Cover'!E7</f>
        <v>17064087041</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Bloomington Area Voc Ctr</v>
      </c>
      <c r="C1" s="2586"/>
      <c r="D1" s="2586"/>
      <c r="E1" s="1240"/>
    </row>
    <row r="2" spans="2:5" s="1058" customFormat="1" ht="12.75" customHeight="1" x14ac:dyDescent="0.2">
      <c r="B2" s="2588">
        <f>'Single Audit Cover'!E7</f>
        <v>17064087041</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2076</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purl.org/dc/terms/"/>
    <ds:schemaRef ds:uri="http://schemas.microsoft.com/sharepoint/v3"/>
    <ds:schemaRef ds:uri="d21dc803-237d-4c68-8692-8d731fd29118"/>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Itemization 34</vt:lpstr>
      <vt:lpstr>REF 35</vt:lpstr>
      <vt:lpstr>Opinion-Notes 36</vt:lpstr>
      <vt:lpstr>AC Tort 32-33</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2020-12-11T20:42:45Z</cp:lastPrinted>
  <dcterms:created xsi:type="dcterms:W3CDTF">2003-10-29T19:06:34Z</dcterms:created>
  <dcterms:modified xsi:type="dcterms:W3CDTF">2020-12-16T01:47:38Z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