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694797A6-DFB0-453E-BA99-8F3E1F369A4C}" xr6:coauthVersionLast="36" xr6:coauthVersionMax="36" xr10:uidLastSave="{00000000-0000-0000-0000-000000000000}"/>
  <bookViews>
    <workbookView xWindow="0" yWindow="0" windowWidth="28800" windowHeight="12000" tabRatio="959" xr2:uid="{00000000-000D-0000-FFFF-FFFF00000000}"/>
  </bookViews>
  <sheets>
    <sheet name="COVER" sheetId="24" r:id="rId1"/>
    <sheet name="TOC" sheetId="18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A" sheetId="185" r:id="rId29"/>
    <sheet name=" SEFA B" sheetId="186" r:id="rId30"/>
    <sheet name=" SEFA C" sheetId="187"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A'!$B$1:$M$46</definedName>
    <definedName name="_xlnm.Print_Area" localSheetId="29">' SEFA B'!$B$1:$M$46</definedName>
    <definedName name="_xlnm.Print_Area" localSheetId="30">' SEFA C'!$B$1:$M$46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 localSheetId="1">#REF!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 localSheetId="1">#REF!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 localSheetId="1">#REF!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 localSheetId="1">#REF!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 localSheetId="1">#REF!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7" i="187" l="1"/>
  <c r="L26" i="187"/>
  <c r="L25" i="187"/>
  <c r="L24" i="187"/>
  <c r="L23" i="187"/>
  <c r="L22" i="187"/>
  <c r="L21" i="187"/>
  <c r="L20" i="187"/>
  <c r="L19" i="187"/>
  <c r="L18" i="187"/>
  <c r="L17" i="187"/>
  <c r="L16" i="187"/>
  <c r="L15" i="187"/>
  <c r="L14" i="187"/>
  <c r="L13" i="187"/>
  <c r="L12" i="187"/>
  <c r="L11" i="187"/>
  <c r="I9" i="187"/>
  <c r="G9" i="187"/>
  <c r="F9" i="187"/>
  <c r="E9" i="187"/>
  <c r="J8" i="187"/>
  <c r="H8" i="187"/>
  <c r="L27" i="186"/>
  <c r="L26" i="186"/>
  <c r="L25" i="186"/>
  <c r="L24" i="186"/>
  <c r="L23" i="186"/>
  <c r="L22" i="186"/>
  <c r="L21" i="186"/>
  <c r="L20" i="186"/>
  <c r="L19" i="186"/>
  <c r="L18" i="186"/>
  <c r="L17" i="186"/>
  <c r="L16" i="186"/>
  <c r="L15" i="186"/>
  <c r="L14" i="186"/>
  <c r="L13" i="186"/>
  <c r="L12" i="186"/>
  <c r="L11" i="186"/>
  <c r="I9" i="186"/>
  <c r="G9" i="186"/>
  <c r="F9" i="186"/>
  <c r="E9" i="186"/>
  <c r="J8" i="186"/>
  <c r="H8" i="186"/>
  <c r="L27" i="185"/>
  <c r="L26" i="185"/>
  <c r="L25" i="185"/>
  <c r="L24" i="185"/>
  <c r="L23" i="185"/>
  <c r="L22" i="185"/>
  <c r="L21" i="185"/>
  <c r="L20" i="185"/>
  <c r="L19" i="185"/>
  <c r="L18" i="185"/>
  <c r="L17" i="185"/>
  <c r="L16" i="185"/>
  <c r="L15" i="185"/>
  <c r="L14" i="185"/>
  <c r="L13" i="185"/>
  <c r="L12" i="185"/>
  <c r="L11" i="185"/>
  <c r="I9" i="185"/>
  <c r="G9" i="185"/>
  <c r="F9" i="185"/>
  <c r="E9" i="185"/>
  <c r="J8" i="185"/>
  <c r="H8"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26" i="183" l="1"/>
  <c r="F25" i="183"/>
  <c r="F24" i="183"/>
  <c r="F23" i="183"/>
  <c r="F22" i="183"/>
  <c r="F21" i="183"/>
  <c r="F20" i="183"/>
  <c r="F19" i="183"/>
  <c r="E26" i="183"/>
  <c r="E25" i="183"/>
  <c r="E24" i="183"/>
  <c r="E23" i="183"/>
  <c r="E22" i="183"/>
  <c r="E21" i="183"/>
  <c r="E20" i="183"/>
  <c r="E19" i="183"/>
  <c r="E18" i="183"/>
  <c r="F18" i="183" s="1"/>
  <c r="E17" i="183"/>
  <c r="F17" i="183" s="1"/>
  <c r="F80" i="34" l="1"/>
  <c r="B7885" i="106" l="1"/>
  <c r="D7885" i="106" s="1"/>
  <c r="B7884" i="106"/>
  <c r="D7884" i="106" s="1"/>
  <c r="B7883" i="106"/>
  <c r="B7882" i="106"/>
  <c r="D7882" i="106" s="1"/>
  <c r="D7883" i="106"/>
  <c r="B11" i="7" l="1"/>
  <c r="D7836" i="106" l="1"/>
  <c r="J88" i="28" l="1"/>
  <c r="J85" i="28"/>
  <c r="J90" i="28" s="1"/>
  <c r="B7819" i="106" l="1"/>
  <c r="D7819" i="106" s="1"/>
  <c r="B7818" i="106"/>
  <c r="D7818" i="106" s="1"/>
  <c r="D27" i="183" l="1"/>
  <c r="A15" i="183"/>
  <c r="D82" i="36" l="1"/>
  <c r="F27" i="183"/>
  <c r="E27"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6"/>
  <c r="B4" i="185"/>
  <c r="I7" i="24"/>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2" i="179"/>
  <c r="B2" i="187"/>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H12" i="184" l="1"/>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H15" i="184"/>
  <c r="G33" i="108"/>
  <c r="E17" i="184"/>
  <c r="H17" i="184" s="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D31" i="108"/>
  <c r="E16" i="184"/>
  <c r="H16"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E367" i="29" l="1"/>
  <c r="B3635" i="106"/>
  <c r="B7220" i="106"/>
  <c r="D7220" i="106" s="1"/>
  <c r="F75" i="34"/>
  <c r="B7886" i="106" s="1"/>
  <c r="D7886" i="106" s="1"/>
  <c r="B7222" i="106"/>
  <c r="D7222" i="106" s="1"/>
  <c r="F76" i="34"/>
  <c r="B7887" i="106" s="1"/>
  <c r="D7887" i="106" s="1"/>
  <c r="H19" i="184"/>
  <c r="L20" i="184" s="1"/>
  <c r="L16" i="11"/>
  <c r="B2061" i="106" s="1"/>
  <c r="D2061" i="106" s="1"/>
  <c r="N57" i="184"/>
  <c r="N68" i="184" s="1"/>
  <c r="E68" i="184"/>
  <c r="E19" i="184"/>
  <c r="B2031" i="106"/>
  <c r="D2031" i="106"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7" i="34" l="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<sst xmlns="http://schemas.openxmlformats.org/spreadsheetml/2006/main" count="5280" uniqueCount="2078">
  <si>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</si>
  <si>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</si>
  <si>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</si>
  <si>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</si>
  <si>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</si>
  <si>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</si>
  <si>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</si>
  <si>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</si>
  <si>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</si>
  <si>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</si>
  <si>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</si>
  <si>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</si>
  <si>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</si>
  <si>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</si>
  <si>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</si>
  <si>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</si>
  <si>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</si>
  <si>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</si>
  <si>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</si>
  <si>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</si>
  <si>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</si>
  <si>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</si>
  <si>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</si>
  <si>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</si>
  <si>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</si>
  <si>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</si>
  <si>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</si>
  <si>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</si>
  <si>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</si>
  <si>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</si>
  <si>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</si>
  <si>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</si>
  <si>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</si>
  <si>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</si>
  <si>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</si>
  <si>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</si>
  <si>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</si>
  <si>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</si>
  <si>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</si>
  <si>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</si>
  <si>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</si>
  <si>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</si>
  <si>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</si>
  <si>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</si>
  <si>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</si>
  <si>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</si>
  <si>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</si>
  <si>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</si>
  <si>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</si>
  <si>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</si>
  <si>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</si>
  <si>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</si>
  <si>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</si>
  <si>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</si>
  <si>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</si>
  <si>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</si>
  <si>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</si>
  <si>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</si>
  <si>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</si>
  <si>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</si>
  <si>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</si>
  <si>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</si>
  <si>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</si>
  <si>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</si>
  <si>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</si>
  <si>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</si>
  <si>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</si>
  <si>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</si>
  <si>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</si>
  <si>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</si>
  <si>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</si>
  <si>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</si>
  <si>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</si>
  <si>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</si>
  <si>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</si>
  <si>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</si>
  <si>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</si>
  <si>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</si>
  <si>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</si>
  <si>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</si>
  <si>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</si>
  <si>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</si>
  <si>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</si>
  <si>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</si>
  <si>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</si>
  <si>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</si>
  <si>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</si>
  <si>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</si>
  <si>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</si>
  <si>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</si>
  <si>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</si>
  <si>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</si>
  <si>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</si>
  <si>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</si>
  <si>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</si>
  <si>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</si>
  <si>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</si>
  <si>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</si>
  <si>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</si>
  <si>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</si>
  <si>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</si>
  <si>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</si>
  <si>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</si>
  <si>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</si>
  <si>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</si>
  <si>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</si>
  <si>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</si>
  <si>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</si>
  <si>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</si>
  <si>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</si>
  <si>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</si>
  <si>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</si>
  <si>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</si>
  <si>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</si>
  <si>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</si>
  <si>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</si>
  <si>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</si>
  <si>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</si>
  <si>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</si>
  <si>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</si>
  <si>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</si>
  <si>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</si>
  <si>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</si>
  <si>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</si>
  <si>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</si>
  <si>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</si>
  <si>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</si>
  <si>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</si>
  <si>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</si>
  <si>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</si>
  <si>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</si>
  <si>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</si>
  <si>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</si>
  <si>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</si>
  <si>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</si>
  <si>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</si>
  <si>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</si>
  <si>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</si>
  <si>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</si>
  <si>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</si>
  <si>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</si>
  <si>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</si>
  <si>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</si>
  <si>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</si>
  <si>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</si>
  <si>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</si>
  <si>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</si>
  <si>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</si>
  <si>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</si>
  <si>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</si>
  <si>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</si>
  <si>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</si>
  <si>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</si>
  <si>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</si>
  <si>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</si>
  <si>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</si>
  <si>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</si>
  <si>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</si>
  <si>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</si>
  <si>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</si>
  <si>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</si>
  <si>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</si>
  <si>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</si>
  <si>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</si>
  <si>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</si>
  <si>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</si>
  <si>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</si>
  <si>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</si>
  <si>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</si>
  <si>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</si>
  <si>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</si>
  <si>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</si>
  <si>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</si>
  <si>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</si>
  <si>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</si>
  <si>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</si>
  <si>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</si>
  <si>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</si>
  <si>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</si>
  <si>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</si>
  <si>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</si>
  <si>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</si>
  <si>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</si>
  <si>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</si>
  <si>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</si>
  <si>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</si>
  <si>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</si>
  <si>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</si>
  <si>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</si>
  <si>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</si>
  <si>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</si>
  <si>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</si>
  <si>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</si>
  <si>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</si>
  <si>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</si>
  <si>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</si>
  <si>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</si>
  <si>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</si>
  <si>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</si>
  <si>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</si>
  <si>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</si>
  <si>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</si>
  <si>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</si>
  <si>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</si>
  <si>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</si>
  <si>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</si>
  <si>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</si>
  <si>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</si>
  <si>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</si>
  <si>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</si>
  <si>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</si>
  <si>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</si>
  <si>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</si>
  <si>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</si>
  <si>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</si>
  <si>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</si>
  <si>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</si>
  <si>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</si>
  <si>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</si>
  <si>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</si>
  <si>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</si>
  <si>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</si>
  <si>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</si>
  <si>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</si>
  <si>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</si>
  <si>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</si>
  <si>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</si>
  <si>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</si>
  <si>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</si>
  <si>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</si>
  <si>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</si>
  <si>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</si>
  <si>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</si>
  <si>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</si>
  <si>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</si>
  <si>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</si>
  <si>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</si>
  <si>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</si>
  <si>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</si>
  <si>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</si>
  <si>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</si>
  <si>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</si>
  <si>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</si>
  <si>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</si>
  <si>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</si>
  <si>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</si>
  <si>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</si>
  <si>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</si>
  <si>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</si>
  <si>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</si>
  <si>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</si>
  <si>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</si>
  <si>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</si>
  <si>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</si>
  <si>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</si>
  <si>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</si>
  <si>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</si>
  <si>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</si>
  <si>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</si>
  <si>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</si>
  <si>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</si>
  <si>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</si>
  <si>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</si>
  <si>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</si>
  <si>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</si>
  <si>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</si>
  <si>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</si>
  <si>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</si>
  <si>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</si>
  <si>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</si>
  <si>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</si>
  <si>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</si>
  <si>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</si>
  <si>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</si>
  <si>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</si>
  <si>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</si>
  <si>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</si>
  <si>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</si>
  <si>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</si>
  <si>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</si>
  <si>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</si>
  <si>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</si>
  <si>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</si>
  <si>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</si>
  <si>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</si>
  <si>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</si>
  <si>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</si>
  <si>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</si>
  <si>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</si>
  <si>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</si>
  <si>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</si>
  <si>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</si>
  <si>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</si>
  <si>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</si>
  <si>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</si>
  <si>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</si>
  <si>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</si>
  <si>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</si>
  <si>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</si>
  <si>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</si>
  <si>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</si>
  <si>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</si>
  <si>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</si>
  <si>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</si>
  <si>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</si>
  <si>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</si>
  <si>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</si>
  <si>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</si>
  <si>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</si>
  <si>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</si>
  <si>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</si>
  <si>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</si>
  <si>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</si>
  <si>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</si>
  <si>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</si>
  <si>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</si>
  <si>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</si>
  <si>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</si>
  <si>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</si>
  <si>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</si>
  <si>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</si>
  <si>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</si>
  <si>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</si>
  <si>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</si>
  <si>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</si>
  <si>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</si>
  <si>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</si>
  <si>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</si>
  <si>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</si>
  <si>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</si>
  <si>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</si>
  <si>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</si>
  <si>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</si>
  <si>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</si>
  <si>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</si>
  <si>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</si>
  <si>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</si>
  <si>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</si>
  <si>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</si>
  <si>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</si>
  <si>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</si>
  <si>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</si>
  <si>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</si>
  <si>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</si>
  <si>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</si>
  <si>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</si>
  <si>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</si>
  <si>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</si>
  <si>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</si>
  <si>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</si>
  <si>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</si>
  <si>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</si>
  <si>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</si>
  <si>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</si>
  <si>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</si>
  <si>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</si>
  <si>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</si>
  <si>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</si>
  <si>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</si>
  <si>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</si>
  <si>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</si>
  <si>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</si>
  <si>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</si>
  <si>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</si>
  <si>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</si>
  <si>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</si>
  <si>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</si>
  <si>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</si>
  <si>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</si>
  <si>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</si>
  <si>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</si>
  <si>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</si>
  <si>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</si>
  <si>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</si>
  <si>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</si>
  <si>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</si>
  <si>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</si>
  <si>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</si>
  <si>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</si>
  <si>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</si>
  <si>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</si>
  <si>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</si>
  <si>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</si>
  <si>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</si>
  <si>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</si>
  <si>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</si>
  <si>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</si>
  <si>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</si>
  <si>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</si>
  <si>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</si>
  <si>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</si>
  <si>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</si>
  <si>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</si>
  <si>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</si>
  <si>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</si>
  <si>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</si>
  <si>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</si>
  <si>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</si>
  <si>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</si>
  <si>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</si>
  <si>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</si>
  <si>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</si>
  <si>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</si>
  <si>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</si>
  <si>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</si>
  <si>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</si>
  <si>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</si>
  <si>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</si>
  <si>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</si>
  <si>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</si>
  <si>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</si>
  <si>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</si>
  <si>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</si>
  <si>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</si>
  <si>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</si>
  <si>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</si>
  <si>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</si>
  <si>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</si>
  <si>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</si>
  <si>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</si>
  <si>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</si>
  <si>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</si>
  <si>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</si>
  <si>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</si>
  <si>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</si>
  <si>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</si>
  <si>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</si>
  <si>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</si>
  <si>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</si>
  <si>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</si>
  <si>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</si>
  <si>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</si>
  <si>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</si>
  <si>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</si>
  <si>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</si>
  <si>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</si>
  <si>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</si>
  <si>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</si>
  <si>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</si>
  <si>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</si>
  <si>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</si>
  <si>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</si>
  <si>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</si>
  <si>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</si>
  <si>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</si>
  <si>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</si>
  <si>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</si>
  <si>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</si>
  <si>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</si>
  <si>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</si>
  <si>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</si>
  <si>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</si>
  <si>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</si>
  <si>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</si>
  <si>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</si>
  <si>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</si>
  <si>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</si>
  <si>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</si>
  <si>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</si>
  <si>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</si>
  <si>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</si>
  <si>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</si>
  <si>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</si>
  <si>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</si>
  <si>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</si>
  <si>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</si>
  <si>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</si>
  <si>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</si>
  <si>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</si>
  <si>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</si>
  <si>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</si>
  <si>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</si>
  <si>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</si>
  <si>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</si>
  <si>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</si>
  <si>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</si>
  <si>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</si>
  <si>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</si>
  <si>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</si>
  <si>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</si>
  <si>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</si>
  <si>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</si>
  <si>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</si>
  <si>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</si>
  <si>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</si>
  <si>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</si>
  <si>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</si>
  <si>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</si>
  <si>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</si>
  <si>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</si>
  <si>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</si>
  <si>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</si>
  <si>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</si>
  <si>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</si>
  <si>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</si>
  <si>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</si>
  <si>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</si>
  <si>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</si>
  <si>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</si>
  <si>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</si>
  <si>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</si>
  <si>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</si>
  <si>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</si>
  <si>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</si>
  <si>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</si>
  <si>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</si>
  <si>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</si>
  <si>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</si>
  <si>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</si>
  <si>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</si>
  <si>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</si>
  <si>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</si>
  <si>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</si>
  <si>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</si>
  <si>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</si>
  <si>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</si>
  <si>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</si>
  <si>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</si>
  <si>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</si>
  <si>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</si>
  <si>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</si>
  <si>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</si>
  <si>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</si>
  <si>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</si>
  <si>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</si>
  <si>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</si>
  <si>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</si>
  <si>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</si>
  <si>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</si>
  <si>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</si>
  <si>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</si>
  <si>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</si>
  <si>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</si>
  <si>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</si>
  <si>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</si>
  <si>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</si>
  <si>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</si>
  <si>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</si>
  <si>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</si>
  <si>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</si>
  <si>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</si>
  <si>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</si>
  <si>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</si>
  <si>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</si>
  <si>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</si>
  <si>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</si>
  <si>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</si>
  <si>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</si>
  <si>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</si>
  <si>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</si>
  <si>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</si>
  <si>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</si>
  <si>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</si>
  <si>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</si>
  <si>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</si>
  <si>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</si>
  <si>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</si>
  <si>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</si>
  <si>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</si>
  <si>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</si>
  <si>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</si>
  <si>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</si>
  <si>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</si>
  <si>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</si>
  <si>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</si>
  <si>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</si>
  <si>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</si>
  <si>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</si>
  <si>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</si>
  <si>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</si>
  <si>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</si>
  <si>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</si>
  <si>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</si>
  <si>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</si>
  <si>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</si>
  <si>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</si>
  <si>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</si>
  <si>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</si>
  <si>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</si>
  <si>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</si>
  <si>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</si>
  <si>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</si>
  <si>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</si>
  <si>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</si>
  <si>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</si>
  <si>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</si>
  <si>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</si>
  <si>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</si>
  <si>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</si>
  <si>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</si>
  <si>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</si>
  <si>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</si>
  <si>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</si>
  <si>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</si>
  <si>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</si>
  <si>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</si>
  <si>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</si>
  <si>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</si>
  <si>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</si>
  <si>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</si>
  <si>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</si>
  <si>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</si>
  <si>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</si>
  <si>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</si>
  <si>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</si>
  <si>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</si>
  <si>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</si>
  <si>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</si>
  <si>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</si>
  <si>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</si>
  <si>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</si>
  <si>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</si>
  <si>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</si>
  <si>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</si>
  <si>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</si>
  <si>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</si>
  <si>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</si>
  <si>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</si>
  <si>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</si>
  <si>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</si>
  <si>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</si>
  <si>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</si>
  <si>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</si>
  <si>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</si>
  <si>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</si>
  <si>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</si>
  <si>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</si>
  <si>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</si>
  <si>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</si>
  <si>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</si>
  <si>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</si>
  <si>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</si>
  <si>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</si>
  <si>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</si>
  <si>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</si>
  <si>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</si>
  <si>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</si>
  <si>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</si>
  <si>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</si>
  <si>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</si>
  <si>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</si>
  <si>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</si>
  <si>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</si>
  <si>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</si>
  <si>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</si>
  <si>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</si>
  <si>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</si>
  <si>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</si>
  <si>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</si>
  <si>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</si>
  <si>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</si>
  <si>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</si>
  <si>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</si>
  <si>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</si>
  <si>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</si>
  <si>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</si>
  <si>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</si>
  <si>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</si>
  <si>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</si>
  <si>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</si>
  <si>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</si>
  <si>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</si>
  <si>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</si>
  <si>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</si>
  <si>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</si>
  <si>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</si>
  <si>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</si>
  <si>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</si>
  <si>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</si>
  <si>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</si>
  <si>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</si>
  <si>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</si>
  <si>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</si>
  <si>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</si>
  <si>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</si>
  <si>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</si>
  <si>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</si>
  <si>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</si>
  <si>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</si>
  <si>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</si>
  <si>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</si>
  <si>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</si>
  <si>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</si>
  <si>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</si>
  <si>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</si>
  <si>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</si>
  <si>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</si>
  <si>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</si>
  <si>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</si>
  <si>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</si>
  <si>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</si>
  <si>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</si>
  <si>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</si>
  <si>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</si>
  <si>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</si>
  <si>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</si>
  <si>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</si>
  <si>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</si>
  <si>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</si>
  <si>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</si>
  <si>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</si>
  <si>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</si>
  <si>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</si>
  <si>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</si>
  <si>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</si>
  <si>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</si>
  <si>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</si>
  <si>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</si>
  <si>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</si>
  <si>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</si>
  <si>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</si>
  <si>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</si>
  <si>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</si>
  <si>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</si>
  <si>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</si>
  <si>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</si>
  <si>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</si>
  <si>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</si>
  <si>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</si>
  <si>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</si>
  <si>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</si>
  <si>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</si>
  <si>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</si>
  <si>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</si>
  <si>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</si>
  <si>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</si>
  <si>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</si>
  <si>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</si>
  <si>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</si>
  <si>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</si>
  <si>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</si>
  <si>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</si>
  <si>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</si>
  <si>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</si>
  <si>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</si>
  <si>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</si>
  <si>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</si>
  <si>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</si>
  <si>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</si>
  <si>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</si>
  <si>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</si>
  <si>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</si>
  <si>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</si>
  <si>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</si>
  <si>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</si>
  <si>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</si>
  <si>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</si>
  <si>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</si>
  <si>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</si>
  <si>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</si>
  <si>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</si>
  <si>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</si>
  <si>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</si>
  <si>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</si>
  <si>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</si>
  <si>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</si>
  <si>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</si>
  <si>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</si>
  <si>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</si>
  <si>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</si>
  <si>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</si>
  <si>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</si>
  <si>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</si>
  <si>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</si>
  <si>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</si>
  <si>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</si>
  <si>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</si>
  <si>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</si>
  <si>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</si>
  <si>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</si>
  <si>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</si>
  <si>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</si>
  <si>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</si>
  <si>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</si>
  <si>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</si>
  <si>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</si>
  <si>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</si>
  <si>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</si>
  <si>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</si>
  <si>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</si>
  <si>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</si>
  <si>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</si>
  <si>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</si>
  <si>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</si>
  <si>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</si>
  <si>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</si>
  <si>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</si>
  <si>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</si>
  <si>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</si>
  <si>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</si>
  <si>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</si>
  <si>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</si>
  <si>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</si>
  <si>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</si>
  <si>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</si>
  <si>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</si>
  <si>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</si>
  <si>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</si>
  <si>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</si>
  <si>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</si>
  <si>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</si>
  <si>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</si>
  <si>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</si>
  <si>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</si>
  <si>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</si>
  <si>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</si>
  <si>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</si>
  <si>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</si>
  <si>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</si>
  <si>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</si>
  <si>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</si>
  <si>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</si>
  <si>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</si>
  <si>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</si>
  <si>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</si>
  <si>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</si>
  <si>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</si>
  <si>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</si>
  <si>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</si>
  <si>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</si>
  <si>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</si>
  <si>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</si>
  <si>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</si>
  <si>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</si>
  <si>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</si>
  <si>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</si>
  <si>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</si>
  <si>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</si>
  <si>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</si>
  <si>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</si>
  <si>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</si>
  <si>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</si>
  <si>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</si>
  <si>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</si>
  <si>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</si>
  <si>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</si>
  <si>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</si>
  <si>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</si>
  <si>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</si>
  <si>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</si>
  <si>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</si>
  <si>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</si>
  <si>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</si>
  <si>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</si>
  <si>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</si>
  <si>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</si>
  <si>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</si>
  <si>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</si>
  <si>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</si>
  <si>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</si>
  <si>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</si>
  <si>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</si>
  <si>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</si>
  <si>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</si>
  <si>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</si>
  <si>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</si>
  <si>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</si>
  <si>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</si>
  <si>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</si>
  <si>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</si>
  <si>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</si>
  <si>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</si>
  <si>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</si>
  <si>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</si>
  <si>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</si>
  <si>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</si>
  <si>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</si>
  <si>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</si>
  <si>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</si>
  <si>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</si>
  <si>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</si>
  <si>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</si>
  <si>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</si>
  <si>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</si>
  <si>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</si>
  <si>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</si>
  <si>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</si>
  <si>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</si>
  <si>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</si>
  <si>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</si>
  <si>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</si>
  <si>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</si>
  <si>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</si>
  <si>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</si>
  <si>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</si>
  <si>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</si>
  <si>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</si>
  <si>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</si>
  <si>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</si>
  <si>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</si>
  <si>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</si>
  <si>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</si>
  <si>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</si>
  <si>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</si>
  <si>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</si>
  <si>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</si>
  <si>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</si>
  <si>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</si>
  <si>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</si>
  <si>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</si>
  <si>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</si>
  <si>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</si>
  <si>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</si>
  <si>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</si>
  <si>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</si>
  <si>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</si>
  <si>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</si>
  <si>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</si>
  <si>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</si>
  <si>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</si>
  <si>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</si>
  <si>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</si>
  <si>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</si>
  <si>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</si>
  <si>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</si>
  <si>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</si>
  <si>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</si>
  <si>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</si>
  <si>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</si>
  <si>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</si>
  <si>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</si>
  <si>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</si>
  <si>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</si>
  <si>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</si>
  <si>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</si>
  <si>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</si>
  <si>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</si>
  <si>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</si>
  <si>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</si>
  <si>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</si>
  <si>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</si>
  <si>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</si>
  <si>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</si>
  <si>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</si>
  <si>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</si>
  <si>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</si>
  <si>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</si>
  <si>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</si>
  <si>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</si>
  <si>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</si>
  <si>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</si>
  <si>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</si>
  <si>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</si>
  <si>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</si>
  <si>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</si>
  <si>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</si>
  <si>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</si>
  <si>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</si>
  <si>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</si>
  <si>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</si>
  <si>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</si>
  <si>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</si>
  <si>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</si>
  <si>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</si>
  <si>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</si>
  <si>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</si>
  <si>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</si>
  <si>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</si>
  <si>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</si>
  <si>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</si>
  <si>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</si>
  <si>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</si>
  <si>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</si>
  <si>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</si>
  <si>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</si>
  <si>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</si>
  <si>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</si>
  <si>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</si>
  <si>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</si>
  <si>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</si>
  <si>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</si>
  <si>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</si>
  <si>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</si>
  <si>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</si>
  <si>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</si>
  <si>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</si>
  <si>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</si>
  <si>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</si>
  <si>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</si>
  <si>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</si>
  <si>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</si>
  <si>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</si>
  <si>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</si>
  <si>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</si>
  <si>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</si>
  <si>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</si>
  <si>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</si>
  <si>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</si>
  <si>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</si>
  <si>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</si>
  <si>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</si>
  <si>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</si>
  <si>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</si>
  <si>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</si>
  <si>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</si>
  <si>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</si>
  <si>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</si>
  <si>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</si>
  <si>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</si>
  <si>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</si>
  <si>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</si>
  <si>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</si>
  <si>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</si>
  <si>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</si>
  <si>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</si>
  <si>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</si>
  <si>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</si>
  <si>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</si>
  <si>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</si>
  <si>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</si>
  <si>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</si>
  <si>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</si>
  <si>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</si>
  <si>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</si>
  <si>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</si>
  <si>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</si>
  <si>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</si>
  <si>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</si>
  <si>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</si>
  <si>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</si>
  <si>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</si>
  <si>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</si>
  <si>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</si>
  <si>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</si>
  <si>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</si>
  <si>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</si>
  <si>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</si>
  <si>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</si>
  <si>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</si>
  <si>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</si>
  <si>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</si>
  <si>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</si>
  <si>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</si>
  <si>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</si>
  <si>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</si>
  <si>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</si>
  <si>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</si>
  <si>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</si>
  <si>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</si>
  <si>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</si>
  <si>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</si>
  <si>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</si>
  <si>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</si>
  <si>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</si>
  <si>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</si>
  <si>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</si>
  <si>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</si>
  <si>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</si>
  <si>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</si>
  <si>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</si>
  <si>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</si>
  <si>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</si>
  <si>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</si>
  <si>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</si>
  <si>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</si>
  <si>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</si>
  <si>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</si>
  <si>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</si>
  <si>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</si>
  <si>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</si>
  <si>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</si>
  <si>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</si>
  <si>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</si>
  <si>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</si>
  <si>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</si>
  <si>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</si>
  <si>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</si>
  <si>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</si>
  <si>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</si>
  <si>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</si>
  <si>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</si>
  <si>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</si>
  <si>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</si>
  <si>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</si>
  <si>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</si>
  <si>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</si>
  <si>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</si>
  <si>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</si>
  <si>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</si>
  <si>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</si>
  <si>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</si>
  <si>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</si>
  <si>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</si>
  <si>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</si>
  <si>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</si>
  <si>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</si>
  <si>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</si>
  <si>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</si>
  <si>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</si>
  <si>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</si>
  <si>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</si>
  <si>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</si>
  <si>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</si>
  <si>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</si>
  <si>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</si>
  <si>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</si>
  <si>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</si>
  <si>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</si>
  <si>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</si>
  <si>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</si>
  <si>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</si>
  <si>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</si>
  <si>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</si>
  <si>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</si>
  <si>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</si>
  <si>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</si>
  <si>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</si>
  <si>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</si>
  <si>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</si>
  <si>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</si>
  <si>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</si>
  <si>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</si>
  <si>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</si>
  <si>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</si>
  <si>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</si>
  <si>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</si>
  <si>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</si>
  <si>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</si>
  <si>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</si>
  <si>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</si>
  <si>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</si>
  <si>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</si>
  <si>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</si>
  <si>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</si>
  <si>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</si>
  <si>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</si>
  <si>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</si>
  <si>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</si>
  <si>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</si>
  <si>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</si>
  <si>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</si>
  <si>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</si>
  <si>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</si>
  <si>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</si>
  <si>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</si>
  <si>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</si>
  <si>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</si>
  <si>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</si>
  <si>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</si>
  <si>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</si>
  <si>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</si>
  <si>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</si>
  <si>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</si>
  <si>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</si>
  <si>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</si>
  <si>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</si>
  <si>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</si>
  <si>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</si>
  <si>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</si>
  <si>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</si>
  <si>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</si>
  <si>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</si>
  <si>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</si>
  <si>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</si>
  <si>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</si>
  <si>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</si>
  <si>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</si>
  <si>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</si>
  <si>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</si>
  <si>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</si>
  <si>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</si>
  <si>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</si>
  <si>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</si>
  <si>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</si>
  <si>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</si>
  <si>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</si>
  <si>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</si>
  <si>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</si>
  <si>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</si>
  <si>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</si>
  <si>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</si>
  <si>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</si>
  <si>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</si>
  <si>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</si>
  <si>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</si>
  <si>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</si>
  <si>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</si>
  <si>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</si>
  <si>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</si>
  <si>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</si>
  <si>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</si>
  <si>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</si>
  <si>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</si>
  <si>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</si>
  <si>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</si>
  <si>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</si>
  <si>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</si>
  <si>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</si>
  <si>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</si>
  <si>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</si>
  <si>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</si>
  <si>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</si>
  <si>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</si>
  <si>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</si>
  <si>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</si>
  <si>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</si>
  <si>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</si>
  <si>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</si>
  <si>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</si>
  <si>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</si>
  <si>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</si>
  <si>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</si>
  <si>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</si>
  <si>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</si>
  <si>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</si>
  <si>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</si>
  <si>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</si>
  <si>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</si>
  <si>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</si>
  <si>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</si>
  <si>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</si>
  <si>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</si>
  <si>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</si>
  <si>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</si>
  <si>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</si>
  <si>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</si>
  <si>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</si>
  <si>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</si>
  <si>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</si>
  <si>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</si>
  <si>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</si>
  <si>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</si>
  <si>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</si>
  <si>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</si>
  <si>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</si>
  <si>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</si>
  <si>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</si>
  <si>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</si>
  <si>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</si>
  <si>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</si>
  <si>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</si>
  <si>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</si>
  <si>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</si>
  <si>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</si>
  <si>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</si>
  <si>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</si>
  <si>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</si>
  <si>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</si>
  <si>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</si>
  <si>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</si>
  <si>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</si>
  <si>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</si>
  <si>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</si>
  <si>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</si>
  <si>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</si>
  <si>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</si>
  <si>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</si>
  <si>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</si>
  <si>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</si>
  <si>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</si>
  <si>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</si>
  <si>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</si>
  <si>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</si>
  <si>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</si>
  <si>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</si>
  <si>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</si>
  <si>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</si>
  <si>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</si>
  <si>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</si>
  <si>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</si>
  <si>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</si>
  <si>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</si>
  <si>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</si>
  <si>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</si>
  <si>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</si>
  <si>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</si>
  <si>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</si>
  <si>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</si>
  <si>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</si>
  <si>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</si>
  <si>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</si>
  <si>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</si>
  <si>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</si>
  <si>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</si>
  <si>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</si>
  <si>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</si>
  <si>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</si>
  <si>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</si>
  <si>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</si>
  <si>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</si>
  <si>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</si>
  <si>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</si>
  <si>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</si>
  <si>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</si>
  <si>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</si>
  <si>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</si>
  <si>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</si>
  <si>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</si>
  <si>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</si>
  <si>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</si>
  <si>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</si>
  <si>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</si>
  <si>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</si>
  <si>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</si>
  <si>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</si>
  <si>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</si>
  <si>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</si>
  <si>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</si>
  <si>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</si>
  <si>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</si>
  <si>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</si>
  <si>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</si>
  <si>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</si>
  <si>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</si>
  <si>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</si>
  <si>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</si>
  <si>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</si>
  <si>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</si>
  <si>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</si>
  <si>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</si>
  <si>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</si>
  <si>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</si>
  <si>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</si>
  <si>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</si>
  <si>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</si>
  <si>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</si>
  <si>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</si>
  <si>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</si>
  <si>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</si>
  <si>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</si>
  <si>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</si>
  <si>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</si>
  <si>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</si>
  <si>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</si>
  <si>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</si>
  <si>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</si>
  <si>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</si>
  <si>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</si>
  <si>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</si>
  <si>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</si>
  <si>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</si>
  <si>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</si>
  <si>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</si>
  <si>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</si>
  <si>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</si>
  <si>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</si>
  <si>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</si>
  <si>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</si>
  <si>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</si>
  <si>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</si>
  <si>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</si>
  <si>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</si>
  <si>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</si>
  <si>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</si>
  <si>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</si>
  <si>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</si>
  <si>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</si>
  <si>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</si>
  <si>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</si>
  <si>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</si>
  <si>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</si>
  <si>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</si>
  <si>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</si>
  <si>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</si>
  <si>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</si>
  <si>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</si>
  <si>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</si>
  <si>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</si>
  <si>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</si>
  <si>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</si>
  <si>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</si>
  <si>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</si>
  <si>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</si>
  <si>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</si>
  <si>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</si>
  <si>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</si>
  <si>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</si>
  <si>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</si>
  <si>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</si>
  <si>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</si>
  <si>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</si>
  <si>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</si>
  <si>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</si>
  <si>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</si>
  <si>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</si>
  <si>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</si>
  <si>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</si>
  <si>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</si>
  <si>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</si>
  <si>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</si>
  <si>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</si>
  <si>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</si>
  <si>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</si>
  <si>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</si>
  <si>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</si>
  <si>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</si>
  <si>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</si>
  <si>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</si>
  <si>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</si>
  <si>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</si>
  <si>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</si>
  <si>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</si>
  <si>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</si>
  <si>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</si>
  <si>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</si>
  <si>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</si>
  <si>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</si>
  <si>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</si>
  <si>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</si>
  <si>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</si>
  <si>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</si>
  <si>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</si>
  <si>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</si>
  <si>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</si>
  <si>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</si>
  <si>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</si>
  <si>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</si>
  <si>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</si>
  <si>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</si>
  <si>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</si>
  <si>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</si>
  <si>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</si>
  <si>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</si>
  <si>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</si>
  <si>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</si>
  <si>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</si>
  <si>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</si>
  <si>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</si>
  <si>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</si>
  <si>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</si>
  <si>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</si>
  <si>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</si>
  <si>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</si>
  <si>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</si>
  <si>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</si>
  <si>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</si>
  <si>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</si>
  <si>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</si>
  <si>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</si>
  <si>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</si>
  <si>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</si>
  <si>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</si>
  <si>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</si>
  <si>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</si>
  <si>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</si>
  <si>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</si>
  <si>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</si>
  <si>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</si>
  <si>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</si>
  <si>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</si>
  <si>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</si>
  <si>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</si>
  <si>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</si>
  <si>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</si>
  <si>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</si>
  <si>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</si>
  <si>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</si>
  <si>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</si>
  <si>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</si>
  <si>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</si>
  <si>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</si>
  <si>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</si>
  <si>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</si>
  <si>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</si>
  <si>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</si>
  <si>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</si>
  <si>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</si>
  <si>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</si>
  <si>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</si>
  <si>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</si>
  <si>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</si>
  <si>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</si>
  <si>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</si>
  <si>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</si>
  <si>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</si>
  <si>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</si>
  <si>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</si>
  <si>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</si>
  <si>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</si>
  <si>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</si>
  <si>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</si>
  <si>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</si>
  <si>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</si>
  <si>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</si>
  <si>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</si>
  <si>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</si>
  <si>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</si>
  <si>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</si>
  <si>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</si>
  <si>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</si>
  <si>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</si>
  <si>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</si>
  <si>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</si>
  <si>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</si>
  <si>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</si>
  <si>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</si>
  <si>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</si>
  <si>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</si>
  <si>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</si>
  <si>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</si>
  <si>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</si>
  <si>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</si>
  <si>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</si>
  <si>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</si>
  <si>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</si>
  <si>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</si>
  <si>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</si>
  <si>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</si>
  <si>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</si>
  <si>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</si>
  <si>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</si>
  <si>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</si>
  <si>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</si>
  <si>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</si>
  <si>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</si>
  <si>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</si>
  <si>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</si>
  <si>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</si>
  <si>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</si>
  <si>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</si>
  <si>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</si>
  <si>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</si>
  <si>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</si>
  <si>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</si>
  <si>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</si>
  <si>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</si>
  <si>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</si>
  <si>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</si>
  <si>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</si>
  <si>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</si>
  <si>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</si>
  <si>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</si>
  <si>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</si>
  <si>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</si>
  <si>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</si>
  <si>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</si>
  <si>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</si>
  <si>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</si>
  <si>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</si>
  <si>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</si>
  <si>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</si>
  <si>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</si>
  <si>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</si>
  <si>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</si>
  <si>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</si>
  <si>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</si>
  <si>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</si>
  <si>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</si>
  <si>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</si>
  <si>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</si>
  <si>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</si>
  <si>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</si>
  <si>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</si>
  <si>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</si>
  <si>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</si>
  <si>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</si>
  <si>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</si>
  <si>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</si>
  <si>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</si>
  <si>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</si>
  <si>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</si>
  <si>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</si>
  <si>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</si>
  <si>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</si>
  <si>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</si>
  <si>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</si>
  <si>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</si>
  <si>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</si>
  <si>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</si>
  <si>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</si>
  <si>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</si>
  <si>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</si>
  <si>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</si>
  <si>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</si>
  <si>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</si>
  <si>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</si>
  <si>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</si>
  <si>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</si>
  <si>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</si>
  <si>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</si>
  <si>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</si>
  <si>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</si>
  <si>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</si>
  <si>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</si>
  <si>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</si>
  <si>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</si>
  <si>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</si>
  <si>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</si>
  <si>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</si>
  <si>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</si>
  <si>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</si>
  <si>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</si>
  <si>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</si>
  <si>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</si>
  <si>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</si>
  <si>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</si>
  <si>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</si>
  <si>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</si>
  <si>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</si>
  <si>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</si>
  <si>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</si>
  <si>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</si>
  <si>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</si>
  <si>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</si>
  <si>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</si>
  <si>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</si>
  <si>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</si>
  <si>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</si>
  <si>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</si>
  <si>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</si>
  <si>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</si>
  <si>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</si>
  <si>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</si>
  <si>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</si>
  <si>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</si>
  <si>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</si>
  <si>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</si>
  <si>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</si>
  <si>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</si>
  <si>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</si>
  <si>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</si>
  <si>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</si>
  <si>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</si>
  <si>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</si>
  <si>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</si>
  <si>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</si>
  <si>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</si>
  <si>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</si>
  <si>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</si>
  <si>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</si>
  <si>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</si>
  <si>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</si>
  <si>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</si>
  <si>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</si>
  <si>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</si>
  <si>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</si>
  <si>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</si>
  <si>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</si>
  <si>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</si>
  <si>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</si>
  <si>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</si>
  <si>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</si>
  <si>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</si>
  <si>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</si>
  <si>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</si>
  <si>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</si>
  <si>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</si>
  <si>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</si>
  <si>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</si>
  <si>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</si>
  <si>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</si>
  <si>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</si>
  <si>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</si>
  <si>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</si>
  <si>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</si>
  <si>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</si>
  <si>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</si>
  <si>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</si>
  <si>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</si>
  <si>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</si>
  <si>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</si>
  <si>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</si>
  <si>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</si>
  <si>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</si>
  <si>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</si>
  <si>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</si>
  <si>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</si>
  <si>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</si>
  <si>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</si>
  <si>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</si>
  <si>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</si>
  <si>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</si>
  <si>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</si>
  <si>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</si>
  <si>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</si>
  <si>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</si>
  <si>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</si>
  <si>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</si>
  <si>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</si>
  <si>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</si>
  <si>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</si>
  <si>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</si>
  <si>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</si>
  <si>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</si>
  <si>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</si>
  <si>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</si>
  <si>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</si>
  <si>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</si>
  <si>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</si>
  <si>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</si>
  <si>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</si>
  <si>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</si>
  <si>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</si>
  <si>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</si>
  <si>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</si>
  <si>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</si>
  <si>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</si>
  <si>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</si>
  <si>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</si>
  <si>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</si>
  <si>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</si>
  <si>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</si>
  <si>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</si>
  <si>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</si>
  <si>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</si>
  <si>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</si>
  <si>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</si>
  <si>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</si>
  <si>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</si>
  <si>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</si>
  <si>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</si>
  <si>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</si>
  <si>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</si>
  <si>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</si>
  <si>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</si>
  <si>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</si>
  <si>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</si>
  <si>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</si>
  <si>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</si>
  <si>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</si>
  <si>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</si>
  <si>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</si>
  <si>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</si>
  <si>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</si>
  <si>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</si>
  <si>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</si>
  <si>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</si>
  <si>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</si>
  <si>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</si>
  <si>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</si>
  <si>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</si>
  <si>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</si>
  <si>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</si>
  <si>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</si>
  <si>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</si>
  <si>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</si>
  <si>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</si>
  <si>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</si>
  <si>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</si>
  <si>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</si>
  <si>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</si>
  <si>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</si>
  <si>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</si>
  <si>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</si>
  <si>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</si>
  <si>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</si>
  <si>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</si>
  <si>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</si>
  <si>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</si>
  <si>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</si>
  <si>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</si>
  <si>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</si>
  <si>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</si>
  <si>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</si>
  <si>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</si>
  <si>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</si>
  <si>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</si>
  <si>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</si>
  <si>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</si>
  <si>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</si>
  <si>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</si>
  <si>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</si>
  <si>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</si>
  <si>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</si>
  <si>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</si>
  <si>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</si>
  <si>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</si>
  <si>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</si>
  <si>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</si>
  <si>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</si>
  <si>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</si>
  <si>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</si>
  <si>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</si>
  <si>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</si>
  <si>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</si>
  <si>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</si>
  <si>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</si>
  <si>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</si>
  <si>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</si>
  <si>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</si>
  <si>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</si>
  <si>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</si>
  <si>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</si>
  <si>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</si>
  <si>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</si>
  <si>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</si>
  <si>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</si>
  <si>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</si>
  <si>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</si>
  <si>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</si>
  <si>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</si>
  <si>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</si>
  <si>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</si>
  <si>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</si>
  <si>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</si>
  <si>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</si>
  <si>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</si>
  <si>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</si>
  <si>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</si>
  <si>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</si>
  <si>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</si>
  <si>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</si>
  <si>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</si>
  <si>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</si>
  <si>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</si>
  <si>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</si>
  <si>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</si>
  <si>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</si>
  <si>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</si>
  <si>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</si>
  <si>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</si>
  <si>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</si>
  <si>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</si>
  <si>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</si>
  <si>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</si>
  <si>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</si>
  <si>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</si>
  <si>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</si>
  <si>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</si>
  <si>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</si>
  <si>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</si>
  <si>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</si>
  <si>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</si>
  <si>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</si>
  <si>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</si>
  <si>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</si>
  <si>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</si>
  <si>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</si>
  <si>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</si>
  <si>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</si>
  <si>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</si>
  <si>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</si>
  <si>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</si>
  <si>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</si>
  <si>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</si>
  <si>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</si>
  <si>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</si>
  <si>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</si>
  <si>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</si>
  <si>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</si>
  <si>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</si>
  <si>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</si>
  <si>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</si>
  <si>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</si>
  <si>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</si>
  <si>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</si>
  <si>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</si>
  <si>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</si>
  <si>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</si>
  <si>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</si>
  <si>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</si>
  <si>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</si>
  <si>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</si>
  <si>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</si>
  <si>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</si>
  <si>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</si>
  <si>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</si>
  <si>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</si>
  <si>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</si>
  <si>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</si>
  <si>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</si>
  <si>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</si>
  <si>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</si>
  <si>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</si>
  <si>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</si>
  <si>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</si>
  <si>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</si>
  <si>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</si>
  <si>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</si>
  <si>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</si>
  <si>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</si>
  <si>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</si>
  <si>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</si>
  <si>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</si>
  <si>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</si>
  <si>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</si>
  <si>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</si>
  <si>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</si>
  <si>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</si>
  <si>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</si>
  <si>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</si>
  <si>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</si>
  <si>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</si>
  <si>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</si>
  <si>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</si>
  <si>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</si>
  <si>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</si>
  <si>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</si>
  <si>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</si>
  <si>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</si>
  <si>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</si>
  <si>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</si>
  <si>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</si>
  <si>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</si>
  <si>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</si>
  <si>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</si>
  <si>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</si>
  <si>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</si>
  <si>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</si>
  <si>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</si>
  <si>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</si>
  <si>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</si>
  <si>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</si>
  <si>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</si>
  <si>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</si>
  <si>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</si>
  <si>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</si>
  <si>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</si>
  <si>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</si>
  <si>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</si>
  <si>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</si>
  <si>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</si>
  <si>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</si>
  <si>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</si>
  <si>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</si>
  <si>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</si>
  <si>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</si>
  <si>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</si>
  <si>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</si>
  <si>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</si>
  <si>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</si>
  <si>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</si>
  <si>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</si>
  <si>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</si>
  <si>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</si>
  <si>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</si>
  <si>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</si>
  <si>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</si>
  <si>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</si>
  <si>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</si>
  <si>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</si>
  <si>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</si>
  <si>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</si>
  <si>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</si>
  <si>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</si>
  <si>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</si>
  <si>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</si>
  <si>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</si>
  <si>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</si>
  <si>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</si>
  <si>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</si>
  <si>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</si>
  <si>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</si>
  <si>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</si>
  <si>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</si>
  <si>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</si>
  <si>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</si>
  <si>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</si>
  <si>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</si>
  <si>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</si>
  <si>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</si>
  <si>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</si>
  <si>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</si>
  <si>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</si>
  <si>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</si>
  <si>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</si>
  <si>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</si>
  <si>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</si>
  <si>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</si>
  <si>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</si>
  <si>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</si>
  <si>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</si>
  <si>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</si>
  <si>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</si>
  <si>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</si>
  <si>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</si>
  <si>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</si>
  <si>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</si>
  <si>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</si>
  <si>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</si>
  <si>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</si>
  <si>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</si>
  <si>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</si>
  <si>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</si>
  <si>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</si>
  <si>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</si>
  <si>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</si>
  <si>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</si>
  <si>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</si>
  <si>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</si>
  <si>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</si>
  <si>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</si>
  <si>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</si>
  <si>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</si>
  <si>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</si>
  <si>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</si>
  <si>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</si>
  <si>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</si>
  <si>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</si>
  <si>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</si>
  <si>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</si>
  <si>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</si>
  <si>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</si>
  <si>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</si>
  <si>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</si>
  <si>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</si>
  <si>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</si>
  <si>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</si>
  <si>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</si>
  <si>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</si>
  <si>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</si>
  <si>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</si>
  <si>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</si>
  <si>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</si>
  <si>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</si>
  <si>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</si>
  <si>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</si>
  <si>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</si>
  <si>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</si>
  <si>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</si>
  <si>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</si>
  <si>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</si>
  <si>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</si>
  <si>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</si>
  <si>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</si>
  <si>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</si>
  <si>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</si>
  <si>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</si>
  <si>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</si>
  <si>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</si>
  <si>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</si>
  <si>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</si>
  <si>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</si>
  <si>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</si>
  <si>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</si>
  <si>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</si>
  <si>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</si>
  <si>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</si>
  <si>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</si>
  <si>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</si>
  <si>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</si>
  <si>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</si>
  <si>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</si>
  <si>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</si>
  <si>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</si>
  <si>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</si>
  <si>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</si>
  <si>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</si>
  <si>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</si>
  <si>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</si>
  <si>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</si>
  <si>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</si>
  <si>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</si>
  <si>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</si>
  <si>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</si>
  <si>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</si>
  <si>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</si>
  <si>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</si>
  <si>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</si>
  <si>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</si>
  <si>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</si>
  <si>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</si>
  <si>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</si>
  <si>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</si>
  <si>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</si>
  <si>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</si>
  <si>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</si>
  <si>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</si>
  <si>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</si>
  <si>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17-054-404-046</t>
  </si>
  <si>
    <t>LOGAN</t>
  </si>
  <si>
    <t>LINCOLNLAND REGIONAL DELIVERY SYSTEM</t>
  </si>
  <si>
    <t>1000 RAILER WAY</t>
  </si>
  <si>
    <t>LINCOLN</t>
  </si>
  <si>
    <t>mpuckett@lchsrailers.org</t>
  </si>
  <si>
    <t>R. MATTHEW PUCKETT</t>
  </si>
  <si>
    <t>mpuckett@lchsrailers.com</t>
  </si>
  <si>
    <t>217-732-4131</t>
  </si>
  <si>
    <t>217-735-3963</t>
  </si>
  <si>
    <t>J.M. ABBOTT &amp; ASSOCIATES, LTD.</t>
  </si>
  <si>
    <t>DEBRA LAST</t>
  </si>
  <si>
    <t>207 S. MCLEAN ST.</t>
  </si>
  <si>
    <t>IL</t>
  </si>
  <si>
    <t>217-735-1576</t>
  </si>
  <si>
    <t>217-735-5866</t>
  </si>
  <si>
    <t>066-005243</t>
  </si>
  <si>
    <t>debbie@jmabbott.com</t>
  </si>
  <si>
    <t>MARK JONTRY</t>
  </si>
  <si>
    <t>jontrym@roe17.org</t>
  </si>
  <si>
    <t>309-88-5120</t>
  </si>
  <si>
    <t>309-862-0420</t>
  </si>
  <si>
    <t>38 - 46</t>
  </si>
  <si>
    <t>37</t>
  </si>
  <si>
    <t>32-33</t>
  </si>
  <si>
    <t>NONE</t>
  </si>
  <si>
    <t>Lincoln Community High School Dist #404 &amp; Lincolnland Tech Ed Center</t>
  </si>
  <si>
    <t>Page 13, Line 220, CTE Perkins - Other; Perkins Title IIC Secondary Grant</t>
  </si>
  <si>
    <t>Page 29 - The Delivery System had no contracts of $25,000 or more.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</si>
</sst>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_);_(&quot;$&quot;* \(#,##0\);_(&quot;$&quot;*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44" fontId="144" fillId="0" borderId="0" applyFont="0" applyFill="0" applyBorder="0" applyAlignment="0" applyProtection="0"/>
  </cellStyleXfs>
  <cellXfs count="262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185" fontId="58" fillId="0" borderId="0" xfId="1" applyNumberFormat="1" applyFont="1"/>
    <xf numFmtId="186" fontId="58" fillId="0" borderId="196" xfId="21" applyNumberFormat="1" applyFont="1" applyBorder="1"/>
    <xf numFmtId="185" fontId="58" fillId="0" borderId="0" xfId="1" applyNumberFormat="1" applyFont="1" applyBorder="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 5 2" xfId="19" xr:uid="{00000000-0005-0000-0000-00000B000000}"/>
    <cellStyle name="Normal 6" xfId="20"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THRESHOLD CALCULATOR v3" xfId="13" xr:uid="{00000000-0005-0000-0000-000015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19050</xdr:rowOff>
        </xdr:from>
        <xdr:to>
          <xdr:col>1</xdr:col>
          <xdr:colOff>990600</xdr:colOff>
          <xdr:row>5</xdr:row>
          <xdr:rowOff>57150</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14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6</xdr:row>
          <xdr:rowOff>114300</xdr:rowOff>
        </xdr:from>
        <xdr:to>
          <xdr:col>1</xdr:col>
          <xdr:colOff>971550</xdr:colOff>
          <xdr:row>10</xdr:row>
          <xdr:rowOff>152400</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00000000-0008-0000-1400-000007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1428750</xdr:colOff>
          <xdr:row>1</xdr:row>
          <xdr:rowOff>47625</xdr:rowOff>
        </xdr:from>
        <xdr:to>
          <xdr:col>1</xdr:col>
          <xdr:colOff>2343150</xdr:colOff>
          <xdr:row>5</xdr:row>
          <xdr:rowOff>85725</xdr:rowOff>
        </xdr:to>
        <xdr:sp macro="" textlink="">
          <xdr:nvSpPr>
            <xdr:cNvPr id="56328" name="Object 8" hidden="1">
              <a:extLst>
                <a:ext uri="{63B3BB69-23CF-44E3-9099-C40C66FF867C}">
                  <a14:compatExt spid="_x0000_s56328"/>
                </a:ext>
                <a:ext uri="{FF2B5EF4-FFF2-40B4-BE49-F238E27FC236}">
                  <a16:creationId xmlns:a16="http://schemas.microsoft.com/office/drawing/2014/main" id="{00000000-0008-0000-1400-000008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1" sqref="A11:H11"/>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2003</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c r="C5" s="26" t="s">
        <v>904</v>
      </c>
      <c r="D5" s="81"/>
      <c r="E5" s="81"/>
      <c r="H5" s="38"/>
      <c r="I5" s="2090" t="s">
        <v>675</v>
      </c>
      <c r="J5" s="2089"/>
      <c r="K5" s="2089"/>
      <c r="L5" s="2089"/>
      <c r="M5" s="2089"/>
      <c r="N5" s="2089"/>
      <c r="O5" s="2089"/>
      <c r="P5" s="2089"/>
      <c r="Q5" s="2089"/>
      <c r="R5" s="2089"/>
      <c r="S5" s="2089"/>
      <c r="AF5" s="1827"/>
    </row>
    <row r="6" spans="1:32" ht="14.1" customHeight="1" x14ac:dyDescent="0.2">
      <c r="B6" s="101" t="s">
        <v>2048</v>
      </c>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2048</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t="s">
        <v>2049</v>
      </c>
      <c r="B13" s="2102"/>
      <c r="C13" s="2102"/>
      <c r="D13" s="2102"/>
      <c r="E13" s="2102"/>
      <c r="F13" s="2102"/>
      <c r="G13" s="2102"/>
      <c r="H13" s="2103"/>
      <c r="I13" s="31"/>
      <c r="J13" s="30"/>
      <c r="K13" s="28"/>
      <c r="L13" s="30"/>
      <c r="M13" s="30"/>
      <c r="N13" s="30"/>
      <c r="O13" s="30"/>
      <c r="P13" s="30"/>
      <c r="Q13" s="30"/>
      <c r="R13" s="30"/>
      <c r="S13" s="30"/>
      <c r="T13" s="2107" t="s">
        <v>2059</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2050</v>
      </c>
      <c r="B15" s="2105"/>
      <c r="C15" s="2105"/>
      <c r="D15" s="2105"/>
      <c r="E15" s="2105"/>
      <c r="F15" s="2105"/>
      <c r="G15" s="2105"/>
      <c r="H15" s="2106"/>
      <c r="T15" s="2111" t="s">
        <v>2060</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2051</v>
      </c>
      <c r="B17" s="2075"/>
      <c r="C17" s="2075"/>
      <c r="D17" s="2075"/>
      <c r="E17" s="2075"/>
      <c r="F17" s="2075"/>
      <c r="G17" s="2075"/>
      <c r="H17" s="2100"/>
      <c r="T17" s="2118" t="s">
        <v>2061</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2052</v>
      </c>
      <c r="B19" s="2060"/>
      <c r="C19" s="2060"/>
      <c r="D19" s="2060"/>
      <c r="E19" s="2060"/>
      <c r="F19" s="2060"/>
      <c r="G19" s="2060"/>
      <c r="H19" s="2040"/>
      <c r="I19" s="30"/>
      <c r="J19" s="96"/>
      <c r="K19" s="40"/>
      <c r="L19" s="38"/>
      <c r="M19" s="109" t="s">
        <v>312</v>
      </c>
      <c r="P19" s="27"/>
      <c r="Q19" s="27"/>
      <c r="R19" s="27"/>
      <c r="S19" s="31"/>
      <c r="T19" s="2104" t="s">
        <v>2053</v>
      </c>
      <c r="U19" s="2039"/>
      <c r="V19" s="2039"/>
      <c r="W19" s="2040"/>
      <c r="X19" s="2116" t="s">
        <v>2062</v>
      </c>
      <c r="Y19" s="2117"/>
      <c r="Z19" s="2114">
        <v>62656</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2053</v>
      </c>
      <c r="B21" s="2039"/>
      <c r="C21" s="2039"/>
      <c r="D21" s="2039"/>
      <c r="E21" s="2039"/>
      <c r="F21" s="2039"/>
      <c r="G21" s="2039"/>
      <c r="H21" s="2040"/>
      <c r="I21" s="2094" t="s">
        <v>673</v>
      </c>
      <c r="J21" s="2089"/>
      <c r="K21" s="2089"/>
      <c r="L21" s="2089"/>
      <c r="M21" s="2089"/>
      <c r="N21" s="2089"/>
      <c r="O21" s="2089"/>
      <c r="P21" s="2089"/>
      <c r="Q21" s="2089"/>
      <c r="R21" s="2089"/>
      <c r="S21" s="2095"/>
      <c r="T21" s="2129" t="s">
        <v>2063</v>
      </c>
      <c r="U21" s="2130"/>
      <c r="V21" s="2130"/>
      <c r="W21" s="2130"/>
      <c r="X21" s="2135" t="s">
        <v>2064</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t="s">
        <v>2054</v>
      </c>
      <c r="B23" s="2092"/>
      <c r="C23" s="2092"/>
      <c r="D23" s="2092"/>
      <c r="E23" s="2092"/>
      <c r="F23" s="2092"/>
      <c r="G23" s="2092"/>
      <c r="H23" s="2093"/>
      <c r="T23" s="2074" t="s">
        <v>2065</v>
      </c>
      <c r="U23" s="2128"/>
      <c r="V23" s="2128"/>
      <c r="W23" s="2128"/>
      <c r="X23" s="2132">
        <v>44530</v>
      </c>
      <c r="Y23" s="2133"/>
      <c r="Z23" s="2133"/>
      <c r="AA23" s="2134"/>
    </row>
    <row r="24" spans="1:27" ht="14.1" customHeight="1" x14ac:dyDescent="0.2">
      <c r="A24" s="85" t="s">
        <v>672</v>
      </c>
      <c r="B24" s="46"/>
      <c r="C24" s="46"/>
      <c r="D24" s="46"/>
      <c r="E24" s="46"/>
      <c r="F24" s="46"/>
      <c r="G24" s="46"/>
      <c r="H24" s="58"/>
      <c r="J24" s="2061" t="str">
        <f>IF(B5="x",IF(AUDITCHECK!D29="AFR form Incomplete.","",IF(AUDITCHECK!D29="Deficit reduction plan is required.","School District must complete a deficit reduction plan in the 2019-2020 Budget",)),"")</f>
        <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62656</v>
      </c>
      <c r="B25" s="2039"/>
      <c r="C25" s="2039"/>
      <c r="D25" s="2039"/>
      <c r="E25" s="2039"/>
      <c r="F25" s="2039"/>
      <c r="G25" s="2039"/>
      <c r="H25" s="2040"/>
      <c r="I25" s="110"/>
      <c r="J25" s="2063"/>
      <c r="K25" s="2063"/>
      <c r="L25" s="2063"/>
      <c r="M25" s="2063"/>
      <c r="N25" s="2063"/>
      <c r="O25" s="2063"/>
      <c r="P25" s="2063"/>
      <c r="Q25" s="2063"/>
      <c r="R25" s="2063"/>
      <c r="S25" s="2064"/>
      <c r="T25" s="2125" t="s">
        <v>2066</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2048</v>
      </c>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99"/>
      <c r="K30" s="28" t="s">
        <v>572</v>
      </c>
      <c r="L30" s="144" t="s">
        <v>2048</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2055</v>
      </c>
      <c r="B38" s="2075"/>
      <c r="C38" s="2075"/>
      <c r="D38" s="2075"/>
      <c r="E38" s="2075"/>
      <c r="F38" s="2039"/>
      <c r="G38" s="2039"/>
      <c r="H38" s="2040"/>
      <c r="I38" s="2067"/>
      <c r="J38" s="2068"/>
      <c r="K38" s="2068"/>
      <c r="L38" s="2068"/>
      <c r="M38" s="2068"/>
      <c r="N38" s="2068"/>
      <c r="O38" s="2068"/>
      <c r="P38" s="2069"/>
      <c r="Q38" s="2069"/>
      <c r="R38" s="2069"/>
      <c r="S38" s="2070"/>
      <c r="T38" s="2111" t="s">
        <v>2067</v>
      </c>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2056</v>
      </c>
      <c r="B40" s="2053"/>
      <c r="C40" s="2054"/>
      <c r="D40" s="2054"/>
      <c r="E40" s="2054"/>
      <c r="F40" s="2055"/>
      <c r="G40" s="2055"/>
      <c r="H40" s="2056"/>
      <c r="I40" s="2077"/>
      <c r="J40" s="2078"/>
      <c r="K40" s="2078"/>
      <c r="L40" s="2078"/>
      <c r="M40" s="2078"/>
      <c r="N40" s="2078"/>
      <c r="O40" s="2078"/>
      <c r="P40" s="2078"/>
      <c r="Q40" s="2078"/>
      <c r="R40" s="2078"/>
      <c r="S40" s="2079"/>
      <c r="T40" s="2077" t="s">
        <v>2068</v>
      </c>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2057</v>
      </c>
      <c r="B42" s="2058"/>
      <c r="C42" s="2059"/>
      <c r="D42" s="2057" t="s">
        <v>2058</v>
      </c>
      <c r="E42" s="2058"/>
      <c r="F42" s="2058"/>
      <c r="G42" s="2058"/>
      <c r="H42" s="2059"/>
      <c r="I42" s="2041"/>
      <c r="J42" s="2042"/>
      <c r="K42" s="2042"/>
      <c r="L42" s="2042"/>
      <c r="M42" s="2042"/>
      <c r="N42" s="2042"/>
      <c r="O42" s="2043"/>
      <c r="P42" s="2076"/>
      <c r="Q42" s="2042"/>
      <c r="R42" s="2042"/>
      <c r="S42" s="2043"/>
      <c r="T42" s="2041" t="s">
        <v>2069</v>
      </c>
      <c r="U42" s="2042"/>
      <c r="V42" s="2042"/>
      <c r="W42" s="2043"/>
      <c r="X42" s="2076" t="s">
        <v>2070</v>
      </c>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2" right="0.2" top="0.75" bottom="0.52" header="0.14000000000000001"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11" sqref="A11:J1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3" right="0.15" top="1.65" bottom="0.52" header="0.94" footer="0.2"/>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11" sqref="A11:J1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1779</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2006</v>
      </c>
      <c r="B24" s="2305"/>
      <c r="C24" s="2299"/>
      <c r="D24" s="2300"/>
      <c r="E24" s="2300"/>
      <c r="F24" s="2301"/>
    </row>
    <row r="25" spans="1:11" ht="13.5" thickBot="1" x14ac:dyDescent="0.25">
      <c r="A25" s="2306" t="s">
        <v>2007</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 bottom="0" header="0.35" footer="0.05"/>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activeCell="A11" sqref="A11:J1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1789</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3" t="s">
        <v>1790</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0</v>
      </c>
      <c r="I12" s="1755">
        <f>SUM(I5:I11)</f>
        <v>0</v>
      </c>
      <c r="J12" s="1755">
        <f>SUM(J5:J11)</f>
        <v>0</v>
      </c>
      <c r="K12" s="1755">
        <f>SUM(K5:K11)</f>
        <v>0</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c r="I14" s="1749"/>
      <c r="J14" s="1751"/>
      <c r="K14" s="1745"/>
    </row>
    <row r="15" spans="1:11" x14ac:dyDescent="0.2">
      <c r="A15" s="2324" t="s">
        <v>4</v>
      </c>
      <c r="B15" s="2324"/>
      <c r="C15" s="2324"/>
      <c r="D15" s="2324"/>
      <c r="E15" s="2325"/>
      <c r="F15" s="635" t="s">
        <v>850</v>
      </c>
      <c r="G15" s="1749"/>
      <c r="H15" s="1744"/>
      <c r="I15" s="1744"/>
      <c r="J15" s="1745"/>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1786</v>
      </c>
      <c r="B19" s="2332"/>
      <c r="C19" s="2332"/>
      <c r="D19" s="2332"/>
      <c r="E19" s="2333"/>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1792</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25" right="0.25" top="0.75" bottom="0.5" header="0.45" footer="0.1"/>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11" sqref="A11:J1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118407</v>
      </c>
      <c r="D12" s="1771">
        <v>28276</v>
      </c>
      <c r="E12" s="1771">
        <v>12141</v>
      </c>
      <c r="F12" s="1765">
        <f>(C12+D12)-E12</f>
        <v>134542</v>
      </c>
      <c r="G12" s="681">
        <v>10</v>
      </c>
      <c r="H12" s="619"/>
      <c r="I12" s="619"/>
      <c r="J12" s="619"/>
      <c r="K12" s="1442">
        <f>(H12+I12)-J12</f>
        <v>0</v>
      </c>
      <c r="L12" s="1442">
        <f>F12-K12</f>
        <v>134542</v>
      </c>
    </row>
    <row r="13" spans="1:14" ht="14.25" thickTop="1" thickBot="1" x14ac:dyDescent="0.25">
      <c r="A13" s="684" t="s">
        <v>1112</v>
      </c>
      <c r="B13" s="679">
        <v>252</v>
      </c>
      <c r="C13" s="1771">
        <v>51303</v>
      </c>
      <c r="D13" s="1771">
        <v>9355</v>
      </c>
      <c r="E13" s="1771">
        <v>10016</v>
      </c>
      <c r="F13" s="1765">
        <f>(C13+D13)-E13</f>
        <v>50642</v>
      </c>
      <c r="G13" s="681">
        <v>5</v>
      </c>
      <c r="H13" s="619"/>
      <c r="I13" s="619"/>
      <c r="J13" s="619"/>
      <c r="K13" s="1442">
        <f>(H13+I13)-J13</f>
        <v>0</v>
      </c>
      <c r="L13" s="1442">
        <f>F13-K13</f>
        <v>50642</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169710</v>
      </c>
      <c r="D16" s="1765">
        <f>SUM(D3,D5:D6,D8:D10,D12:D15)</f>
        <v>37631</v>
      </c>
      <c r="E16" s="1765">
        <f>SUM(E3,E5:E6,E8:E10,E12:E15)</f>
        <v>22157</v>
      </c>
      <c r="F16" s="1765">
        <f>SUM(F3,F5:F6,F8:F10,F12:F15)</f>
        <v>185184</v>
      </c>
      <c r="G16" s="681"/>
      <c r="H16" s="1435">
        <f>SUM(H3,H6,H8:H10,H12:H14,)</f>
        <v>0</v>
      </c>
      <c r="I16" s="1435">
        <f>SUM(I3,I6,I8:I10,I12:I14,)</f>
        <v>0</v>
      </c>
      <c r="J16" s="1435">
        <f>SUM(J3,J6,J8:J10,J12:J14,)</f>
        <v>0</v>
      </c>
      <c r="K16" s="1435">
        <f>(H16+I16)-J16</f>
        <v>0</v>
      </c>
      <c r="L16" s="1435">
        <f>F16-K16</f>
        <v>185184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0.9" bottom="0.75" header="0.5" footer="0.3"/>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A11" sqref="A11:J1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357005</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357005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231819</v>
      </c>
      <c r="G53" s="701"/>
    </row>
    <row r="54" spans="1:7" x14ac:dyDescent="0.2">
      <c r="A54" s="705" t="s">
        <v>456</v>
      </c>
      <c r="B54" s="705" t="s">
        <v>1459</v>
      </c>
      <c r="C54" s="724" t="s">
        <v>975</v>
      </c>
      <c r="D54" s="720" t="s">
        <v>1086</v>
      </c>
      <c r="E54" s="704"/>
      <c r="F54" s="1782">
        <f>'Expenditures 15-22'!G114</f>
        <v>37631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269450</v>
      </c>
      <c r="G77" s="701"/>
    </row>
    <row r="78" spans="1:9" s="728" customFormat="1" ht="12" customHeight="1" thickTop="1" thickBot="1" x14ac:dyDescent="0.25">
      <c r="A78" s="1450"/>
      <c r="B78" s="1448"/>
      <c r="C78" s="1445"/>
      <c r="D78" s="1449" t="s">
        <v>2012</v>
      </c>
      <c r="E78" s="1447"/>
      <c r="F78" s="1788">
        <f>(F14-F77)</f>
        <v>87555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73718</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56573</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130291</v>
      </c>
    </row>
    <row r="176" spans="1:7" ht="12" customHeight="1" x14ac:dyDescent="0.2">
      <c r="A176" s="1443"/>
      <c r="B176" s="1453"/>
      <c r="C176" s="1454"/>
      <c r="D176" s="1455" t="s">
        <v>2014</v>
      </c>
      <c r="E176" s="1456"/>
      <c r="F176" s="1793">
        <f>'PCTC-OEPP 27-28'!F78-F175</f>
        <v>-42736</v>
      </c>
    </row>
    <row r="177" spans="1:9" ht="12" customHeight="1" x14ac:dyDescent="0.2">
      <c r="A177" s="1443"/>
      <c r="B177" s="1453"/>
      <c r="C177" s="1454"/>
      <c r="D177" s="1455" t="s">
        <v>1794</v>
      </c>
      <c r="E177" s="1456"/>
      <c r="F177" s="1793">
        <f>'Cap Outlay Deprec 26'!I18</f>
        <v>0</v>
      </c>
    </row>
    <row r="178" spans="1:9" ht="12" customHeight="1" x14ac:dyDescent="0.2">
      <c r="A178" s="1443"/>
      <c r="B178" s="1453"/>
      <c r="C178" s="1454"/>
      <c r="D178" s="1455" t="s">
        <v>2015</v>
      </c>
      <c r="E178" s="1456"/>
      <c r="F178" s="1793">
        <f>F176+F177</f>
        <v>-42736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52" bottom="0.52"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27"/>
  <sheetViews>
    <sheetView showGridLines="0" topLeftCell="A10" zoomScaleNormal="100" workbookViewId="0">
      <selection activeCell="A11" sqref="A11:J11"/>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2"/>
  </cols>
  <sheetData>
    <row r="1" spans="1:6" ht="15" customHeight="1" x14ac:dyDescent="0.25">
      <c r="A1" s="1859" t="s">
        <v>1807</v>
      </c>
      <c r="B1" s="1860"/>
      <c r="C1" s="1861"/>
      <c r="D1" s="1861"/>
      <c r="E1" s="1861"/>
      <c r="F1" s="1861"/>
    </row>
    <row r="2" spans="1:6" x14ac:dyDescent="0.25">
      <c r="A2" s="1863"/>
      <c r="B2" s="1864"/>
      <c r="C2" s="1911"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0" t="s">
        <v>1987</v>
      </c>
      <c r="B8" s="1901"/>
      <c r="C8" s="1901"/>
      <c r="D8" s="1901"/>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5" t="s">
        <v>1799</v>
      </c>
      <c r="C17" s="1881" t="s">
        <v>1797</v>
      </c>
      <c r="D17" s="1882">
        <v>500000</v>
      </c>
      <c r="E17" s="1882" t="str">
        <f>IF(D17&lt;25000,D17,"25,000")</f>
        <v>25,000</v>
      </c>
      <c r="F17" s="1883">
        <f>IF(D17&gt;=25000,(D17-E17),"0")</f>
        <v>475000</v>
      </c>
    </row>
    <row r="18" spans="1:7" x14ac:dyDescent="0.25">
      <c r="A18" s="2034" t="s">
        <v>2074</v>
      </c>
      <c r="B18" s="1906"/>
      <c r="C18" s="1912"/>
      <c r="D18" s="1884"/>
      <c r="E18" s="1904">
        <f t="shared" ref="E18:E23" si="0">IF(D18&lt;25000,D18,"25,000")</f>
        <v>0</v>
      </c>
      <c r="F18" s="1904" t="str">
        <f t="shared" ref="F18:F23" si="1">IF(D18&gt;=25000,(D18-E18),"0")</f>
        <v>0</v>
      </c>
      <c r="G18" s="1885"/>
    </row>
    <row r="19" spans="1:7" x14ac:dyDescent="0.25">
      <c r="A19" s="1886"/>
      <c r="B19" s="1906"/>
      <c r="C19" s="1887"/>
      <c r="D19" s="1884"/>
      <c r="E19" s="1904">
        <f t="shared" si="0"/>
        <v>0</v>
      </c>
      <c r="F19" s="1904" t="str">
        <f t="shared" si="1"/>
        <v>0</v>
      </c>
    </row>
    <row r="20" spans="1:7" x14ac:dyDescent="0.25">
      <c r="A20" s="1886"/>
      <c r="B20" s="1906"/>
      <c r="C20" s="1887"/>
      <c r="D20" s="1884"/>
      <c r="E20" s="1904">
        <f t="shared" si="0"/>
        <v>0</v>
      </c>
      <c r="F20" s="1904" t="str">
        <f t="shared" si="1"/>
        <v>0</v>
      </c>
    </row>
    <row r="21" spans="1:7" x14ac:dyDescent="0.25">
      <c r="A21" s="1886"/>
      <c r="B21" s="1906"/>
      <c r="C21" s="1887"/>
      <c r="D21" s="1884"/>
      <c r="E21" s="1904">
        <f t="shared" si="0"/>
        <v>0</v>
      </c>
      <c r="F21" s="1904" t="str">
        <f t="shared" si="1"/>
        <v>0</v>
      </c>
    </row>
    <row r="22" spans="1:7" x14ac:dyDescent="0.25">
      <c r="A22" s="1886"/>
      <c r="B22" s="1906"/>
      <c r="C22" s="1887"/>
      <c r="D22" s="1884"/>
      <c r="E22" s="1904">
        <f t="shared" si="0"/>
        <v>0</v>
      </c>
      <c r="F22" s="1904" t="str">
        <f t="shared" si="1"/>
        <v>0</v>
      </c>
    </row>
    <row r="23" spans="1:7" x14ac:dyDescent="0.25">
      <c r="A23" s="1886"/>
      <c r="B23" s="1906"/>
      <c r="C23" s="1887"/>
      <c r="D23" s="1884"/>
      <c r="E23" s="1904">
        <f t="shared" si="0"/>
        <v>0</v>
      </c>
      <c r="F23" s="1904" t="str">
        <f t="shared" si="1"/>
        <v>0</v>
      </c>
    </row>
    <row r="24" spans="1:7" x14ac:dyDescent="0.25">
      <c r="A24" s="1886"/>
      <c r="B24" s="1907"/>
      <c r="C24" s="1887"/>
      <c r="D24" s="1884"/>
      <c r="E24" s="1904">
        <f t="shared" ref="E24:E26" si="2">IF(D24&lt;25000,D24,"25,000")</f>
        <v>0</v>
      </c>
      <c r="F24" s="1904" t="str">
        <f t="shared" ref="F24:F26" si="3">IF(D24&gt;=25000,(D24-E24),"0")</f>
        <v>0</v>
      </c>
    </row>
    <row r="25" spans="1:7" x14ac:dyDescent="0.25">
      <c r="A25" s="1886"/>
      <c r="B25" s="1907"/>
      <c r="C25" s="1887"/>
      <c r="D25" s="1884"/>
      <c r="E25" s="1904">
        <f t="shared" si="2"/>
        <v>0</v>
      </c>
      <c r="F25" s="1904" t="str">
        <f t="shared" si="3"/>
        <v>0</v>
      </c>
    </row>
    <row r="26" spans="1:7" x14ac:dyDescent="0.25">
      <c r="A26" s="1886"/>
      <c r="B26" s="1908"/>
      <c r="C26" s="1887"/>
      <c r="D26" s="1884"/>
      <c r="E26" s="1904">
        <f t="shared" si="2"/>
        <v>0</v>
      </c>
      <c r="F26" s="1904" t="str">
        <f t="shared" si="3"/>
        <v>0</v>
      </c>
    </row>
    <row r="27" spans="1:7" x14ac:dyDescent="0.25">
      <c r="A27" s="1888" t="s">
        <v>155</v>
      </c>
      <c r="B27" s="1909"/>
      <c r="C27" s="1889"/>
      <c r="D27" s="1890">
        <f>SUM(D18:D26)</f>
        <v>0</v>
      </c>
      <c r="E27" s="1891">
        <f>SUM(E18:E26)</f>
        <v>0</v>
      </c>
      <c r="F27" s="1892">
        <f>SUM(F18:F26)</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2" colorId="8" zoomScale="110" zoomScaleNormal="110" workbookViewId="0">
      <selection activeCell="A11" sqref="A11:J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87555</v>
      </c>
      <c r="F19" s="1802"/>
      <c r="G19" s="1804">
        <f>'Expenditures 15-22'!K33-SUM('Expenditures 15-22'!G33,'Expenditures 15-22'!I33)+'Expenditures 15-22'!D229</f>
        <v>87555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0</v>
      </c>
      <c r="F21" s="1805"/>
      <c r="G21" s="1808">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560</v>
      </c>
      <c r="B22" s="825"/>
      <c r="C22" s="823">
        <v>2200</v>
      </c>
      <c r="D22" s="1805"/>
      <c r="E22" s="1807">
        <f>'Expenditures 15-22'!K47-SUM('Expenditures 15-22'!G47,'Expenditures 15-22'!I47)+'Expenditures 15-22'!D243</f>
        <v>0</v>
      </c>
      <c r="F22" s="1805"/>
      <c r="G22" s="1808">
        <f>'Expenditures 15-22'!K47-SUM('Expenditures 15-22'!G47,'Expenditures 15-22'!I47)+'Expenditures 15-22'!D243</f>
        <v>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0</v>
      </c>
      <c r="F23" s="1805"/>
      <c r="G23" s="1807">
        <f>'Expenditures 15-22'!K53-SUM('Expenditures 15-22'!G53,'Expenditures 15-22'!I53)+'Expenditures 15-22'!D257+'Expenditures 15-22'!K330-SUM('Expenditures 15-22'!G330,'Expenditures 15-22'!I330)</f>
        <v>0</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0</v>
      </c>
      <c r="F28" s="1809">
        <f>'Expenditures 15-22'!K61-SUM('Expenditures 15-22'!G61,'Expenditures 15-22'!I61)+'Expenditures 15-22'!K124-SUM('Expenditures 15-22'!G124,'Expenditures 15-22'!I124)+'Expenditures 15-22'!D266-E9</f>
        <v>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29'!F27</f>
        <v>0</v>
      </c>
      <c r="F40" s="1805"/>
      <c r="G40" s="1809">
        <f>-'Contracts Paid in CY 29'!F27</f>
        <v>0</v>
      </c>
    </row>
    <row r="41" spans="1:7" ht="12" customHeight="1" x14ac:dyDescent="0.2">
      <c r="A41" s="828" t="s">
        <v>155</v>
      </c>
      <c r="B41" s="829"/>
      <c r="C41" s="830"/>
      <c r="D41" s="1809">
        <f>SUM(D19:D39)</f>
        <v>0</v>
      </c>
      <c r="E41" s="1809">
        <f>SUM(E19:E40)</f>
        <v>87555</v>
      </c>
      <c r="F41" s="1809">
        <f>SUM(F19:F39)</f>
        <v>0</v>
      </c>
      <c r="G41" s="1809">
        <f>SUM(G19:G40)</f>
        <v>87555</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0</v>
      </c>
      <c r="F43" s="1458" t="s">
        <v>470</v>
      </c>
      <c r="G43" s="1810">
        <f>F41</f>
        <v>0</v>
      </c>
    </row>
    <row r="44" spans="1:7" ht="12" customHeight="1" x14ac:dyDescent="0.2">
      <c r="A44" s="817"/>
      <c r="B44" s="157"/>
      <c r="C44" s="831"/>
      <c r="D44" s="1458" t="s">
        <v>471</v>
      </c>
      <c r="E44" s="1810">
        <f>E41</f>
        <v>87555</v>
      </c>
      <c r="F44" s="1458" t="s">
        <v>471</v>
      </c>
      <c r="G44" s="1810">
        <f>G41</f>
        <v>87555</v>
      </c>
    </row>
    <row r="45" spans="1:7" ht="12" customHeight="1" x14ac:dyDescent="0.2">
      <c r="A45" s="817"/>
      <c r="B45" s="157"/>
      <c r="C45" s="157"/>
      <c r="D45" s="1459" t="s">
        <v>999</v>
      </c>
      <c r="E45" s="1811">
        <f>(E43/E44)</f>
        <v>0</v>
      </c>
      <c r="F45" s="1459" t="s">
        <v>999</v>
      </c>
      <c r="G45" s="1811">
        <f>(G43/G44)</f>
        <v>0</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8" bottom="0.3" header="0.5" footer="0.05"/>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16" zoomScale="110" zoomScaleNormal="110" workbookViewId="0">
      <selection activeCell="A11" sqref="A11:J1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LINCOLNLAND REGIONAL DELIVERY SYSTEM</v>
      </c>
      <c r="D6" s="2416"/>
      <c r="E6" s="2416"/>
      <c r="F6" s="1482"/>
      <c r="G6" s="1507"/>
      <c r="L6" s="1507"/>
      <c r="M6" s="1855"/>
      <c r="N6" s="1855"/>
      <c r="O6" s="1855"/>
    </row>
    <row r="7" spans="1:15" ht="11.25" customHeight="1" thickBot="1" x14ac:dyDescent="0.3">
      <c r="A7" s="1480"/>
      <c r="B7" s="1481"/>
      <c r="C7" s="2417" t="str">
        <f>COVER!A13</f>
        <v>17-054-404-046</v>
      </c>
      <c r="D7" s="2417"/>
      <c r="E7" s="241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2048</v>
      </c>
      <c r="D25" s="1495" t="s">
        <v>2048</v>
      </c>
      <c r="E25" s="1498"/>
      <c r="F25" s="1497" t="s">
        <v>2075</v>
      </c>
      <c r="G25" s="1507"/>
      <c r="H25" s="1507">
        <f t="shared" si="0"/>
        <v>5</v>
      </c>
      <c r="I25" s="1507">
        <f t="shared" si="1"/>
        <v>5</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0</v>
      </c>
      <c r="K34" s="1507">
        <f>SUM(H34:J34)</f>
        <v>10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 right="0.2" top="0.9" bottom="0.37" header="0.17" footer="0.25"/>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E14" sqref="E14"/>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2002</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38" t="str">
        <f>COVER!A17</f>
        <v>LINCOLNLAND REGIONAL DELIVERY SYSTEM</v>
      </c>
      <c r="K6" s="2438"/>
      <c r="L6" s="2452"/>
      <c r="M6" s="838"/>
      <c r="N6" s="1997"/>
    </row>
    <row r="7" spans="1:14" x14ac:dyDescent="0.2">
      <c r="A7" s="2453" t="s">
        <v>864</v>
      </c>
      <c r="B7" s="2454"/>
      <c r="C7" s="2454"/>
      <c r="D7" s="2454"/>
      <c r="E7" s="2455"/>
      <c r="F7" s="839"/>
      <c r="G7" s="838"/>
      <c r="H7" s="838"/>
      <c r="I7" s="1923" t="s">
        <v>369</v>
      </c>
      <c r="J7" s="2440" t="str">
        <f>COVER!A13</f>
        <v>17-054-404-046</v>
      </c>
      <c r="K7" s="2440"/>
      <c r="L7" s="2440"/>
      <c r="M7" s="838"/>
      <c r="N7" s="1997"/>
    </row>
    <row r="8" spans="1:14" x14ac:dyDescent="0.2">
      <c r="A8" s="1999"/>
      <c r="B8" s="1924"/>
      <c r="C8" s="1924"/>
      <c r="D8" s="1924"/>
      <c r="E8" s="1925"/>
      <c r="F8" s="1926"/>
      <c r="G8" s="1910"/>
      <c r="H8" s="1910"/>
      <c r="I8" s="1910"/>
      <c r="J8" s="1910"/>
      <c r="K8" s="1910"/>
      <c r="L8" s="1910"/>
      <c r="M8" s="838"/>
      <c r="N8" s="1997"/>
    </row>
    <row r="9" spans="1:14" x14ac:dyDescent="0.2">
      <c r="A9" s="2000"/>
      <c r="B9" s="840"/>
      <c r="C9" s="840"/>
      <c r="D9" s="841"/>
      <c r="E9" s="1927" t="s">
        <v>2018</v>
      </c>
      <c r="F9" s="1857"/>
      <c r="G9" s="1857"/>
      <c r="H9" s="1857"/>
      <c r="I9" s="1928" t="s">
        <v>2019</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56" t="s">
        <v>478</v>
      </c>
      <c r="B11" s="2457"/>
      <c r="C11" s="2458"/>
      <c r="D11" s="1936" t="s">
        <v>866</v>
      </c>
      <c r="E11" s="1936" t="s">
        <v>64</v>
      </c>
      <c r="F11" s="1936" t="s">
        <v>6</v>
      </c>
      <c r="G11" s="1937" t="s">
        <v>2020</v>
      </c>
      <c r="H11" s="1938" t="s">
        <v>155</v>
      </c>
      <c r="I11" s="1936" t="s">
        <v>64</v>
      </c>
      <c r="J11" s="1936" t="s">
        <v>6</v>
      </c>
      <c r="K11" s="1937" t="s">
        <v>2001</v>
      </c>
      <c r="L11" s="1938" t="s">
        <v>155</v>
      </c>
      <c r="M11" s="838"/>
      <c r="N11" s="1997"/>
    </row>
    <row r="12" spans="1:14" x14ac:dyDescent="0.2">
      <c r="A12" s="2002">
        <v>1</v>
      </c>
      <c r="B12" s="1939" t="s">
        <v>813</v>
      </c>
      <c r="C12" s="842"/>
      <c r="D12" s="1940">
        <v>2320</v>
      </c>
      <c r="E12" s="1943">
        <f>'Expenditures 15-22'!K50</f>
        <v>0</v>
      </c>
      <c r="F12" s="1941"/>
      <c r="G12" s="1967">
        <f>G68</f>
        <v>0</v>
      </c>
      <c r="H12" s="1943">
        <f t="shared" ref="H12:H18" si="0">SUM(E12:G12)</f>
        <v>0</v>
      </c>
      <c r="I12" s="1942"/>
      <c r="J12" s="1941"/>
      <c r="K12" s="1942"/>
      <c r="L12" s="1943">
        <f t="shared" ref="L12:L18" si="1">SUM(I12:K12)</f>
        <v>0</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59" t="s">
        <v>7</v>
      </c>
      <c r="C18" s="2460"/>
      <c r="D18" s="2461"/>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0</v>
      </c>
      <c r="F19" s="1949">
        <f t="shared" si="2"/>
        <v>0</v>
      </c>
      <c r="G19" s="1949">
        <f t="shared" ref="G19" si="3">SUM(G12:G17)-G18</f>
        <v>0</v>
      </c>
      <c r="H19" s="1949">
        <f t="shared" si="2"/>
        <v>0</v>
      </c>
      <c r="I19" s="1949">
        <f t="shared" si="2"/>
        <v>0</v>
      </c>
      <c r="J19" s="1949">
        <f t="shared" si="2"/>
        <v>0</v>
      </c>
      <c r="K19" s="1949">
        <f t="shared" si="2"/>
        <v>0</v>
      </c>
      <c r="L19" s="1949">
        <f t="shared" si="2"/>
        <v>0</v>
      </c>
      <c r="M19" s="838"/>
      <c r="N19" s="1997"/>
    </row>
    <row r="20" spans="1:14" ht="13.5" thickTop="1" x14ac:dyDescent="0.2">
      <c r="A20" s="2002">
        <v>9</v>
      </c>
      <c r="B20" s="2462" t="s">
        <v>2021</v>
      </c>
      <c r="C20" s="2462"/>
      <c r="D20" s="2463"/>
      <c r="E20" s="1950"/>
      <c r="F20" s="1950"/>
      <c r="G20" s="1950"/>
      <c r="H20" s="1950"/>
      <c r="I20" s="1950"/>
      <c r="J20" s="1950"/>
      <c r="K20" s="1950"/>
      <c r="L20" s="1951" t="str">
        <f>IF(AND(H19&gt;0,L19&gt;0),(((L19-H19)/H19)),"Enter Budget Data")</f>
        <v>Enter Budget Data</v>
      </c>
      <c r="M20" s="838"/>
      <c r="N20" s="1997"/>
    </row>
    <row r="21" spans="1:14" x14ac:dyDescent="0.2">
      <c r="A21" s="2004" t="s">
        <v>194</v>
      </c>
      <c r="B21" s="2005" t="s">
        <v>2046</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2022</v>
      </c>
      <c r="B24" s="2009"/>
      <c r="C24" s="2010"/>
      <c r="D24" s="2010"/>
      <c r="E24" s="2010"/>
      <c r="F24" s="2010"/>
      <c r="G24" s="2010"/>
      <c r="H24" s="2010"/>
      <c r="I24" s="2010"/>
      <c r="J24" s="2010"/>
      <c r="K24" s="2010"/>
      <c r="L24" s="838"/>
      <c r="M24" s="838"/>
      <c r="N24" s="1997"/>
    </row>
    <row r="25" spans="1:14" x14ac:dyDescent="0.2">
      <c r="A25" s="2008" t="s">
        <v>2023</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64"/>
      <c r="D27" s="2464"/>
      <c r="E27" s="843"/>
      <c r="F27" s="2465"/>
      <c r="G27" s="2465"/>
      <c r="H27" s="2465"/>
      <c r="I27" s="838"/>
      <c r="J27" s="838"/>
      <c r="K27" s="838"/>
      <c r="L27" s="838"/>
      <c r="M27" s="838"/>
      <c r="N27" s="1997"/>
    </row>
    <row r="28" spans="1:14" x14ac:dyDescent="0.2">
      <c r="A28" s="1996"/>
      <c r="B28" s="2006"/>
      <c r="C28" s="1956" t="s">
        <v>1026</v>
      </c>
      <c r="D28" s="844"/>
      <c r="E28" s="1957"/>
      <c r="F28" s="2466" t="s">
        <v>1492</v>
      </c>
      <c r="G28" s="2466"/>
      <c r="H28" s="2466"/>
      <c r="I28" s="838"/>
      <c r="J28" s="838"/>
      <c r="K28" s="838"/>
      <c r="L28" s="838"/>
      <c r="M28" s="838"/>
      <c r="N28" s="1997"/>
    </row>
    <row r="29" spans="1:14" x14ac:dyDescent="0.2">
      <c r="A29" s="1996"/>
      <c r="B29" s="2006"/>
      <c r="C29" s="2467"/>
      <c r="D29" s="2467"/>
      <c r="E29" s="845"/>
      <c r="F29" s="2467"/>
      <c r="G29" s="2467"/>
      <c r="H29" s="2467"/>
      <c r="I29" s="838"/>
      <c r="J29" s="838"/>
      <c r="K29" s="838"/>
      <c r="L29" s="838"/>
      <c r="M29" s="838"/>
      <c r="N29" s="1997"/>
    </row>
    <row r="30" spans="1:14" x14ac:dyDescent="0.2">
      <c r="A30" s="1996"/>
      <c r="B30" s="2006"/>
      <c r="C30" s="1959" t="s">
        <v>1544</v>
      </c>
      <c r="D30" s="838"/>
      <c r="E30" s="1958"/>
      <c r="F30" s="2451" t="s">
        <v>1493</v>
      </c>
      <c r="G30" s="2451"/>
      <c r="H30" s="2451"/>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28" t="s">
        <v>2024</v>
      </c>
      <c r="D34" s="2429"/>
      <c r="E34" s="2429"/>
      <c r="F34" s="2429"/>
      <c r="G34" s="2429"/>
      <c r="H34" s="2429"/>
      <c r="I34" s="2429"/>
      <c r="J34" s="2429"/>
      <c r="K34" s="2015"/>
      <c r="L34" s="838"/>
      <c r="M34" s="838"/>
      <c r="N34" s="1997"/>
    </row>
    <row r="35" spans="1:14" x14ac:dyDescent="0.2">
      <c r="A35" s="1996"/>
      <c r="B35" s="838"/>
      <c r="C35" s="2429"/>
      <c r="D35" s="2429"/>
      <c r="E35" s="2429"/>
      <c r="F35" s="2429"/>
      <c r="G35" s="2429"/>
      <c r="H35" s="2429"/>
      <c r="I35" s="2429"/>
      <c r="J35" s="2429"/>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28" t="s">
        <v>2025</v>
      </c>
      <c r="D37" s="2429"/>
      <c r="E37" s="2429"/>
      <c r="F37" s="2429"/>
      <c r="G37" s="2429"/>
      <c r="H37" s="2429"/>
      <c r="I37" s="2429"/>
      <c r="J37" s="2429"/>
      <c r="K37" s="2015"/>
      <c r="L37" s="2017"/>
      <c r="M37" s="838"/>
      <c r="N37" s="1997"/>
    </row>
    <row r="38" spans="1:14" x14ac:dyDescent="0.2">
      <c r="A38" s="1996"/>
      <c r="B38" s="838"/>
      <c r="C38" s="2429"/>
      <c r="D38" s="2429"/>
      <c r="E38" s="2429"/>
      <c r="F38" s="2429"/>
      <c r="G38" s="2429"/>
      <c r="H38" s="2429"/>
      <c r="I38" s="2429"/>
      <c r="J38" s="2429"/>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30" t="s">
        <v>2026</v>
      </c>
      <c r="D40" s="2431"/>
      <c r="E40" s="2431"/>
      <c r="F40" s="2431"/>
      <c r="G40" s="2431"/>
      <c r="H40" s="2431"/>
      <c r="I40" s="2431"/>
      <c r="J40" s="2431"/>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32" t="s">
        <v>2027</v>
      </c>
      <c r="B43" s="2433"/>
      <c r="C43" s="2433"/>
      <c r="D43" s="2433"/>
      <c r="E43" s="2433"/>
      <c r="F43" s="2433"/>
      <c r="G43" s="2433"/>
      <c r="H43" s="2433"/>
      <c r="I43" s="2433"/>
      <c r="J43" s="2433"/>
      <c r="K43" s="2433"/>
      <c r="L43" s="2433"/>
      <c r="M43" s="2433"/>
      <c r="N43" s="2434"/>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35" t="s">
        <v>2029</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38" t="str">
        <f>J6</f>
        <v>LINCOLNLAND REGIONAL DELIVERY SYSTEM</v>
      </c>
      <c r="M52" s="2438"/>
      <c r="N52" s="2439"/>
    </row>
    <row r="53" spans="1:14" x14ac:dyDescent="0.2">
      <c r="A53" s="1981"/>
      <c r="B53" s="1982"/>
      <c r="C53" s="1982"/>
      <c r="D53" s="1982"/>
      <c r="E53" s="1982"/>
      <c r="F53" s="1982"/>
      <c r="G53" s="1982"/>
      <c r="H53" s="1982"/>
      <c r="I53" s="1982"/>
      <c r="J53" s="1982"/>
      <c r="K53" s="1923" t="s">
        <v>369</v>
      </c>
      <c r="L53" s="2440" t="str">
        <f>J7</f>
        <v>17-054-404-046</v>
      </c>
      <c r="M53" s="2440"/>
      <c r="N53" s="2441"/>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42"/>
      <c r="B55" s="2443"/>
      <c r="C55" s="2443"/>
      <c r="D55" s="1969"/>
      <c r="E55" s="1969"/>
      <c r="F55" s="1969"/>
      <c r="G55" s="2444" t="s">
        <v>2030</v>
      </c>
      <c r="H55" s="2444"/>
      <c r="I55" s="2444"/>
      <c r="J55" s="2444"/>
      <c r="K55" s="2444"/>
      <c r="L55" s="2444"/>
      <c r="M55" s="2444"/>
      <c r="N55" s="2445"/>
    </row>
    <row r="56" spans="1:14" ht="63.75" x14ac:dyDescent="0.2">
      <c r="A56" s="2446" t="s">
        <v>2031</v>
      </c>
      <c r="B56" s="2447"/>
      <c r="C56" s="2448"/>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49" t="s">
        <v>296</v>
      </c>
      <c r="B57" s="2450"/>
      <c r="C57" s="2450"/>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26" t="s">
        <v>2041</v>
      </c>
      <c r="B58" s="2427"/>
      <c r="C58" s="2427"/>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x14ac:dyDescent="0.2">
      <c r="A59" s="2420" t="s">
        <v>297</v>
      </c>
      <c r="B59" s="2421"/>
      <c r="C59" s="2421"/>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20" t="s">
        <v>236</v>
      </c>
      <c r="B60" s="2421"/>
      <c r="C60" s="2421"/>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420" t="s">
        <v>697</v>
      </c>
      <c r="B61" s="2421"/>
      <c r="C61" s="2421"/>
      <c r="D61" s="1966">
        <v>2365</v>
      </c>
      <c r="E61" s="1976">
        <f>'Expenditures 15-22'!K323</f>
        <v>0</v>
      </c>
      <c r="F61" s="1971"/>
      <c r="G61" s="2030"/>
      <c r="H61" s="2031"/>
      <c r="I61" s="2031"/>
      <c r="J61" s="2031"/>
      <c r="K61" s="2031"/>
      <c r="L61" s="2031"/>
      <c r="M61" s="2031"/>
      <c r="N61" s="1974">
        <f t="shared" si="4"/>
        <v>0</v>
      </c>
    </row>
    <row r="62" spans="1:14" ht="24" customHeight="1" x14ac:dyDescent="0.2">
      <c r="A62" s="2420" t="s">
        <v>237</v>
      </c>
      <c r="B62" s="2421"/>
      <c r="C62" s="2421"/>
      <c r="D62" s="1966">
        <v>2366</v>
      </c>
      <c r="E62" s="1976">
        <f>'Expenditures 15-22'!K324</f>
        <v>0</v>
      </c>
      <c r="F62" s="1971"/>
      <c r="G62" s="2030"/>
      <c r="H62" s="2031"/>
      <c r="I62" s="2031"/>
      <c r="J62" s="2031"/>
      <c r="K62" s="2031"/>
      <c r="L62" s="2031"/>
      <c r="M62" s="2031"/>
      <c r="N62" s="1974">
        <f t="shared" si="4"/>
        <v>0</v>
      </c>
    </row>
    <row r="63" spans="1:14" ht="24" customHeight="1" x14ac:dyDescent="0.2">
      <c r="A63" s="2426" t="s">
        <v>1022</v>
      </c>
      <c r="B63" s="2427"/>
      <c r="C63" s="2427"/>
      <c r="D63" s="1966">
        <v>2367</v>
      </c>
      <c r="E63" s="1976">
        <f>'Expenditures 15-22'!K325</f>
        <v>0</v>
      </c>
      <c r="F63" s="1971"/>
      <c r="G63" s="2030"/>
      <c r="H63" s="2031"/>
      <c r="I63" s="2031"/>
      <c r="J63" s="2031"/>
      <c r="K63" s="2031"/>
      <c r="L63" s="2031"/>
      <c r="M63" s="2031"/>
      <c r="N63" s="1974">
        <f t="shared" si="4"/>
        <v>0</v>
      </c>
    </row>
    <row r="64" spans="1:14" ht="24" customHeight="1" x14ac:dyDescent="0.2">
      <c r="A64" s="2420" t="s">
        <v>1023</v>
      </c>
      <c r="B64" s="2421"/>
      <c r="C64" s="2421"/>
      <c r="D64" s="1966">
        <v>2368</v>
      </c>
      <c r="E64" s="1976">
        <f>'Expenditures 15-22'!K326</f>
        <v>0</v>
      </c>
      <c r="F64" s="1971"/>
      <c r="G64" s="2030"/>
      <c r="H64" s="2031"/>
      <c r="I64" s="2031"/>
      <c r="J64" s="2031"/>
      <c r="K64" s="2031"/>
      <c r="L64" s="2031"/>
      <c r="M64" s="2031"/>
      <c r="N64" s="1974">
        <f t="shared" si="4"/>
        <v>0</v>
      </c>
    </row>
    <row r="65" spans="1:14" ht="24" customHeight="1" x14ac:dyDescent="0.2">
      <c r="A65" s="2420" t="s">
        <v>965</v>
      </c>
      <c r="B65" s="2421"/>
      <c r="C65" s="2421"/>
      <c r="D65" s="1966">
        <v>2369</v>
      </c>
      <c r="E65" s="1976">
        <f>'Expenditures 15-22'!K327</f>
        <v>0</v>
      </c>
      <c r="F65" s="1971"/>
      <c r="G65" s="2030"/>
      <c r="H65" s="2031"/>
      <c r="I65" s="2031"/>
      <c r="J65" s="2031"/>
      <c r="K65" s="2031"/>
      <c r="L65" s="2031"/>
      <c r="M65" s="2031"/>
      <c r="N65" s="1974">
        <f t="shared" si="4"/>
        <v>0</v>
      </c>
    </row>
    <row r="66" spans="1:14" ht="24" customHeight="1" x14ac:dyDescent="0.2">
      <c r="A66" s="2420" t="s">
        <v>469</v>
      </c>
      <c r="B66" s="2421"/>
      <c r="C66" s="2421"/>
      <c r="D66" s="1966">
        <v>2371</v>
      </c>
      <c r="E66" s="1976">
        <f>'Expenditures 15-22'!K328</f>
        <v>0</v>
      </c>
      <c r="F66" s="1971"/>
      <c r="G66" s="2030"/>
      <c r="H66" s="2031"/>
      <c r="I66" s="2031"/>
      <c r="J66" s="2031"/>
      <c r="K66" s="2031"/>
      <c r="L66" s="2031"/>
      <c r="M66" s="2031"/>
      <c r="N66" s="1974">
        <f t="shared" si="4"/>
        <v>0</v>
      </c>
    </row>
    <row r="67" spans="1:14" ht="24.75" customHeight="1" x14ac:dyDescent="0.2">
      <c r="A67" s="2422" t="s">
        <v>2042</v>
      </c>
      <c r="B67" s="2423"/>
      <c r="C67" s="2423"/>
      <c r="D67" s="1968">
        <v>2372</v>
      </c>
      <c r="E67" s="1977">
        <f>'Expenditures 15-22'!K329</f>
        <v>0</v>
      </c>
      <c r="F67" s="1971"/>
      <c r="G67" s="2032"/>
      <c r="H67" s="2033"/>
      <c r="I67" s="2033"/>
      <c r="J67" s="2033"/>
      <c r="K67" s="2033"/>
      <c r="L67" s="2033"/>
      <c r="M67" s="2033"/>
      <c r="N67" s="1974">
        <f t="shared" si="4"/>
        <v>0</v>
      </c>
    </row>
    <row r="68" spans="1:14" x14ac:dyDescent="0.2">
      <c r="A68" s="2424" t="s">
        <v>1151</v>
      </c>
      <c r="B68" s="2425"/>
      <c r="C68" s="2425"/>
      <c r="D68" s="1969"/>
      <c r="E68" s="1973">
        <f>SUM(E57:E67)</f>
        <v>0</v>
      </c>
      <c r="F68" s="1972"/>
      <c r="G68" s="1973">
        <f t="shared" ref="G68:N68" si="5">SUM(G57:G67)</f>
        <v>0</v>
      </c>
      <c r="H68" s="1973">
        <f t="shared" si="5"/>
        <v>0</v>
      </c>
      <c r="I68" s="1973">
        <f t="shared" si="5"/>
        <v>0</v>
      </c>
      <c r="J68" s="1973">
        <f t="shared" si="5"/>
        <v>0</v>
      </c>
      <c r="K68" s="1973">
        <f t="shared" si="5"/>
        <v>0</v>
      </c>
      <c r="L68" s="1973">
        <f t="shared" si="5"/>
        <v>0</v>
      </c>
      <c r="M68" s="1973">
        <f t="shared" si="5"/>
        <v>0</v>
      </c>
      <c r="N68" s="1987">
        <f t="shared" si="5"/>
        <v>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25" top="0.7" bottom="0.25" header="0.4" footer="0.25"/>
  <pageSetup scale="76"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6"/>
  <sheetViews>
    <sheetView showGridLines="0" zoomScale="110" zoomScaleNormal="110" workbookViewId="0">
      <selection activeCell="A11" sqref="A11:J11"/>
    </sheetView>
  </sheetViews>
  <sheetFormatPr defaultRowHeight="12.75" x14ac:dyDescent="0.2"/>
  <cols>
    <col min="1" max="1" width="3" style="307" customWidth="1"/>
    <col min="2" max="2" width="3.5703125" style="307" customWidth="1"/>
    <col min="3" max="3" width="71.7109375" style="307" customWidth="1"/>
    <col min="4" max="4" width="14.5703125" style="2035" customWidth="1"/>
    <col min="5" max="16384" width="9.140625" style="307"/>
  </cols>
  <sheetData>
    <row r="2" spans="1:4" x14ac:dyDescent="0.2">
      <c r="A2" s="366" t="s">
        <v>256</v>
      </c>
    </row>
    <row r="3" spans="1:4" x14ac:dyDescent="0.2">
      <c r="A3" s="307" t="s">
        <v>257</v>
      </c>
    </row>
    <row r="5" spans="1:4" ht="13.5" thickBot="1" x14ac:dyDescent="0.25">
      <c r="A5" s="848">
        <v>1</v>
      </c>
      <c r="B5" s="307" t="s">
        <v>2076</v>
      </c>
      <c r="D5" s="2036">
        <v>56573</v>
      </c>
    </row>
    <row r="6" spans="1:4" ht="13.5" thickTop="1" x14ac:dyDescent="0.2">
      <c r="A6" s="848"/>
      <c r="D6" s="2037"/>
    </row>
    <row r="7" spans="1:4" x14ac:dyDescent="0.2">
      <c r="A7" s="847"/>
      <c r="D7" s="2037"/>
    </row>
    <row r="8" spans="1:4" x14ac:dyDescent="0.2">
      <c r="A8" s="848">
        <v>2</v>
      </c>
      <c r="B8" s="307" t="s">
        <v>2077</v>
      </c>
    </row>
    <row r="9" spans="1:4" x14ac:dyDescent="0.2">
      <c r="A9" s="847"/>
    </row>
    <row r="10" spans="1:4" x14ac:dyDescent="0.2">
      <c r="A10" s="848"/>
    </row>
    <row r="11" spans="1:4" x14ac:dyDescent="0.2">
      <c r="A11" s="848">
        <v>3</v>
      </c>
    </row>
    <row r="12" spans="1:4" x14ac:dyDescent="0.2">
      <c r="A12" s="848"/>
    </row>
    <row r="13" spans="1:4" x14ac:dyDescent="0.2">
      <c r="A13" s="848"/>
    </row>
    <row r="14" spans="1:4" x14ac:dyDescent="0.2">
      <c r="A14" s="848">
        <v>4</v>
      </c>
    </row>
    <row r="15" spans="1:4" x14ac:dyDescent="0.2">
      <c r="A15" s="848"/>
    </row>
    <row r="16" spans="1:4"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LINCOLNLAND REGIONAL DELIVERY SYSTEM</v>
      </c>
    </row>
    <row r="66" spans="1:2" x14ac:dyDescent="0.2">
      <c r="B66" s="849" t="str">
        <f>COVER!A13</f>
        <v>17-054-404-046</v>
      </c>
    </row>
  </sheetData>
  <phoneticPr fontId="16" type="noConversion"/>
  <pageMargins left="0.6" right="0.25" top="0.75" bottom="0.75" header="0.3" footer="0.3"/>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2" sqref="B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2073</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2072</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2071</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11" sqref="A11:J1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25" r:id="rId4">
          <objectPr defaultSize="0" r:id="rId5">
            <anchor moveWithCells="1">
              <from>
                <xdr:col>1</xdr:col>
                <xdr:colOff>76200</xdr:colOff>
                <xdr:row>1</xdr:row>
                <xdr:rowOff>19050</xdr:rowOff>
              </from>
              <to>
                <xdr:col>1</xdr:col>
                <xdr:colOff>990600</xdr:colOff>
                <xdr:row>5</xdr:row>
                <xdr:rowOff>57150</xdr:rowOff>
              </to>
            </anchor>
          </objectPr>
        </oleObject>
      </mc:Choice>
      <mc:Fallback>
        <oleObject progId="Acrobat Document" dvAspect="DVASPECT_ICON" shapeId="56325" r:id="rId4"/>
      </mc:Fallback>
    </mc:AlternateContent>
    <mc:AlternateContent xmlns:mc="http://schemas.openxmlformats.org/markup-compatibility/2006">
      <mc:Choice Requires="x14">
        <oleObject progId="Acrobat Document" dvAspect="DVASPECT_ICON" shapeId="56327" r:id="rId6">
          <objectPr defaultSize="0" r:id="rId7">
            <anchor moveWithCells="1">
              <from>
                <xdr:col>1</xdr:col>
                <xdr:colOff>57150</xdr:colOff>
                <xdr:row>6</xdr:row>
                <xdr:rowOff>114300</xdr:rowOff>
              </from>
              <to>
                <xdr:col>1</xdr:col>
                <xdr:colOff>971550</xdr:colOff>
                <xdr:row>10</xdr:row>
                <xdr:rowOff>152400</xdr:rowOff>
              </to>
            </anchor>
          </objectPr>
        </oleObject>
      </mc:Choice>
      <mc:Fallback>
        <oleObject progId="Acrobat Document" dvAspect="DVASPECT_ICON" shapeId="56327" r:id="rId6"/>
      </mc:Fallback>
    </mc:AlternateContent>
    <mc:AlternateContent xmlns:mc="http://schemas.openxmlformats.org/markup-compatibility/2006">
      <mc:Choice Requires="x14">
        <oleObject progId="Acrobat Document" dvAspect="DVASPECT_ICON" shapeId="56328" r:id="rId8">
          <objectPr defaultSize="0" r:id="rId9">
            <anchor moveWithCells="1">
              <from>
                <xdr:col>1</xdr:col>
                <xdr:colOff>1428750</xdr:colOff>
                <xdr:row>1</xdr:row>
                <xdr:rowOff>47625</xdr:rowOff>
              </from>
              <to>
                <xdr:col>1</xdr:col>
                <xdr:colOff>2343150</xdr:colOff>
                <xdr:row>5</xdr:row>
                <xdr:rowOff>85725</xdr:rowOff>
              </to>
            </anchor>
          </objectPr>
        </oleObject>
      </mc:Choice>
      <mc:Fallback>
        <oleObject progId="Acrobat Document" dvAspect="DVASPECT_ICON" shapeId="56328"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11" sqref="A11:H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362138</v>
      </c>
      <c r="C8" s="1813">
        <f>'Acct Summary 7-8'!D8</f>
        <v>0</v>
      </c>
      <c r="D8" s="1813">
        <f>'Acct Summary 7-8'!F8</f>
        <v>0</v>
      </c>
      <c r="E8" s="1813">
        <f>'Acct Summary 7-8'!I8</f>
        <v>0</v>
      </c>
      <c r="F8" s="1813">
        <f>SUM(B8:E8)</f>
        <v>362138</v>
      </c>
    </row>
    <row r="9" spans="1:8" s="858" customFormat="1" ht="14.25" customHeight="1" thickBot="1" x14ac:dyDescent="0.25">
      <c r="A9" s="857" t="s">
        <v>1353</v>
      </c>
      <c r="B9" s="1814">
        <f>'Acct Summary 7-8'!C17</f>
        <v>357005</v>
      </c>
      <c r="C9" s="1814">
        <f>'Acct Summary 7-8'!D17</f>
        <v>0</v>
      </c>
      <c r="D9" s="1814">
        <f>'Acct Summary 7-8'!F17</f>
        <v>0</v>
      </c>
      <c r="E9" s="1813"/>
      <c r="F9" s="1813">
        <f>SUM(B9:E9)</f>
        <v>357005</v>
      </c>
    </row>
    <row r="10" spans="1:8" s="858" customFormat="1" ht="14.25" thickTop="1" thickBot="1" x14ac:dyDescent="0.25">
      <c r="A10" s="859" t="s">
        <v>1354</v>
      </c>
      <c r="B10" s="1815">
        <f>(B8-B9)</f>
        <v>5133</v>
      </c>
      <c r="C10" s="1815">
        <f>(C8-C9)</f>
        <v>0</v>
      </c>
      <c r="D10" s="1815">
        <f>(D8-D9)</f>
        <v>0</v>
      </c>
      <c r="E10" s="1814">
        <f>(E8-E9)</f>
        <v>0</v>
      </c>
      <c r="F10" s="1816">
        <f>SUM(F8-F9)</f>
        <v>5133</v>
      </c>
    </row>
    <row r="11" spans="1:8" s="858" customFormat="1" ht="14.25" thickTop="1" thickBot="1" x14ac:dyDescent="0.25">
      <c r="A11" s="860" t="s">
        <v>1903</v>
      </c>
      <c r="B11" s="1817">
        <f>'Acct Summary 7-8'!C81</f>
        <v>69426</v>
      </c>
      <c r="C11" s="1817">
        <f>'Acct Summary 7-8'!D81</f>
        <v>0</v>
      </c>
      <c r="D11" s="1817">
        <f>'Acct Summary 7-8'!F81</f>
        <v>0</v>
      </c>
      <c r="E11" s="1817">
        <f>'Acct Summary 7-8'!I81</f>
        <v>0</v>
      </c>
      <c r="F11" s="1818">
        <f>SUM(B11:E11)</f>
        <v>69426</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7" colorId="8" zoomScale="110" zoomScaleNormal="11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ENTRY IS REQUIRED!</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899" t="str">
        <f>IF('Contracts Paid in CY 29'!$D$27&gt;0,"OK","PLEASE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IF(COVER!B5="X",IF(#REF!=0,"ENTER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8" t="s">
        <v>1978</v>
      </c>
    </row>
    <row r="2" spans="1:7" ht="15.75" x14ac:dyDescent="0.25">
      <c r="A2" t="s">
        <v>260</v>
      </c>
      <c r="B2" s="135" t="str">
        <f>COVER!A13</f>
        <v>17-054-404-046</v>
      </c>
      <c r="E2" s="1542">
        <v>2020</v>
      </c>
      <c r="F2" s="1542">
        <v>1</v>
      </c>
      <c r="G2" s="1897">
        <v>101000300</v>
      </c>
    </row>
    <row r="3" spans="1:7" ht="15" x14ac:dyDescent="0.25">
      <c r="A3" t="s">
        <v>950</v>
      </c>
      <c r="B3" s="135" t="str">
        <f>COVER!A15</f>
        <v>LOGAN</v>
      </c>
      <c r="E3" s="1830" t="s">
        <v>1971</v>
      </c>
      <c r="F3" s="1830" t="s">
        <v>1970</v>
      </c>
      <c r="G3" s="1897">
        <v>101000400</v>
      </c>
    </row>
    <row r="4" spans="1:7" ht="15" x14ac:dyDescent="0.25">
      <c r="A4" t="s">
        <v>1000</v>
      </c>
      <c r="B4" s="135" t="str">
        <f>COVER!A17</f>
        <v>LINCOLNLAND REGIONAL DELIVERY SYSTEM</v>
      </c>
      <c r="E4" s="1828">
        <v>44119</v>
      </c>
      <c r="F4" s="1829">
        <v>44151</v>
      </c>
      <c r="G4" s="1897">
        <v>101000600</v>
      </c>
    </row>
    <row r="5" spans="1:7" ht="15" x14ac:dyDescent="0.25">
      <c r="A5" t="s">
        <v>699</v>
      </c>
      <c r="B5" s="135" t="str">
        <f>COVER!A38</f>
        <v>R. MATTHEW PUCKETT</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t="str">
        <f>COVER!T38</f>
        <v>MARK JONTRY</v>
      </c>
      <c r="G8" s="1897">
        <v>102100600</v>
      </c>
    </row>
    <row r="9" spans="1:7" ht="15" x14ac:dyDescent="0.25">
      <c r="A9" s="3" t="s">
        <v>951</v>
      </c>
      <c r="B9" s="153" t="str">
        <f>AUDITCHECK!D23</f>
        <v>CASH</v>
      </c>
      <c r="G9" s="1897">
        <v>102100800</v>
      </c>
    </row>
    <row r="10" spans="1:7" ht="15" x14ac:dyDescent="0.25">
      <c r="A10" t="s">
        <v>970</v>
      </c>
      <c r="B10" s="135">
        <f>COVER!B5</f>
        <v>0</v>
      </c>
      <c r="G10" s="1897">
        <v>202100300</v>
      </c>
    </row>
    <row r="11" spans="1:7" ht="15" x14ac:dyDescent="0.25">
      <c r="A11" t="s">
        <v>971</v>
      </c>
      <c r="B11" s="135" t="str">
        <f>COVER!B6</f>
        <v>X</v>
      </c>
      <c r="G11" s="1897">
        <v>202100400</v>
      </c>
    </row>
    <row r="12" spans="1:7" ht="15" x14ac:dyDescent="0.25">
      <c r="A12" s="1" t="s">
        <v>1526</v>
      </c>
      <c r="B12" s="135" t="str">
        <f>IF(COVER!J29="x","Yes",IF(COVER!L29="X","No",0))</f>
        <v>No</v>
      </c>
      <c r="G12" s="1897">
        <v>202100600</v>
      </c>
    </row>
    <row r="13" spans="1:7" ht="15" x14ac:dyDescent="0.25">
      <c r="A13" s="1" t="s">
        <v>1527</v>
      </c>
      <c r="B13" s="135" t="str">
        <f>IF(COVER!J30="x","Yes",IF(COVER!L30="x","No",0))</f>
        <v>No</v>
      </c>
      <c r="G13" s="1897">
        <v>202100800</v>
      </c>
    </row>
    <row r="14" spans="1:7" ht="15" x14ac:dyDescent="0.25">
      <c r="A14" t="s">
        <v>473</v>
      </c>
      <c r="B14" s="135" t="str">
        <f>IF(COVER!J31="x","Yes",IF(COVER!L31="x","No",0))</f>
        <v>No</v>
      </c>
      <c r="G14" s="1897">
        <v>402100300</v>
      </c>
    </row>
    <row r="15" spans="1:7" ht="15" x14ac:dyDescent="0.25">
      <c r="A15" t="s">
        <v>573</v>
      </c>
      <c r="B15" s="135" t="str">
        <f>COVER!T23</f>
        <v>066-005243</v>
      </c>
      <c r="G15" s="1897">
        <v>402100400</v>
      </c>
    </row>
    <row r="16" spans="1:7" ht="15" x14ac:dyDescent="0.25">
      <c r="A16" t="s">
        <v>419</v>
      </c>
      <c r="B16" s="135" t="str">
        <f>COVER!T13</f>
        <v>J.M. ABBOTT &amp; ASSOCIATES, LTD.</v>
      </c>
      <c r="G16" s="1897">
        <v>402100600</v>
      </c>
    </row>
    <row r="17" spans="1:7" ht="15" x14ac:dyDescent="0.25">
      <c r="A17" t="s">
        <v>878</v>
      </c>
      <c r="B17" s="135" t="str">
        <f>COVER!T15</f>
        <v>DEBRA LAST</v>
      </c>
      <c r="G17" s="1897">
        <v>402100800</v>
      </c>
    </row>
    <row r="18" spans="1:7" ht="15" x14ac:dyDescent="0.25">
      <c r="A18" t="s">
        <v>1140</v>
      </c>
      <c r="B18" s="135" t="str">
        <f>COVER!T17</f>
        <v>207 S. MCLEAN ST.</v>
      </c>
      <c r="G18" s="1897">
        <v>102200300</v>
      </c>
    </row>
    <row r="19" spans="1:7" ht="15" x14ac:dyDescent="0.25">
      <c r="A19" t="s">
        <v>880</v>
      </c>
      <c r="B19" s="135" t="str">
        <f>COVER!T25</f>
        <v>debbie@jmabbott.com</v>
      </c>
      <c r="G19" s="1897">
        <v>102200400</v>
      </c>
    </row>
    <row r="20" spans="1:7" ht="15" x14ac:dyDescent="0.25">
      <c r="A20" t="s">
        <v>881</v>
      </c>
      <c r="B20" s="135" t="str">
        <f>COVER!T19</f>
        <v>LINCOLN</v>
      </c>
      <c r="G20" s="1897">
        <v>102200600</v>
      </c>
    </row>
    <row r="21" spans="1:7" ht="15" x14ac:dyDescent="0.25">
      <c r="A21" t="s">
        <v>476</v>
      </c>
      <c r="B21" s="135" t="str">
        <f>COVER!X19</f>
        <v>IL</v>
      </c>
      <c r="G21" s="1897">
        <v>102200800</v>
      </c>
    </row>
    <row r="22" spans="1:7" ht="15" x14ac:dyDescent="0.25">
      <c r="A22" t="s">
        <v>882</v>
      </c>
      <c r="B22" s="135">
        <f>COVER!Z19</f>
        <v>62656</v>
      </c>
      <c r="G22" s="1897">
        <v>102300300</v>
      </c>
    </row>
    <row r="23" spans="1:7" ht="15" x14ac:dyDescent="0.25">
      <c r="A23" t="s">
        <v>1142</v>
      </c>
      <c r="B23" s="135" t="str">
        <f>COVER!T21</f>
        <v>217-735-1576</v>
      </c>
      <c r="G23" s="1897">
        <v>102300400</v>
      </c>
    </row>
    <row r="24" spans="1:7" ht="15" x14ac:dyDescent="0.25">
      <c r="A24" t="s">
        <v>1141</v>
      </c>
      <c r="B24" s="135">
        <f>COVER!Y21</f>
        <v>0</v>
      </c>
      <c r="G24" s="1897">
        <v>102300600</v>
      </c>
    </row>
    <row r="25" spans="1:7" ht="15" x14ac:dyDescent="0.25">
      <c r="A25" t="s">
        <v>756</v>
      </c>
      <c r="B25" s="135" t="str">
        <f>COVER!B34</f>
        <v>X</v>
      </c>
      <c r="G25" s="1897">
        <v>102300800</v>
      </c>
    </row>
    <row r="26" spans="1:7" ht="15" x14ac:dyDescent="0.25">
      <c r="A26" t="s">
        <v>1143</v>
      </c>
      <c r="B26" s="135">
        <f>COVER!L34</f>
        <v>0</v>
      </c>
      <c r="G26" s="1897">
        <v>802300300</v>
      </c>
    </row>
    <row r="27" spans="1:7" ht="15" x14ac:dyDescent="0.25">
      <c r="A27" t="s">
        <v>266</v>
      </c>
      <c r="B27" s="135">
        <f>COVER!U34</f>
        <v>0</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0</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0</v>
      </c>
      <c r="G49" s="1897">
        <v>102540800</v>
      </c>
    </row>
    <row r="50" spans="1:7" ht="15" x14ac:dyDescent="0.25">
      <c r="A50" s="1" t="s">
        <v>1463</v>
      </c>
      <c r="B50" s="146">
        <f>'Aud Quest 2'!H53</f>
        <v>0</v>
      </c>
      <c r="G50" s="1897">
        <v>202540300</v>
      </c>
    </row>
    <row r="51" spans="1:7" ht="15" x14ac:dyDescent="0.25">
      <c r="A51" s="1" t="s">
        <v>1465</v>
      </c>
      <c r="B51" s="135" t="str">
        <f>IF('Aud Quest 2'!B54="x","Yes",IF('Aud Quest 2'!B54&lt;&gt;"x","0"))</f>
        <v>0</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2"/>
      <c r="D62" s="2" t="str">
        <f>IF(ISBLANK(B62),"OK",IF(A62-B62=0,"OK","Error?"))</f>
        <v>OK</v>
      </c>
      <c r="G62" s="1897">
        <v>202550300</v>
      </c>
    </row>
    <row r="63" spans="1:7" ht="15" x14ac:dyDescent="0.25">
      <c r="A63" s="10">
        <v>2</v>
      </c>
      <c r="B63" s="1832"/>
      <c r="D63" s="2" t="str">
        <f t="shared" ref="D63:D126" si="0">IF(ISBLANK(B63),"OK",IF(A63-B63=0,"OK","Error?"))</f>
        <v>OK</v>
      </c>
      <c r="G63" s="1897">
        <v>202550400</v>
      </c>
    </row>
    <row r="64" spans="1:7" ht="15" x14ac:dyDescent="0.25">
      <c r="A64" s="10">
        <v>3</v>
      </c>
      <c r="B64" s="1832"/>
      <c r="D64" s="2" t="str">
        <f t="shared" si="0"/>
        <v>OK</v>
      </c>
      <c r="G64" s="1897">
        <v>202550600</v>
      </c>
    </row>
    <row r="65" spans="1:7" ht="15" x14ac:dyDescent="0.25">
      <c r="A65" s="5">
        <v>4</v>
      </c>
      <c r="B65" s="1832">
        <f>'Assets-Liab 5-6'!C6</f>
        <v>0</v>
      </c>
      <c r="D65" s="2" t="str">
        <f t="shared" si="0"/>
        <v>Error?</v>
      </c>
      <c r="G65" s="1897">
        <v>202550800</v>
      </c>
    </row>
    <row r="66" spans="1:7" ht="15" x14ac:dyDescent="0.25">
      <c r="A66" s="10">
        <v>5</v>
      </c>
      <c r="B66" s="1832"/>
      <c r="D66" s="2" t="str">
        <f t="shared" si="0"/>
        <v>OK</v>
      </c>
      <c r="G66" s="1897">
        <v>402550300</v>
      </c>
    </row>
    <row r="67" spans="1:7" ht="15" x14ac:dyDescent="0.25">
      <c r="A67" s="10">
        <v>6</v>
      </c>
      <c r="B67" s="1832"/>
      <c r="D67" s="2" t="str">
        <f t="shared" si="0"/>
        <v>OK</v>
      </c>
      <c r="G67" s="1897">
        <v>402550400</v>
      </c>
    </row>
    <row r="68" spans="1:7" ht="15" x14ac:dyDescent="0.25">
      <c r="A68" s="10">
        <v>7</v>
      </c>
      <c r="B68" s="1832"/>
      <c r="D68" s="2" t="str">
        <f t="shared" si="0"/>
        <v>OK</v>
      </c>
      <c r="G68" s="1897">
        <v>402550600</v>
      </c>
    </row>
    <row r="69" spans="1:7" ht="15" x14ac:dyDescent="0.25">
      <c r="A69" s="10">
        <v>8</v>
      </c>
      <c r="B69" s="1832"/>
      <c r="D69" s="2" t="str">
        <f t="shared" si="0"/>
        <v>OK</v>
      </c>
      <c r="G69" s="1897">
        <v>402550800</v>
      </c>
    </row>
    <row r="70" spans="1:7" ht="15" x14ac:dyDescent="0.25">
      <c r="A70" s="10">
        <v>9</v>
      </c>
      <c r="B70" s="1832"/>
      <c r="D70" s="2" t="str">
        <f t="shared" si="0"/>
        <v>OK</v>
      </c>
      <c r="G70" s="1897">
        <v>102560300</v>
      </c>
    </row>
    <row r="71" spans="1:7" ht="15" x14ac:dyDescent="0.25">
      <c r="A71" s="10">
        <v>10</v>
      </c>
      <c r="B71" s="1832"/>
      <c r="D71" s="2" t="str">
        <f t="shared" si="0"/>
        <v>OK</v>
      </c>
      <c r="G71" s="1897">
        <v>102560400</v>
      </c>
    </row>
    <row r="72" spans="1:7" ht="15" x14ac:dyDescent="0.25">
      <c r="A72" s="5">
        <v>11</v>
      </c>
      <c r="B72" s="1832">
        <f>'Assets-Liab 5-6'!C10</f>
        <v>0</v>
      </c>
      <c r="D72" s="2" t="str">
        <f t="shared" si="0"/>
        <v>Error?</v>
      </c>
      <c r="G72" s="1897">
        <v>102560600</v>
      </c>
    </row>
    <row r="73" spans="1:7" ht="15" x14ac:dyDescent="0.25">
      <c r="A73" s="5">
        <v>12</v>
      </c>
      <c r="B73" s="1832">
        <f>'Assets-Liab 5-6'!C5</f>
        <v>0</v>
      </c>
      <c r="D73" s="2" t="str">
        <f t="shared" si="0"/>
        <v>Error?</v>
      </c>
      <c r="G73" s="1897">
        <v>102560800</v>
      </c>
    </row>
    <row r="74" spans="1:7" ht="15" x14ac:dyDescent="0.25">
      <c r="A74" s="10">
        <v>13</v>
      </c>
      <c r="B74" s="1832"/>
      <c r="D74" s="2" t="str">
        <f t="shared" si="0"/>
        <v>OK</v>
      </c>
      <c r="G74" s="1897">
        <v>102570300</v>
      </c>
    </row>
    <row r="75" spans="1:7" ht="15" x14ac:dyDescent="0.25">
      <c r="A75" s="10">
        <v>14</v>
      </c>
      <c r="B75" s="1832"/>
      <c r="D75" s="2" t="str">
        <f t="shared" si="0"/>
        <v>OK</v>
      </c>
      <c r="G75" s="1897">
        <v>102570400</v>
      </c>
    </row>
    <row r="76" spans="1:7" ht="15" x14ac:dyDescent="0.25">
      <c r="A76" s="5">
        <v>15</v>
      </c>
      <c r="B76" s="1832">
        <f>'Assets-Liab 5-6'!C12</f>
        <v>0</v>
      </c>
      <c r="D76" s="2" t="str">
        <f t="shared" si="0"/>
        <v>Error?</v>
      </c>
      <c r="G76" s="1897">
        <v>102570600</v>
      </c>
    </row>
    <row r="77" spans="1:7" ht="15" x14ac:dyDescent="0.25">
      <c r="A77" s="5">
        <v>16</v>
      </c>
      <c r="B77" s="1832">
        <f>'Assets-Liab 5-6'!C13</f>
        <v>69426</v>
      </c>
      <c r="C77" s="2" t="s">
        <v>569</v>
      </c>
      <c r="D77" s="2" t="str">
        <f t="shared" si="0"/>
        <v>Error?</v>
      </c>
      <c r="G77" s="1897">
        <v>102570800</v>
      </c>
    </row>
    <row r="78" spans="1:7" ht="15" x14ac:dyDescent="0.25">
      <c r="A78" s="10">
        <v>17</v>
      </c>
      <c r="B78" s="1832"/>
      <c r="D78" s="2" t="str">
        <f t="shared" si="0"/>
        <v>OK</v>
      </c>
      <c r="G78" s="1897">
        <v>102610300</v>
      </c>
    </row>
    <row r="79" spans="1:7" ht="15" x14ac:dyDescent="0.25">
      <c r="A79" s="10">
        <v>18</v>
      </c>
      <c r="B79" s="1832"/>
      <c r="D79" s="2" t="str">
        <f t="shared" si="0"/>
        <v>OK</v>
      </c>
      <c r="G79" s="1897">
        <v>102610400</v>
      </c>
    </row>
    <row r="80" spans="1:7" ht="15" x14ac:dyDescent="0.25">
      <c r="A80" s="10">
        <v>19</v>
      </c>
      <c r="B80" s="1832"/>
      <c r="D80" s="2" t="str">
        <f t="shared" si="0"/>
        <v>OK</v>
      </c>
      <c r="G80" s="1897">
        <v>102610600</v>
      </c>
    </row>
    <row r="81" spans="1:7" ht="15" x14ac:dyDescent="0.25">
      <c r="A81" s="10">
        <v>20</v>
      </c>
      <c r="B81" s="1832"/>
      <c r="D81" s="2" t="str">
        <f t="shared" si="0"/>
        <v>OK</v>
      </c>
      <c r="G81" s="1897">
        <v>102610800</v>
      </c>
    </row>
    <row r="82" spans="1:7" ht="15" x14ac:dyDescent="0.25">
      <c r="A82" s="10">
        <v>21</v>
      </c>
      <c r="B82" s="1832"/>
      <c r="D82" s="2" t="str">
        <f t="shared" si="0"/>
        <v>OK</v>
      </c>
      <c r="G82" s="1897">
        <v>102620300</v>
      </c>
    </row>
    <row r="83" spans="1:7" ht="15" x14ac:dyDescent="0.25">
      <c r="A83" s="10">
        <v>22</v>
      </c>
      <c r="B83" s="1832"/>
      <c r="D83" s="2" t="str">
        <f t="shared" si="0"/>
        <v>OK</v>
      </c>
      <c r="G83" s="1897">
        <v>102620400</v>
      </c>
    </row>
    <row r="84" spans="1:7" ht="15" x14ac:dyDescent="0.25">
      <c r="A84" s="10">
        <v>23</v>
      </c>
      <c r="B84" s="1832"/>
      <c r="D84" s="2" t="str">
        <f t="shared" si="0"/>
        <v>OK</v>
      </c>
      <c r="G84" s="1897">
        <v>102620600</v>
      </c>
    </row>
    <row r="85" spans="1:7" ht="15" x14ac:dyDescent="0.25">
      <c r="A85" s="10">
        <v>24</v>
      </c>
      <c r="B85" s="1832"/>
      <c r="D85" s="2" t="str">
        <f t="shared" si="0"/>
        <v>OK</v>
      </c>
      <c r="G85" s="1897">
        <v>102620800</v>
      </c>
    </row>
    <row r="86" spans="1:7" ht="15" x14ac:dyDescent="0.25">
      <c r="A86" s="12">
        <v>25</v>
      </c>
      <c r="B86" s="1832">
        <f>'Assets-Liab 5-6'!C31</f>
        <v>0</v>
      </c>
      <c r="D86" s="2" t="str">
        <f t="shared" si="0"/>
        <v>Error?</v>
      </c>
      <c r="G86" s="1897">
        <v>102630300</v>
      </c>
    </row>
    <row r="87" spans="1:7" ht="15" x14ac:dyDescent="0.25">
      <c r="A87" s="10">
        <v>26</v>
      </c>
      <c r="B87" s="1832"/>
      <c r="D87" s="2" t="str">
        <f t="shared" si="0"/>
        <v>OK</v>
      </c>
      <c r="G87" s="1897">
        <v>102630400</v>
      </c>
    </row>
    <row r="88" spans="1:7" ht="15" x14ac:dyDescent="0.25">
      <c r="A88" s="5">
        <v>27</v>
      </c>
      <c r="B88" s="1832">
        <f>'Assets-Liab 5-6'!C32</f>
        <v>0</v>
      </c>
      <c r="D88" s="2" t="str">
        <f t="shared" si="0"/>
        <v>Error?</v>
      </c>
      <c r="G88" s="1897">
        <v>102630600</v>
      </c>
    </row>
    <row r="89" spans="1:7" ht="15" x14ac:dyDescent="0.25">
      <c r="A89" s="10">
        <v>28</v>
      </c>
      <c r="B89" s="1832"/>
      <c r="D89" s="2" t="str">
        <f t="shared" si="0"/>
        <v>OK</v>
      </c>
      <c r="G89" s="1897">
        <v>102630800</v>
      </c>
    </row>
    <row r="90" spans="1:7" ht="15" x14ac:dyDescent="0.25">
      <c r="A90" s="10">
        <v>29</v>
      </c>
      <c r="B90" s="1832"/>
      <c r="D90" s="2" t="str">
        <f t="shared" si="0"/>
        <v>OK</v>
      </c>
      <c r="G90" s="1897">
        <v>102640300</v>
      </c>
    </row>
    <row r="91" spans="1:7" ht="15" x14ac:dyDescent="0.25">
      <c r="A91" s="5">
        <v>30</v>
      </c>
      <c r="B91" s="1832">
        <f>'Assets-Liab 5-6'!C34</f>
        <v>0</v>
      </c>
      <c r="C91" s="2" t="s">
        <v>569</v>
      </c>
      <c r="D91" s="2" t="str">
        <f t="shared" si="0"/>
        <v>Error?</v>
      </c>
      <c r="G91" s="1897">
        <v>102640400</v>
      </c>
    </row>
    <row r="92" spans="1:7" ht="15" x14ac:dyDescent="0.25">
      <c r="A92" s="5">
        <v>31</v>
      </c>
      <c r="B92" s="1832">
        <f>'Assets-Liab 5-6'!C39</f>
        <v>5334</v>
      </c>
      <c r="D92" s="2" t="str">
        <f t="shared" si="0"/>
        <v>Error?</v>
      </c>
      <c r="G92" s="1897">
        <v>102640600</v>
      </c>
    </row>
    <row r="93" spans="1:7" ht="15" x14ac:dyDescent="0.25">
      <c r="A93" s="5">
        <v>32</v>
      </c>
      <c r="B93" s="1832">
        <f>'Assets-Liab 5-6'!C41</f>
        <v>69426</v>
      </c>
      <c r="C93" s="2" t="s">
        <v>569</v>
      </c>
      <c r="D93" s="2" t="str">
        <f t="shared" si="0"/>
        <v>Error?</v>
      </c>
      <c r="G93" s="1897">
        <v>102640800</v>
      </c>
    </row>
    <row r="94" spans="1:7" ht="15" x14ac:dyDescent="0.25">
      <c r="A94" s="10">
        <v>33</v>
      </c>
      <c r="B94" s="1832"/>
      <c r="D94" s="2" t="str">
        <f t="shared" si="0"/>
        <v>OK</v>
      </c>
      <c r="G94" s="1897">
        <v>102660300</v>
      </c>
    </row>
    <row r="95" spans="1:7" ht="15" x14ac:dyDescent="0.25">
      <c r="A95" s="10">
        <v>34</v>
      </c>
      <c r="B95" s="1832"/>
      <c r="D95" s="2" t="str">
        <f t="shared" si="0"/>
        <v>OK</v>
      </c>
      <c r="G95" s="1897">
        <v>102660400</v>
      </c>
    </row>
    <row r="96" spans="1:7" ht="15" x14ac:dyDescent="0.25">
      <c r="A96" s="10">
        <v>35</v>
      </c>
      <c r="B96" s="1832"/>
      <c r="D96" s="2" t="str">
        <f t="shared" si="0"/>
        <v>OK</v>
      </c>
      <c r="G96" s="1897">
        <v>102660600</v>
      </c>
    </row>
    <row r="97" spans="1:7" ht="15" x14ac:dyDescent="0.25">
      <c r="A97" s="5">
        <v>36</v>
      </c>
      <c r="B97" s="1832">
        <f>'Assets-Liab 5-6'!D6</f>
        <v>0</v>
      </c>
      <c r="D97" s="2" t="str">
        <f t="shared" si="0"/>
        <v>Error?</v>
      </c>
      <c r="G97" s="1897">
        <v>102660800</v>
      </c>
    </row>
    <row r="98" spans="1:7" ht="15" x14ac:dyDescent="0.25">
      <c r="A98" s="10">
        <v>37</v>
      </c>
      <c r="B98" s="1832"/>
      <c r="D98" s="2" t="str">
        <f t="shared" si="0"/>
        <v>OK</v>
      </c>
      <c r="G98" s="1897">
        <v>102900300</v>
      </c>
    </row>
    <row r="99" spans="1:7" ht="15" x14ac:dyDescent="0.25">
      <c r="A99" s="10">
        <v>38</v>
      </c>
      <c r="B99" s="1832"/>
      <c r="D99" s="2" t="str">
        <f t="shared" si="0"/>
        <v>OK</v>
      </c>
      <c r="G99" s="1897">
        <v>102900400</v>
      </c>
    </row>
    <row r="100" spans="1:7" ht="15" x14ac:dyDescent="0.25">
      <c r="A100" s="10">
        <v>39</v>
      </c>
      <c r="B100" s="1832"/>
      <c r="D100" s="2" t="str">
        <f t="shared" si="0"/>
        <v>OK</v>
      </c>
      <c r="G100" s="1897">
        <v>102900600</v>
      </c>
    </row>
    <row r="101" spans="1:7" ht="15" x14ac:dyDescent="0.25">
      <c r="A101" s="10">
        <v>40</v>
      </c>
      <c r="B101" s="1832"/>
      <c r="D101" s="2" t="str">
        <f t="shared" si="0"/>
        <v>OK</v>
      </c>
      <c r="G101" s="1897">
        <v>102900800</v>
      </c>
    </row>
    <row r="102" spans="1:7" ht="15" x14ac:dyDescent="0.25">
      <c r="A102" s="10">
        <v>41</v>
      </c>
      <c r="B102" s="1832"/>
      <c r="D102" s="2" t="str">
        <f t="shared" si="0"/>
        <v>OK</v>
      </c>
      <c r="G102" s="1897">
        <v>202900300</v>
      </c>
    </row>
    <row r="103" spans="1:7" ht="15" x14ac:dyDescent="0.25">
      <c r="A103" s="10">
        <v>42</v>
      </c>
      <c r="B103" s="1832"/>
      <c r="D103" s="2" t="str">
        <f t="shared" si="0"/>
        <v>OK</v>
      </c>
      <c r="G103" s="1897">
        <v>202900400</v>
      </c>
    </row>
    <row r="104" spans="1:7" ht="15" x14ac:dyDescent="0.25">
      <c r="A104" s="5">
        <v>43</v>
      </c>
      <c r="B104" s="1832">
        <f>'Assets-Liab 5-6'!D10</f>
        <v>0</v>
      </c>
      <c r="D104" s="2" t="str">
        <f t="shared" si="0"/>
        <v>Error?</v>
      </c>
      <c r="G104" s="1897">
        <v>202900600</v>
      </c>
    </row>
    <row r="105" spans="1:7" ht="15" x14ac:dyDescent="0.25">
      <c r="A105" s="5">
        <v>44</v>
      </c>
      <c r="B105" s="1832">
        <f>'Assets-Liab 5-6'!D5</f>
        <v>0</v>
      </c>
      <c r="D105" s="2" t="str">
        <f t="shared" si="0"/>
        <v>Error?</v>
      </c>
      <c r="G105" s="1897">
        <v>202900800</v>
      </c>
    </row>
    <row r="106" spans="1:7" ht="15" x14ac:dyDescent="0.25">
      <c r="A106" s="10">
        <v>45</v>
      </c>
      <c r="B106" s="1832"/>
      <c r="D106" s="2" t="str">
        <f t="shared" si="0"/>
        <v>OK</v>
      </c>
      <c r="G106" s="1897">
        <v>402900300</v>
      </c>
    </row>
    <row r="107" spans="1:7" ht="15" x14ac:dyDescent="0.25">
      <c r="A107" s="10">
        <v>46</v>
      </c>
      <c r="B107" s="1832"/>
      <c r="D107" s="2" t="str">
        <f t="shared" si="0"/>
        <v>OK</v>
      </c>
      <c r="G107" s="1897">
        <v>402900400</v>
      </c>
    </row>
    <row r="108" spans="1:7" ht="15" x14ac:dyDescent="0.25">
      <c r="A108" s="5">
        <v>47</v>
      </c>
      <c r="B108" s="1832">
        <f>'Assets-Liab 5-6'!D12</f>
        <v>0</v>
      </c>
      <c r="D108" s="2" t="str">
        <f t="shared" si="0"/>
        <v>Error?</v>
      </c>
      <c r="G108" s="1897">
        <v>402900600</v>
      </c>
    </row>
    <row r="109" spans="1:7" ht="15" x14ac:dyDescent="0.25">
      <c r="A109" s="5">
        <v>48</v>
      </c>
      <c r="B109" s="1832">
        <f>'Assets-Liab 5-6'!D13</f>
        <v>0</v>
      </c>
      <c r="C109" s="2" t="s">
        <v>569</v>
      </c>
      <c r="D109" s="2" t="str">
        <f t="shared" si="0"/>
        <v>Error?</v>
      </c>
      <c r="G109" s="1897">
        <v>402900800</v>
      </c>
    </row>
    <row r="110" spans="1:7" ht="15" x14ac:dyDescent="0.25">
      <c r="A110" s="10">
        <v>49</v>
      </c>
      <c r="B110" s="1832"/>
      <c r="D110" s="2" t="str">
        <f t="shared" si="0"/>
        <v>OK</v>
      </c>
      <c r="G110" s="1897">
        <v>602900300</v>
      </c>
    </row>
    <row r="111" spans="1:7" ht="15" x14ac:dyDescent="0.25">
      <c r="A111" s="10">
        <v>50</v>
      </c>
      <c r="B111" s="1832"/>
      <c r="D111" s="2" t="str">
        <f t="shared" si="0"/>
        <v>OK</v>
      </c>
      <c r="G111" s="1897">
        <v>602900400</v>
      </c>
    </row>
    <row r="112" spans="1:7" ht="15" x14ac:dyDescent="0.25">
      <c r="A112" s="10">
        <v>51</v>
      </c>
      <c r="B112" s="1832"/>
      <c r="D112" s="2" t="str">
        <f t="shared" si="0"/>
        <v>OK</v>
      </c>
      <c r="G112" s="1897">
        <v>602900600</v>
      </c>
    </row>
    <row r="113" spans="1:7" ht="15" x14ac:dyDescent="0.25">
      <c r="A113" s="10">
        <v>52</v>
      </c>
      <c r="B113" s="1832"/>
      <c r="D113" s="2" t="str">
        <f t="shared" si="0"/>
        <v>OK</v>
      </c>
      <c r="G113" s="1897">
        <v>602900800</v>
      </c>
    </row>
    <row r="114" spans="1:7" ht="15" x14ac:dyDescent="0.25">
      <c r="A114" s="10">
        <v>53</v>
      </c>
      <c r="B114" s="1832"/>
      <c r="D114" s="2" t="str">
        <f t="shared" si="0"/>
        <v>OK</v>
      </c>
      <c r="G114" s="1897">
        <v>902900300</v>
      </c>
    </row>
    <row r="115" spans="1:7" ht="15" x14ac:dyDescent="0.25">
      <c r="A115" s="10">
        <v>54</v>
      </c>
      <c r="B115" s="1832"/>
      <c r="D115" s="2" t="str">
        <f t="shared" si="0"/>
        <v>OK</v>
      </c>
      <c r="G115" s="1897">
        <v>902900400</v>
      </c>
    </row>
    <row r="116" spans="1:7" ht="15" x14ac:dyDescent="0.25">
      <c r="A116" s="10">
        <v>55</v>
      </c>
      <c r="B116" s="1832"/>
      <c r="D116" s="2" t="str">
        <f t="shared" si="0"/>
        <v>OK</v>
      </c>
      <c r="G116" s="1897">
        <v>902900600</v>
      </c>
    </row>
    <row r="117" spans="1:7" ht="15" x14ac:dyDescent="0.25">
      <c r="A117" s="5">
        <v>56</v>
      </c>
      <c r="B117" s="1832">
        <f>'Assets-Liab 5-6'!D31</f>
        <v>0</v>
      </c>
      <c r="D117" s="2" t="str">
        <f t="shared" si="0"/>
        <v>Error?</v>
      </c>
      <c r="G117" s="1897">
        <v>902900800</v>
      </c>
    </row>
    <row r="118" spans="1:7" ht="15" x14ac:dyDescent="0.25">
      <c r="A118" s="10">
        <v>57</v>
      </c>
      <c r="B118" s="1832"/>
      <c r="D118" s="2" t="str">
        <f t="shared" si="0"/>
        <v>OK</v>
      </c>
      <c r="G118" s="1897">
        <v>103000300</v>
      </c>
    </row>
    <row r="119" spans="1:7" ht="15" x14ac:dyDescent="0.25">
      <c r="A119" s="5">
        <v>58</v>
      </c>
      <c r="B119" s="1832">
        <f>'Assets-Liab 5-6'!D32</f>
        <v>0</v>
      </c>
      <c r="D119" s="2" t="str">
        <f t="shared" si="0"/>
        <v>Error?</v>
      </c>
      <c r="G119" s="1897">
        <v>103000400</v>
      </c>
    </row>
    <row r="120" spans="1:7" ht="15" x14ac:dyDescent="0.25">
      <c r="A120" s="10">
        <v>59</v>
      </c>
      <c r="B120" s="1832"/>
      <c r="D120" s="2" t="str">
        <f t="shared" si="0"/>
        <v>OK</v>
      </c>
      <c r="G120" s="1897">
        <v>103000600</v>
      </c>
    </row>
    <row r="121" spans="1:7" ht="15" x14ac:dyDescent="0.25">
      <c r="A121" s="10">
        <v>60</v>
      </c>
      <c r="B121" s="1832"/>
      <c r="D121" s="2" t="str">
        <f t="shared" si="0"/>
        <v>OK</v>
      </c>
      <c r="G121" s="1897">
        <v>103000800</v>
      </c>
    </row>
    <row r="122" spans="1:7" ht="15" x14ac:dyDescent="0.25">
      <c r="A122" s="5">
        <v>61</v>
      </c>
      <c r="B122" s="1832">
        <f>'Assets-Liab 5-6'!D34</f>
        <v>0</v>
      </c>
      <c r="C122" s="2" t="s">
        <v>569</v>
      </c>
      <c r="D122" s="2" t="str">
        <f t="shared" si="0"/>
        <v>Error?</v>
      </c>
      <c r="G122" s="1897">
        <v>203000300</v>
      </c>
    </row>
    <row r="123" spans="1:7" ht="15" x14ac:dyDescent="0.25">
      <c r="A123" s="5">
        <v>62</v>
      </c>
      <c r="B123" s="1832">
        <f>'Assets-Liab 5-6'!D39</f>
        <v>0</v>
      </c>
      <c r="D123" s="2" t="str">
        <f t="shared" si="0"/>
        <v>Error?</v>
      </c>
      <c r="G123" s="1897">
        <v>203000400</v>
      </c>
    </row>
    <row r="124" spans="1:7" ht="15" x14ac:dyDescent="0.25">
      <c r="A124" s="5">
        <v>63</v>
      </c>
      <c r="B124" s="1832">
        <f>'Assets-Liab 5-6'!D41</f>
        <v>0</v>
      </c>
      <c r="C124" s="2" t="s">
        <v>569</v>
      </c>
      <c r="D124" s="2" t="str">
        <f t="shared" si="0"/>
        <v>Error?</v>
      </c>
      <c r="G124" s="1897">
        <v>203000600</v>
      </c>
    </row>
    <row r="125" spans="1:7" ht="15" x14ac:dyDescent="0.25">
      <c r="A125" s="10">
        <v>64</v>
      </c>
      <c r="B125" s="1832"/>
      <c r="D125" s="2" t="str">
        <f t="shared" si="0"/>
        <v>OK</v>
      </c>
      <c r="G125" s="1897">
        <v>203000800</v>
      </c>
    </row>
    <row r="126" spans="1:7" ht="15" x14ac:dyDescent="0.25">
      <c r="A126" s="5">
        <v>65</v>
      </c>
      <c r="B126" s="1832">
        <f>'Assets-Liab 5-6'!E6</f>
        <v>0</v>
      </c>
      <c r="D126" s="2" t="str">
        <f t="shared" si="0"/>
        <v>Error?</v>
      </c>
      <c r="G126" s="1897">
        <v>403000300</v>
      </c>
    </row>
    <row r="127" spans="1:7" ht="15" x14ac:dyDescent="0.25">
      <c r="A127" s="10">
        <v>66</v>
      </c>
      <c r="B127" s="1832"/>
      <c r="D127" s="2" t="str">
        <f t="shared" ref="D127:D190" si="1">IF(ISBLANK(B127),"OK",IF(A127-B127=0,"OK","Error?"))</f>
        <v>OK</v>
      </c>
      <c r="G127" s="1897">
        <v>403000400</v>
      </c>
    </row>
    <row r="128" spans="1:7" ht="15" x14ac:dyDescent="0.25">
      <c r="A128" s="10">
        <v>67</v>
      </c>
      <c r="B128" s="1832"/>
      <c r="D128" s="2" t="str">
        <f t="shared" si="1"/>
        <v>OK</v>
      </c>
      <c r="G128" s="1897">
        <v>403000600</v>
      </c>
    </row>
    <row r="129" spans="1:7" ht="15" x14ac:dyDescent="0.25">
      <c r="A129" s="5">
        <v>68</v>
      </c>
      <c r="B129" s="1832">
        <f>'Assets-Liab 5-6'!E5</f>
        <v>0</v>
      </c>
      <c r="D129" s="2" t="str">
        <f t="shared" si="1"/>
        <v>Error?</v>
      </c>
      <c r="G129" s="1897">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185184</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185184</v>
      </c>
      <c r="C279" s="2" t="s">
        <v>569</v>
      </c>
      <c r="D279" s="2" t="str">
        <f t="shared" si="3"/>
        <v>Error?</v>
      </c>
    </row>
    <row r="280" spans="1:4" x14ac:dyDescent="0.2">
      <c r="A280" s="5">
        <v>219</v>
      </c>
      <c r="B280" s="1832">
        <f>'Assets-Liab 5-6'!M40</f>
        <v>185184</v>
      </c>
      <c r="D280" s="2" t="str">
        <f t="shared" si="3"/>
        <v>Error?</v>
      </c>
    </row>
    <row r="281" spans="1:4" x14ac:dyDescent="0.2">
      <c r="A281" s="5">
        <v>220</v>
      </c>
      <c r="B281" s="1832">
        <f>'Assets-Liab 5-6'!M41</f>
        <v>185184</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0</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0</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18736</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18736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0</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0</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250555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68819</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68819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68819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37631</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37631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37631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125186</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125186</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0</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0</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0</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0</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231819</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357005</v>
      </c>
      <c r="C1152" s="2" t="s">
        <v>569</v>
      </c>
      <c r="D1152" s="2" t="str">
        <f t="shared" si="17"/>
        <v>Error?</v>
      </c>
    </row>
    <row r="1153" spans="1:4" x14ac:dyDescent="0.2">
      <c r="A1153" s="5">
        <v>1092</v>
      </c>
      <c r="B1153" s="1832">
        <f>'Expenditures 15-22'!K115</f>
        <v>5133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64293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69426</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118407</v>
      </c>
      <c r="D2011" s="2" t="str">
        <f t="shared" si="30"/>
        <v>Error?</v>
      </c>
    </row>
    <row r="2012" spans="1:4" x14ac:dyDescent="0.2">
      <c r="A2012" s="5">
        <v>1951</v>
      </c>
      <c r="B2012" s="1832">
        <f>'Cap Outlay Deprec 26'!C13</f>
        <v>51303</v>
      </c>
      <c r="D2012" s="2" t="str">
        <f t="shared" si="30"/>
        <v>Error?</v>
      </c>
    </row>
    <row r="2013" spans="1:4" x14ac:dyDescent="0.2">
      <c r="A2013" s="5">
        <v>1952</v>
      </c>
      <c r="B2013" s="1832">
        <f>'Cap Outlay Deprec 26'!C16</f>
        <v>169710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28276</v>
      </c>
      <c r="D2017" s="2" t="str">
        <f t="shared" si="30"/>
        <v>Error?</v>
      </c>
    </row>
    <row r="2018" spans="1:4" x14ac:dyDescent="0.2">
      <c r="A2018" s="5">
        <v>1957</v>
      </c>
      <c r="B2018" s="1832">
        <f>'Cap Outlay Deprec 26'!D13</f>
        <v>9355</v>
      </c>
      <c r="D2018" s="2" t="str">
        <f t="shared" si="30"/>
        <v>Error?</v>
      </c>
    </row>
    <row r="2019" spans="1:4" x14ac:dyDescent="0.2">
      <c r="A2019" s="5">
        <v>1958</v>
      </c>
      <c r="B2019" s="1832">
        <f>'Cap Outlay Deprec 26'!D16</f>
        <v>37631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12141</v>
      </c>
      <c r="D2023" s="2" t="str">
        <f t="shared" si="30"/>
        <v>Error?</v>
      </c>
    </row>
    <row r="2024" spans="1:4" x14ac:dyDescent="0.2">
      <c r="A2024" s="5">
        <v>1963</v>
      </c>
      <c r="B2024" s="1832">
        <f>'Cap Outlay Deprec 26'!E13</f>
        <v>10016</v>
      </c>
      <c r="D2024" s="2" t="str">
        <f t="shared" si="30"/>
        <v>Error?</v>
      </c>
    </row>
    <row r="2025" spans="1:4" x14ac:dyDescent="0.2">
      <c r="A2025" s="5">
        <v>1964</v>
      </c>
      <c r="B2025" s="1832">
        <f>'Cap Outlay Deprec 26'!E16</f>
        <v>22157</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134542</v>
      </c>
      <c r="C2029" s="2" t="s">
        <v>569</v>
      </c>
      <c r="D2029" s="2" t="str">
        <f t="shared" si="30"/>
        <v>Error?</v>
      </c>
    </row>
    <row r="2030" spans="1:4" x14ac:dyDescent="0.2">
      <c r="A2030" s="5">
        <v>1969</v>
      </c>
      <c r="B2030" s="1832">
        <f>'Cap Outlay Deprec 26'!F13</f>
        <v>50642</v>
      </c>
      <c r="C2030" s="2" t="s">
        <v>569</v>
      </c>
      <c r="D2030" s="2" t="str">
        <f t="shared" si="30"/>
        <v>Error?</v>
      </c>
    </row>
    <row r="2031" spans="1:4" x14ac:dyDescent="0.2">
      <c r="A2031" s="5">
        <v>1970</v>
      </c>
      <c r="B2031" s="1832">
        <f>'Cap Outlay Deprec 26'!F16</f>
        <v>185184</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0</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0</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0</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134542</v>
      </c>
      <c r="C2059" s="2" t="s">
        <v>569</v>
      </c>
      <c r="D2059" s="2" t="str">
        <f t="shared" si="31"/>
        <v>Error?</v>
      </c>
    </row>
    <row r="2060" spans="1:4" x14ac:dyDescent="0.2">
      <c r="A2060" s="5">
        <v>1999</v>
      </c>
      <c r="B2060" s="1832">
        <f>'Cap Outlay Deprec 26'!L13</f>
        <v>50642</v>
      </c>
      <c r="C2060" s="2" t="s">
        <v>569</v>
      </c>
      <c r="D2060" s="2" t="str">
        <f t="shared" si="31"/>
        <v>Error?</v>
      </c>
    </row>
    <row r="2061" spans="1:4" x14ac:dyDescent="0.2">
      <c r="A2061" s="5">
        <v>2000</v>
      </c>
      <c r="B2061" s="1832">
        <f>'Cap Outlay Deprec 26'!L16</f>
        <v>185184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231819</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64092</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73718</v>
      </c>
      <c r="C2553" s="2" t="s">
        <v>569</v>
      </c>
      <c r="D2553" s="2" t="str">
        <f t="shared" si="38"/>
        <v>Error?</v>
      </c>
    </row>
    <row r="2554" spans="1:4" x14ac:dyDescent="0.2">
      <c r="A2554" s="5">
        <v>2493</v>
      </c>
      <c r="B2554" s="1832">
        <f>'Acct Summary 7-8'!C7</f>
        <v>56573</v>
      </c>
      <c r="C2554" s="2" t="s">
        <v>569</v>
      </c>
      <c r="D2554" s="2" t="str">
        <f t="shared" si="38"/>
        <v>Error?</v>
      </c>
    </row>
    <row r="2555" spans="1:4" x14ac:dyDescent="0.2">
      <c r="A2555" s="5">
        <v>2494</v>
      </c>
      <c r="B2555" s="1832">
        <f>'Acct Summary 7-8'!C8</f>
        <v>362138</v>
      </c>
      <c r="C2555" s="2" t="s">
        <v>569</v>
      </c>
      <c r="D2555" s="2" t="str">
        <f t="shared" si="38"/>
        <v>Error?</v>
      </c>
    </row>
    <row r="2556" spans="1:4" x14ac:dyDescent="0.2">
      <c r="A2556" s="5">
        <v>2495</v>
      </c>
      <c r="B2556" s="1832">
        <f>'Acct Summary 7-8'!C12</f>
        <v>125186</v>
      </c>
      <c r="C2556" s="2" t="s">
        <v>569</v>
      </c>
      <c r="D2556" s="2" t="str">
        <f t="shared" si="38"/>
        <v>Error?</v>
      </c>
    </row>
    <row r="2557" spans="1:4" x14ac:dyDescent="0.2">
      <c r="A2557" s="5">
        <v>2496</v>
      </c>
      <c r="B2557" s="1832">
        <f>'Acct Summary 7-8'!C13</f>
        <v>0</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231819</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357005</v>
      </c>
      <c r="C2561" s="2" t="s">
        <v>569</v>
      </c>
      <c r="D2561" s="2" t="str">
        <f t="shared" si="39"/>
        <v>Error?</v>
      </c>
    </row>
    <row r="2562" spans="1:4" x14ac:dyDescent="0.2">
      <c r="A2562" s="5">
        <v>2501</v>
      </c>
      <c r="B2562" s="1832">
        <f>'Acct Summary 7-8'!C20</f>
        <v>5133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231819</v>
      </c>
      <c r="C2789" s="2" t="s">
        <v>569</v>
      </c>
      <c r="D2789" s="2" t="str">
        <f t="shared" si="42"/>
        <v>Error?</v>
      </c>
    </row>
    <row r="2790" spans="1:4" x14ac:dyDescent="0.2">
      <c r="A2790" s="5">
        <v>2729</v>
      </c>
      <c r="B2790" s="1832">
        <f>'Expenditures 15-22'!E102</f>
        <v>231819</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231819</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231819</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5133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231819</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63627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362138</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357005</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69426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56573</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28</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28</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0</v>
      </c>
      <c r="C5120" s="2" t="s">
        <v>569</v>
      </c>
      <c r="D5120" s="2" t="str">
        <f t="shared" si="79"/>
        <v>Error?</v>
      </c>
    </row>
    <row r="5121" spans="1:4" x14ac:dyDescent="0.2">
      <c r="A5121" s="5">
        <v>5060</v>
      </c>
      <c r="B5121" s="1832">
        <f>'Revenues 9-14'!C109</f>
        <v>28</v>
      </c>
      <c r="C5121" s="2" t="s">
        <v>569</v>
      </c>
      <c r="D5121" s="2" t="str">
        <f t="shared" si="79"/>
        <v>Error?</v>
      </c>
    </row>
    <row r="5122" spans="1:4" x14ac:dyDescent="0.2">
      <c r="A5122" s="5">
        <v>5061</v>
      </c>
      <c r="B5122" s="1832">
        <f>'Revenues 9-14'!C111</f>
        <v>228719</v>
      </c>
      <c r="D5122" s="2" t="str">
        <f t="shared" si="79"/>
        <v>Error?</v>
      </c>
    </row>
    <row r="5123" spans="1:4" x14ac:dyDescent="0.2">
      <c r="A5123" s="5">
        <v>5062</v>
      </c>
      <c r="B5123" s="1832">
        <f>'Revenues 9-14'!C112</f>
        <v>3100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231819</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73718</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73718</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73718</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73718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56573</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56573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56573</v>
      </c>
      <c r="C5326" s="2" t="s">
        <v>569</v>
      </c>
      <c r="D5326" s="2" t="str">
        <f t="shared" si="82"/>
        <v>Error?</v>
      </c>
    </row>
    <row r="5327" spans="1:5" x14ac:dyDescent="0.2">
      <c r="A5327" s="5">
        <v>5266</v>
      </c>
      <c r="B5327" s="1832">
        <f>'Revenues 9-14'!C268</f>
        <v>362138</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5799</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5133</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7.3934837092731825E-2</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357005</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269450</v>
      </c>
      <c r="D7834" s="2" t="str">
        <f t="shared" si="129"/>
        <v>Error?</v>
      </c>
      <c r="E7834" s="4" t="s">
        <v>1998</v>
      </c>
    </row>
    <row r="7835" spans="1:5" x14ac:dyDescent="0.2">
      <c r="A7835">
        <v>7774</v>
      </c>
      <c r="B7835" s="1832">
        <f>'PCTC-OEPP 27-28'!F78</f>
        <v>87555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73718</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56573</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130291</v>
      </c>
      <c r="D7877" s="2" t="str">
        <f t="shared" si="129"/>
        <v>Error?</v>
      </c>
      <c r="E7877" s="4" t="s">
        <v>1998</v>
      </c>
    </row>
    <row r="7878" spans="1:5" x14ac:dyDescent="0.2">
      <c r="A7878">
        <v>7817</v>
      </c>
      <c r="B7878" s="1832">
        <f>'PCTC-OEPP 27-28'!F176</f>
        <v>-42736</v>
      </c>
      <c r="D7878" s="2" t="str">
        <f t="shared" si="129"/>
        <v>Error?</v>
      </c>
      <c r="E7878" s="4" t="s">
        <v>1998</v>
      </c>
    </row>
    <row r="7879" spans="1:5" x14ac:dyDescent="0.2">
      <c r="A7879">
        <v>7818</v>
      </c>
      <c r="B7879" s="1832">
        <f>'PCTC-OEPP 27-28'!F178</f>
        <v>-42736</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LINCOLNLAND REGIONAL DELIVERY SYSTEM</v>
      </c>
      <c r="B7" s="2517"/>
      <c r="C7" s="2517"/>
      <c r="D7" s="2555"/>
      <c r="E7" s="2556" t="str">
        <f>COVER!A13</f>
        <v>17-054-404-046</v>
      </c>
      <c r="F7" s="2557"/>
      <c r="G7" s="2523" t="str">
        <f>COVER!T23</f>
        <v>066-005243</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J.M. ABBOTT &amp; ASSOCIATES, LTD.</v>
      </c>
      <c r="H9" s="2530"/>
      <c r="I9" s="2530"/>
      <c r="J9" s="2530"/>
      <c r="K9" s="2530"/>
      <c r="L9" s="2531"/>
    </row>
    <row r="10" spans="1:29" ht="13.5" customHeight="1" x14ac:dyDescent="0.2">
      <c r="A10" s="2513" t="str">
        <f>COVER!A38</f>
        <v>R. MATTHEW PUCKETT</v>
      </c>
      <c r="B10" s="2514"/>
      <c r="C10" s="2514"/>
      <c r="D10" s="2514"/>
      <c r="E10" s="2514"/>
      <c r="F10" s="2515"/>
      <c r="G10" s="2529" t="str">
        <f>COVER!T17</f>
        <v>207 S. MCLEAN ST.</v>
      </c>
      <c r="H10" s="2542"/>
      <c r="I10" s="2542"/>
      <c r="J10" s="2542"/>
      <c r="K10" s="2542"/>
      <c r="L10" s="2543"/>
    </row>
    <row r="11" spans="1:29" ht="13.5" customHeight="1" x14ac:dyDescent="0.2">
      <c r="A11" s="963" t="s">
        <v>1502</v>
      </c>
      <c r="B11" s="964"/>
      <c r="C11" s="965"/>
      <c r="D11" s="970"/>
      <c r="E11" s="965"/>
      <c r="F11" s="969"/>
      <c r="G11" s="2529" t="str">
        <f>COVER!T19</f>
        <v>LINCOLN</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debbie@jmabbott.com</v>
      </c>
      <c r="J13" s="2551"/>
      <c r="K13" s="2551"/>
      <c r="L13" s="2552"/>
    </row>
    <row r="14" spans="1:29" ht="13.5" customHeight="1" x14ac:dyDescent="0.2">
      <c r="A14" s="2529" t="str">
        <f>COVER!A19</f>
        <v>1000 RAILER WAY</v>
      </c>
      <c r="B14" s="2542"/>
      <c r="C14" s="2542"/>
      <c r="D14" s="2542"/>
      <c r="E14" s="2542"/>
      <c r="F14" s="2543"/>
      <c r="G14" s="974" t="s">
        <v>1175</v>
      </c>
      <c r="H14" s="972"/>
      <c r="I14" s="972"/>
      <c r="J14" s="972"/>
      <c r="K14" s="972"/>
      <c r="L14" s="973"/>
    </row>
    <row r="15" spans="1:29" ht="13.5" customHeight="1" x14ac:dyDescent="0.2">
      <c r="A15" s="2529" t="str">
        <f>COVER!A21</f>
        <v>LINCOLN</v>
      </c>
      <c r="B15" s="2542"/>
      <c r="C15" s="2542"/>
      <c r="D15" s="2542"/>
      <c r="E15" s="2542"/>
      <c r="F15" s="2543"/>
      <c r="G15" s="2539" t="str">
        <f>COVER!T15</f>
        <v>DEBRA LAST</v>
      </c>
      <c r="H15" s="2540"/>
      <c r="I15" s="2540"/>
      <c r="J15" s="2540"/>
      <c r="K15" s="2540"/>
      <c r="L15" s="2541"/>
    </row>
    <row r="16" spans="1:29" ht="12.2" customHeight="1" x14ac:dyDescent="0.2">
      <c r="A16" s="2519">
        <f>COVER!A25</f>
        <v>62656</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217-735-1576</v>
      </c>
      <c r="H18" s="2517"/>
      <c r="I18" s="2517"/>
      <c r="J18" s="2517"/>
      <c r="K18" s="2516" t="str">
        <f>COVER!X21</f>
        <v>217-735-5866</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 right="0.27" top="0.68" bottom="1" header="0.26" footer="0.5"/>
  <pageSetup scale="99"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LINCOLNLAND REGIONAL DELIVERY SYSTEM</v>
      </c>
      <c r="B1" s="2559"/>
      <c r="C1" s="2559"/>
      <c r="D1" s="2559"/>
    </row>
    <row r="2" spans="1:11" s="991" customFormat="1" ht="12.75" x14ac:dyDescent="0.2">
      <c r="A2" s="2560" t="str">
        <f>'Single Audit Cover'!E7</f>
        <v>17-054-404-046</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5" right="0" top="0.5" bottom="0.15" header="0.3" footer="0.3"/>
  <pageSetup scale="71" firstPageNumber="36"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LINCOLNLAND REGIONAL DELIVERY SYSTEM</v>
      </c>
      <c r="B1" s="2563"/>
      <c r="C1" s="2563"/>
      <c r="D1" s="2563"/>
      <c r="E1" s="2563"/>
    </row>
    <row r="2" spans="1:5" x14ac:dyDescent="0.2">
      <c r="A2" s="2564" t="str">
        <f>'Single Audit Cover'!E7</f>
        <v>17-054-404-046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56573</v>
      </c>
    </row>
    <row r="11" spans="1:5" ht="18" customHeight="1" x14ac:dyDescent="0.2">
      <c r="A11" s="1037" t="s">
        <v>1229</v>
      </c>
      <c r="B11" s="1038"/>
      <c r="C11" s="1038"/>
    </row>
    <row r="12" spans="1:5" x14ac:dyDescent="0.2">
      <c r="A12" s="1037" t="s">
        <v>1228</v>
      </c>
      <c r="B12" s="1038" t="s">
        <v>1227</v>
      </c>
      <c r="C12" s="1038"/>
      <c r="D12" s="1040">
        <f>SUM('Revenues 9-14'!C112:D112,'Revenues 9-14'!F112:G112)</f>
        <v>3100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59673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59673</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59673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8"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LINCOLNLAND REGIONAL DELIVERY SYSTEM</v>
      </c>
      <c r="C1" s="2567"/>
      <c r="D1" s="2567"/>
      <c r="E1" s="2567"/>
      <c r="F1" s="2567"/>
      <c r="G1" s="2567"/>
      <c r="H1" s="2567"/>
      <c r="I1" s="2567"/>
      <c r="J1" s="2567"/>
      <c r="K1" s="2567"/>
      <c r="L1" s="2567"/>
      <c r="M1" s="2567"/>
    </row>
    <row r="2" spans="2:14" ht="15" x14ac:dyDescent="0.2">
      <c r="B2" s="2568" t="str">
        <f>'Single Audit Cover'!E7</f>
        <v>17-054-404-046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zoomScaleNormal="100" workbookViewId="0">
      <selection activeCell="B3" sqref="B3:M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LINCOLNLAND REGIONAL DELIVERY SYSTEM</v>
      </c>
      <c r="C1" s="2567"/>
      <c r="D1" s="2567"/>
      <c r="E1" s="2567"/>
      <c r="F1" s="2567"/>
      <c r="G1" s="2567"/>
      <c r="H1" s="2567"/>
      <c r="I1" s="2567"/>
      <c r="J1" s="2567"/>
      <c r="K1" s="2567"/>
      <c r="L1" s="2567"/>
      <c r="M1" s="2567"/>
    </row>
    <row r="2" spans="2:14" ht="15" x14ac:dyDescent="0.2">
      <c r="B2" s="2568" t="str">
        <f>'Single Audit Cover'!E7</f>
        <v>17-054-404-046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A11" sqref="A11:H1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2"/>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2"/>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3"/>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2059</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35"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2"/>
  <sheetViews>
    <sheetView showGridLines="0" zoomScaleNormal="100"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LINCOLNLAND REGIONAL DELIVERY SYSTEM</v>
      </c>
      <c r="C1" s="2567"/>
      <c r="D1" s="2567"/>
      <c r="E1" s="2567"/>
      <c r="F1" s="2567"/>
      <c r="G1" s="2567"/>
      <c r="H1" s="2567"/>
      <c r="I1" s="2567"/>
      <c r="J1" s="2567"/>
      <c r="K1" s="2567"/>
      <c r="L1" s="2567"/>
      <c r="M1" s="2567"/>
    </row>
    <row r="2" spans="2:14" ht="15" x14ac:dyDescent="0.2">
      <c r="B2" s="2568" t="str">
        <f>'Single Audit Cover'!E7</f>
        <v>17-054-404-046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41B</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N152"/>
  <sheetViews>
    <sheetView showGridLines="0" zoomScaleNormal="100" workbookViewId="0">
      <selection activeCell="B3" sqref="B3:M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LINCOLNLAND REGIONAL DELIVERY SYSTEM</v>
      </c>
      <c r="C1" s="2567"/>
      <c r="D1" s="2567"/>
      <c r="E1" s="2567"/>
      <c r="F1" s="2567"/>
      <c r="G1" s="2567"/>
      <c r="H1" s="2567"/>
      <c r="I1" s="2567"/>
      <c r="J1" s="2567"/>
      <c r="K1" s="2567"/>
      <c r="L1" s="2567"/>
      <c r="M1" s="2567"/>
    </row>
    <row r="2" spans="2:14" ht="15" x14ac:dyDescent="0.2">
      <c r="B2" s="2568" t="str">
        <f>'Single Audit Cover'!E7</f>
        <v>17-054-404-046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41C</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LINCOLNLAND REGIONAL DELIVERY SYSTEM</v>
      </c>
      <c r="B1" s="2572"/>
      <c r="C1" s="2572"/>
      <c r="D1" s="2572"/>
      <c r="E1" s="2572"/>
      <c r="F1" s="2572"/>
    </row>
    <row r="2" spans="1:7" ht="13.5" customHeight="1" x14ac:dyDescent="0.2">
      <c r="A2" s="2568" t="str">
        <f>'Single Audit Cover'!E7</f>
        <v>17-054-404-046</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1706</v>
      </c>
      <c r="B7" s="2571"/>
      <c r="C7" s="2571"/>
      <c r="D7" s="2571"/>
      <c r="E7" s="2571"/>
      <c r="F7" s="257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1708</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1709</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LINCOLNLAND REGIONAL DELIVERY SYSTEM</v>
      </c>
      <c r="C1" s="2588"/>
      <c r="D1" s="2588"/>
      <c r="E1" s="2588"/>
      <c r="F1" s="2588"/>
      <c r="G1" s="2588"/>
      <c r="H1" s="2588"/>
      <c r="I1" s="2588"/>
      <c r="J1" s="1178"/>
    </row>
    <row r="2" spans="2:10" s="295" customFormat="1" ht="12.75" customHeight="1" x14ac:dyDescent="0.2">
      <c r="B2" s="2589" t="str">
        <f>'Single Audit Cover'!E7</f>
        <v>17-054-404-046</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5" t="s">
        <v>1728</v>
      </c>
      <c r="D37" s="2596"/>
      <c r="E37" s="2596"/>
      <c r="F37" s="2597"/>
      <c r="G37" s="2595" t="s">
        <v>1575</v>
      </c>
      <c r="H37" s="2596"/>
      <c r="I37" s="2597"/>
    </row>
    <row r="38" spans="2:9" ht="16.5" customHeight="1" x14ac:dyDescent="0.2">
      <c r="B38" s="1200"/>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6" t="str">
        <f>"Total Federal Expenditures for 7/1/"&amp;MID('AFR20'!E2,3,2)-1&amp;"-6/30/"&amp;MID('AFR20'!E2,3,2)</f>
        <v>Total Federal Expenditures for 7/1/19-6/30/20</v>
      </c>
      <c r="C45" s="1917"/>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7"/>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 right="0.2" top="0.46" bottom="0.4" header="0.25" footer="0.28999999999999998"/>
  <pageSetup firstPageNumber="40" orientation="portrait" useFirstPageNumber="1" r:id="rId1"/>
  <headerFooter alignWithMargins="0">
    <oddHeader>&amp;R&amp;8Page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LINCOLNLAND REGIONAL DELIVERY SYSTEM</v>
      </c>
      <c r="C1" s="2587"/>
      <c r="D1" s="2587"/>
      <c r="E1" s="2587"/>
      <c r="F1" s="2587"/>
      <c r="G1" s="2587"/>
      <c r="H1" s="2587"/>
      <c r="I1" s="2587"/>
      <c r="J1" s="2587"/>
      <c r="K1" s="2587"/>
      <c r="L1" s="1144"/>
      <c r="M1" s="1144"/>
    </row>
    <row r="2" spans="1:13" ht="12" customHeight="1" x14ac:dyDescent="0.2">
      <c r="B2" s="2589" t="str">
        <f>'Single Audit Cover'!E7</f>
        <v>17-054-404-046</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LINCOLNLAND REGIONAL DELIVERY SYSTEM</v>
      </c>
      <c r="C1" s="2614"/>
      <c r="D1" s="2614"/>
      <c r="E1" s="2614"/>
      <c r="F1" s="2614"/>
      <c r="G1" s="2614"/>
      <c r="H1" s="2614"/>
      <c r="I1" s="2614"/>
      <c r="J1" s="2614"/>
      <c r="K1" s="2614"/>
      <c r="L1" s="1221"/>
    </row>
    <row r="2" spans="1:12" ht="12.75" customHeight="1" x14ac:dyDescent="0.2">
      <c r="B2" s="2615" t="str">
        <f>'Single Audit Cover'!E7</f>
        <v>17-054-404-046</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8"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B3" sqref="B3:D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LINCOLNLAND REGIONAL DELIVERY SYSTEM</v>
      </c>
      <c r="C1" s="2587"/>
      <c r="D1" s="2587"/>
      <c r="E1" s="1240"/>
    </row>
    <row r="2" spans="2:5" s="1058" customFormat="1" ht="12.75" customHeight="1" x14ac:dyDescent="0.2">
      <c r="B2" s="2589" t="str">
        <f>'Single Audit Cover'!E7</f>
        <v>17-054-404-046</v>
      </c>
      <c r="C2" s="2589"/>
      <c r="D2" s="2589"/>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6"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N13" sqref="N1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362138</v>
      </c>
      <c r="E16" s="1547"/>
      <c r="F16" s="1546">
        <f>SUM('Acct Summary 7-8'!C17,'Acct Summary 7-8'!D17,'Acct Summary 7-8'!F17)</f>
        <v>357005</v>
      </c>
      <c r="G16" s="1547"/>
      <c r="H16" s="1546">
        <f>SUM(D16-F16)</f>
        <v>5133</v>
      </c>
      <c r="I16" s="1548"/>
      <c r="J16" s="1546">
        <f>SUM('Acct Summary 7-8'!C81,'Acct Summary 7-8'!D81,'Acct Summary 7-8'!F81,'Acct Summary 7-8'!I81)</f>
        <v>69426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7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11" sqref="A11:J1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LINCOLNLAND REGIONAL DELIVERY SYSTEM</v>
      </c>
      <c r="E7" s="368"/>
      <c r="G7" s="247"/>
      <c r="H7" s="364"/>
      <c r="I7" s="364"/>
      <c r="J7" s="364"/>
      <c r="K7" s="364"/>
      <c r="L7" s="307"/>
      <c r="M7" s="307"/>
      <c r="N7" s="307"/>
      <c r="O7" s="307"/>
      <c r="P7" s="307"/>
    </row>
    <row r="8" spans="1:18" ht="12.75" x14ac:dyDescent="0.2">
      <c r="A8" s="307"/>
      <c r="B8" s="307"/>
      <c r="C8" s="366" t="s">
        <v>1115</v>
      </c>
      <c r="D8" s="369" t="str">
        <f>COVER!A13</f>
        <v>17-054-404-046</v>
      </c>
      <c r="E8" s="370"/>
      <c r="G8" s="307"/>
      <c r="H8" s="307"/>
      <c r="I8" s="307"/>
      <c r="J8" s="307"/>
      <c r="K8" s="307"/>
      <c r="L8" s="307"/>
      <c r="M8" s="307"/>
      <c r="N8" s="307"/>
      <c r="O8" s="307"/>
      <c r="P8" s="307"/>
    </row>
    <row r="9" spans="1:18" ht="12.75" x14ac:dyDescent="0.2">
      <c r="A9" s="307"/>
      <c r="B9" s="307"/>
      <c r="C9" s="366" t="s">
        <v>708</v>
      </c>
      <c r="D9" s="371" t="str">
        <f>COVER!A15</f>
        <v>LOGAN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3</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69426</v>
      </c>
      <c r="I12" s="380"/>
      <c r="J12" s="380"/>
      <c r="K12" s="1559">
        <f>TRUNC((H12/H13*100000),5)/100000</f>
        <v>0.19171144700000001</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362138</v>
      </c>
      <c r="I13" s="380"/>
      <c r="J13" s="380"/>
      <c r="K13" s="1558"/>
      <c r="L13" s="213"/>
      <c r="M13" s="337" t="s">
        <v>1135</v>
      </c>
      <c r="N13" s="337"/>
      <c r="O13" s="1563">
        <f>(O11*O12)</f>
        <v>1.0499999999999998</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357005</v>
      </c>
      <c r="I17" s="380"/>
      <c r="J17" s="389"/>
      <c r="K17" s="1559">
        <f>TRUNC((H17/H18*100000),5)/100000</f>
        <v>0.98582584529999995</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362138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2</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63627</v>
      </c>
      <c r="I24" s="394"/>
      <c r="J24" s="394"/>
      <c r="K24" s="1555">
        <f>TRUNC(((H24/H25*100000)/100000),2)</f>
        <v>64.16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991.68056000000001</v>
      </c>
      <c r="I25" s="396"/>
      <c r="J25" s="396"/>
      <c r="K25" s="1558"/>
      <c r="L25" s="213"/>
      <c r="M25" s="337" t="s">
        <v>1135</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5"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1" activePane="bottomLeft" state="frozen"/>
      <selection activeCell="A11" sqref="A11:J11"/>
      <selection pane="bottomLeft" activeCell="A11" sqref="A11:J1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63627</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v>5799</v>
      </c>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69426</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185184</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185184</v>
      </c>
      <c r="N23" s="1594">
        <f>SUM(N21:N22)</f>
        <v>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64092</v>
      </c>
      <c r="D38" s="1573"/>
      <c r="E38" s="1573"/>
      <c r="F38" s="1573"/>
      <c r="G38" s="1573"/>
      <c r="H38" s="1573"/>
      <c r="I38" s="1573"/>
      <c r="J38" s="1574"/>
      <c r="K38" s="1573"/>
      <c r="L38" s="1586"/>
      <c r="M38" s="1604"/>
      <c r="N38" s="1604"/>
    </row>
    <row r="39" spans="1:14" s="307" customFormat="1" ht="13.5" customHeight="1" x14ac:dyDescent="0.2">
      <c r="A39" s="438" t="s">
        <v>339</v>
      </c>
      <c r="B39" s="432">
        <v>730</v>
      </c>
      <c r="C39" s="1573">
        <v>5334</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185184</v>
      </c>
      <c r="N40" s="1604"/>
    </row>
    <row r="41" spans="1:14" ht="13.5" customHeight="1" thickBot="1" x14ac:dyDescent="0.25">
      <c r="A41" s="1426" t="s">
        <v>650</v>
      </c>
      <c r="B41" s="1405"/>
      <c r="C41" s="1594">
        <f>(SUM(C34,C37,C38,C39))</f>
        <v>69426</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185184</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1100000000000001" bottom="0" header="0.65"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activeCell="A11" sqref="A11:J11"/>
      <selection pane="bottomLeft" activeCell="A11" sqref="A11:J1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28</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231819</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73718</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56573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362138</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c r="D9" s="1613"/>
      <c r="E9" s="1586"/>
      <c r="F9" s="1586"/>
      <c r="G9" s="1614"/>
      <c r="H9" s="1586"/>
      <c r="I9" s="1609" t="s">
        <v>1159</v>
      </c>
      <c r="J9" s="1583"/>
      <c r="K9" s="1586"/>
      <c r="L9" s="325"/>
    </row>
    <row r="10" spans="1:13" s="452" customFormat="1" ht="13.5" thickBot="1" x14ac:dyDescent="0.25">
      <c r="A10" s="1426" t="s">
        <v>1163</v>
      </c>
      <c r="B10" s="1407"/>
      <c r="C10" s="1594">
        <f>SUM(C8:C9)</f>
        <v>362138</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125186</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0</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231819</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357005</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357005</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2" t="s">
        <v>1636</v>
      </c>
      <c r="B20" s="2233"/>
      <c r="C20" s="1622">
        <f>C8-C17</f>
        <v>5133</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8" t="s">
        <v>593</v>
      </c>
      <c r="B78" s="2229"/>
      <c r="C78" s="1629">
        <f t="shared" ref="C78:K78" si="9">C20+C77</f>
        <v>5133</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64293</v>
      </c>
      <c r="D79" s="1630"/>
      <c r="E79" s="1630"/>
      <c r="F79" s="1630"/>
      <c r="G79" s="1630"/>
      <c r="H79" s="1630"/>
      <c r="I79" s="1630"/>
      <c r="J79" s="1630"/>
      <c r="K79" s="1630"/>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69426</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5133</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7.3934837092731825E-2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15" right="0.15" top="1" bottom="0.3" header="0.5" footer="0.15"/>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63" activePane="bottomLeft" state="frozen"/>
      <selection activeCell="A11" sqref="A11:J11"/>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28</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28</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0</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28</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228719</v>
      </c>
      <c r="D111" s="1586"/>
      <c r="E111" s="1640"/>
      <c r="F111" s="1586"/>
      <c r="G111" s="1586"/>
      <c r="H111" s="1640"/>
      <c r="I111" s="1575"/>
      <c r="J111" s="1575"/>
      <c r="K111" s="1575"/>
    </row>
    <row r="112" spans="1:12" ht="12.75" customHeight="1" x14ac:dyDescent="0.2">
      <c r="A112" s="427" t="s">
        <v>819</v>
      </c>
      <c r="B112" s="429">
        <v>2200</v>
      </c>
      <c r="C112" s="1632">
        <v>3100</v>
      </c>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231819</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73718</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73718</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73718</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73718</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56573</v>
      </c>
      <c r="D220" s="1573"/>
      <c r="E220" s="1575"/>
      <c r="F220" s="1575"/>
      <c r="G220" s="1573"/>
      <c r="H220" s="1575"/>
      <c r="I220" s="1575"/>
      <c r="J220" s="1575"/>
      <c r="K220" s="1575"/>
    </row>
    <row r="221" spans="1:11" ht="12.75" customHeight="1" thickBot="1" x14ac:dyDescent="0.25">
      <c r="A221" s="1415" t="s">
        <v>1076</v>
      </c>
      <c r="B221" s="1416"/>
      <c r="C221" s="1633">
        <f>SUM(C219:C220)</f>
        <v>56573</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56573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56573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362138</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 top="0.8" bottom="0.62" header="0.5" footer="0.4"/>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11" sqref="A11:J11"/>
      <selection pane="bottomLeft" activeCell="A11" sqref="A11:J1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v>18736</v>
      </c>
      <c r="F13" s="1573">
        <v>68819</v>
      </c>
      <c r="G13" s="1573">
        <v>37631</v>
      </c>
      <c r="H13" s="1573"/>
      <c r="I13" s="1574"/>
      <c r="J13" s="1574"/>
      <c r="K13" s="1672">
        <f t="shared" si="0"/>
        <v>125186</v>
      </c>
      <c r="L13" s="1573">
        <v>273016</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0</v>
      </c>
      <c r="D33" s="1674">
        <f t="shared" ref="D33:L33" si="1">SUM(D5:D32)</f>
        <v>0</v>
      </c>
      <c r="E33" s="1674">
        <f t="shared" si="1"/>
        <v>18736</v>
      </c>
      <c r="F33" s="1674">
        <f t="shared" si="1"/>
        <v>68819</v>
      </c>
      <c r="G33" s="1674">
        <f t="shared" si="1"/>
        <v>37631</v>
      </c>
      <c r="H33" s="1674">
        <f t="shared" si="1"/>
        <v>0</v>
      </c>
      <c r="I33" s="1674">
        <f t="shared" si="1"/>
        <v>0</v>
      </c>
      <c r="J33" s="1674">
        <f t="shared" si="1"/>
        <v>0</v>
      </c>
      <c r="K33" s="1674">
        <f t="shared" si="1"/>
        <v>125186</v>
      </c>
      <c r="L33" s="1674">
        <f t="shared" si="1"/>
        <v>273016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0</v>
      </c>
      <c r="F42" s="1674">
        <f t="shared" si="3"/>
        <v>0</v>
      </c>
      <c r="G42" s="1674">
        <f t="shared" si="3"/>
        <v>0</v>
      </c>
      <c r="H42" s="1674">
        <f t="shared" si="3"/>
        <v>0</v>
      </c>
      <c r="I42" s="1674">
        <f t="shared" si="3"/>
        <v>0</v>
      </c>
      <c r="J42" s="1674">
        <f t="shared" si="3"/>
        <v>0</v>
      </c>
      <c r="K42" s="1674">
        <f t="shared" si="3"/>
        <v>0</v>
      </c>
      <c r="L42" s="1674">
        <f t="shared" si="3"/>
        <v>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v>13708</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0</v>
      </c>
      <c r="F47" s="1674">
        <f t="shared" si="4"/>
        <v>0</v>
      </c>
      <c r="G47" s="1674">
        <f t="shared" si="4"/>
        <v>0</v>
      </c>
      <c r="H47" s="1674">
        <f t="shared" si="4"/>
        <v>0</v>
      </c>
      <c r="I47" s="1674">
        <f t="shared" si="4"/>
        <v>0</v>
      </c>
      <c r="J47" s="1674">
        <f t="shared" si="4"/>
        <v>0</v>
      </c>
      <c r="K47" s="1674">
        <f t="shared" si="4"/>
        <v>0</v>
      </c>
      <c r="L47" s="1674">
        <f>SUM(L44:L46)</f>
        <v>13708</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c r="D50" s="1573"/>
      <c r="E50" s="1573"/>
      <c r="F50" s="1573"/>
      <c r="G50" s="1573"/>
      <c r="H50" s="1573"/>
      <c r="I50" s="1574"/>
      <c r="J50" s="1574"/>
      <c r="K50" s="1678">
        <f>SUM(C50:J50)</f>
        <v>0</v>
      </c>
      <c r="L50" s="1573">
        <v>75091</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0</v>
      </c>
      <c r="D53" s="1674">
        <f t="shared" ref="D53:L53" si="5">SUM(D49:D52)</f>
        <v>0</v>
      </c>
      <c r="E53" s="1674">
        <f t="shared" si="5"/>
        <v>0</v>
      </c>
      <c r="F53" s="1674">
        <f t="shared" si="5"/>
        <v>0</v>
      </c>
      <c r="G53" s="1674">
        <f t="shared" si="5"/>
        <v>0</v>
      </c>
      <c r="H53" s="1674">
        <f t="shared" si="5"/>
        <v>0</v>
      </c>
      <c r="I53" s="1674">
        <f t="shared" si="5"/>
        <v>0</v>
      </c>
      <c r="J53" s="1674">
        <f t="shared" si="5"/>
        <v>0</v>
      </c>
      <c r="K53" s="1674">
        <f t="shared" si="5"/>
        <v>0</v>
      </c>
      <c r="L53" s="1674">
        <f t="shared" si="5"/>
        <v>75091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v>3000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0</v>
      </c>
      <c r="F65" s="1674">
        <f t="shared" si="8"/>
        <v>0</v>
      </c>
      <c r="G65" s="1674">
        <f t="shared" si="8"/>
        <v>0</v>
      </c>
      <c r="H65" s="1674">
        <f t="shared" si="8"/>
        <v>0</v>
      </c>
      <c r="I65" s="1674">
        <f t="shared" si="8"/>
        <v>0</v>
      </c>
      <c r="J65" s="1674">
        <f t="shared" si="8"/>
        <v>0</v>
      </c>
      <c r="K65" s="1674">
        <f t="shared" si="8"/>
        <v>0</v>
      </c>
      <c r="L65" s="1674">
        <f t="shared" si="8"/>
        <v>3000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0</v>
      </c>
      <c r="D74" s="1681">
        <f t="shared" ref="D74:K74" si="10">SUM(D42,D47,D53,D57,D65,D72,D73)</f>
        <v>0</v>
      </c>
      <c r="E74" s="1681">
        <f t="shared" si="10"/>
        <v>0</v>
      </c>
      <c r="F74" s="1681">
        <f t="shared" si="10"/>
        <v>0</v>
      </c>
      <c r="G74" s="1681">
        <f t="shared" si="10"/>
        <v>0</v>
      </c>
      <c r="H74" s="1681">
        <f t="shared" si="10"/>
        <v>0</v>
      </c>
      <c r="I74" s="1681">
        <f t="shared" si="10"/>
        <v>0</v>
      </c>
      <c r="J74" s="1681">
        <f t="shared" si="10"/>
        <v>0</v>
      </c>
      <c r="K74" s="1681">
        <f t="shared" si="10"/>
        <v>0</v>
      </c>
      <c r="L74" s="1681">
        <f>SUM(L42,L47,L53,L57,L65,L72,L73)</f>
        <v>91799</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v>231819</v>
      </c>
      <c r="F81" s="1673"/>
      <c r="G81" s="1673"/>
      <c r="H81" s="1573"/>
      <c r="I81" s="1582"/>
      <c r="J81" s="1582"/>
      <c r="K81" s="1672">
        <f t="shared" si="11"/>
        <v>231819</v>
      </c>
      <c r="L81" s="1573">
        <v>400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231819</v>
      </c>
      <c r="F84" s="1673"/>
      <c r="G84" s="1673"/>
      <c r="H84" s="1674">
        <f>SUM(H78:H83)</f>
        <v>0</v>
      </c>
      <c r="I84" s="1582"/>
      <c r="J84" s="1582"/>
      <c r="K84" s="1674">
        <f>SUM(K78:K83)</f>
        <v>231819</v>
      </c>
      <c r="L84" s="1674">
        <f>SUM(L78:L83)</f>
        <v>400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231819</v>
      </c>
      <c r="F102" s="1673"/>
      <c r="G102" s="1673"/>
      <c r="H102" s="1681">
        <f>SUM(H84,H92,H100,H101)</f>
        <v>0</v>
      </c>
      <c r="I102" s="1582"/>
      <c r="J102" s="1582"/>
      <c r="K102" s="1681">
        <f>SUM(K84,K92,K100,K101)</f>
        <v>231819</v>
      </c>
      <c r="L102" s="1681">
        <f>SUM(L84,L92,L100,L101)</f>
        <v>400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0</v>
      </c>
      <c r="D114" s="1674">
        <f t="shared" ref="D114:K114" si="13">SUM(D33,D74,D75,D102,D112,D113)</f>
        <v>0</v>
      </c>
      <c r="E114" s="1674">
        <f t="shared" si="13"/>
        <v>250555</v>
      </c>
      <c r="F114" s="1674">
        <f t="shared" si="13"/>
        <v>68819</v>
      </c>
      <c r="G114" s="1674">
        <f t="shared" si="13"/>
        <v>37631</v>
      </c>
      <c r="H114" s="1674">
        <f>SUM(H33,H74,H75,H102,H112,H113)</f>
        <v>0</v>
      </c>
      <c r="I114" s="1674">
        <f t="shared" si="13"/>
        <v>0</v>
      </c>
      <c r="J114" s="1674">
        <f t="shared" si="13"/>
        <v>0</v>
      </c>
      <c r="K114" s="1674">
        <f t="shared" si="13"/>
        <v>357005</v>
      </c>
      <c r="L114" s="1674">
        <f>SUM(L33,L74,L75,L102,L112,L113)</f>
        <v>365215</v>
      </c>
    </row>
    <row r="115" spans="1:14" ht="13.5" thickTop="1" x14ac:dyDescent="0.2">
      <c r="A115" s="2262" t="s">
        <v>989</v>
      </c>
      <c r="B115" s="2263"/>
      <c r="C115" s="1675"/>
      <c r="D115" s="1675"/>
      <c r="E115" s="1675"/>
      <c r="F115" s="1675"/>
      <c r="G115" s="1675"/>
      <c r="H115" s="1675"/>
      <c r="I115" s="1675"/>
      <c r="J115" s="1675"/>
      <c r="K115" s="1689">
        <f>'Revenues 9-14'!C268-'Expenditures 15-22'!K114</f>
        <v>5133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59"/>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2" t="s">
        <v>989</v>
      </c>
      <c r="B175" s="2263"/>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2" t="s">
        <v>989</v>
      </c>
      <c r="B211" s="2263"/>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2" t="s">
        <v>989</v>
      </c>
      <c r="B296" s="2263"/>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2" t="s">
        <v>989</v>
      </c>
      <c r="B368" s="2263"/>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1" top="0.75" bottom="0.39" header="0.5" footer="0.15"/>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schemas.microsoft.com/office/2006/documentManagement/types"/>
    <ds:schemaRef ds:uri="http://schemas.microsoft.com/office/infopath/2007/PartnerControls"/>
    <ds:schemaRef ds:uri="http://schemas.microsoft.com/office/2006/metadata/properties"/>
    <ds:schemaRef ds:uri="http://purl.org/dc/elements/1.1/"/>
    <ds:schemaRef ds:uri="4d435f69-8686-490b-bd6d-b153bf22ab50"/>
    <ds:schemaRef ds:uri="http://purl.org/dc/dcmitype/"/>
    <ds:schemaRef ds:uri="http://schemas.openxmlformats.org/package/2006/metadata/core-properties"/>
    <ds:schemaRef ds:uri="http://www.w3.org/XML/1998/namespace"/>
    <ds:schemaRef ds:uri="6ce3111e-7420-4802-b50a-75d4e9a0b980"/>
    <ds:schemaRef ds:uri="http://schemas.microsoft.com/sharepoint/v3"/>
    <ds:schemaRef ds:uri="http://purl.org/dc/terms/"/>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A</vt:lpstr>
      <vt:lpstr> SEFA B</vt:lpstr>
      <vt:lpstr> SEFA C</vt:lpstr>
      <vt:lpstr>SEFA NOTES</vt:lpstr>
      <vt:lpstr>SF&amp;QC Sec-1</vt:lpstr>
      <vt:lpstr>SF&amp;QC Sec-2</vt:lpstr>
      <vt:lpstr>SF&amp;QC Sec-3</vt:lpstr>
      <vt:lpstr>SSPAF</vt:lpstr>
      <vt:lpstr>' SEFA'!Print_Area</vt:lpstr>
      <vt:lpstr>' SEFA A'!Print_Area</vt:lpstr>
      <vt:lpstr>' SEFA B'!Print_Area</vt:lpstr>
      <vt:lpstr>' SEFA C'!Print_Area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2020-10-05T15:49:22Z</cp:lastPrinted>
  <dcterms:created xsi:type="dcterms:W3CDTF">2003-10-29T19:06:34Z</dcterms:created>
  <dcterms:modified xsi:type="dcterms:W3CDTF">2020-10-27T16:01:52Z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