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C9E2E94-C42B-4999-9A80-A479007FEE58}" xr6:coauthVersionLast="36" xr6:coauthVersionMax="36" xr10:uidLastSave="{00000000-0000-0000-0000-000000000000}"/>
  <bookViews>
    <workbookView xWindow="0" yWindow="0" windowWidth="28800" windowHeight="12000" tabRatio="959" xr2:uid="{00000000-000D-0000-FFFF-FFFF00000000}"/>
  </bookViews>
  <sheets>
    <sheet name="COVER" sheetId="24" r:id="rId1"/>
    <sheet name="TOC" sheetId="18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A" sheetId="185" r:id="rId29"/>
    <sheet name=" SEFA B" sheetId="186" r:id="rId30"/>
    <sheet name=" SEFA C" sheetId="187"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A'!$B$1:$M$46</definedName>
    <definedName name="_xlnm.Print_Area" localSheetId="29">' SEFA B'!$B$1:$M$46</definedName>
    <definedName name="_xlnm.Print_Area" localSheetId="30">' SEFA C'!$B$1:$M$46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 localSheetId="1">#REF!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 localSheetId="1">#REF!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 localSheetId="1">#REF!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 localSheetId="1">#REF!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 localSheetId="1">#REF!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9" i="3" l="1"/>
  <c r="L27" i="187" l="1"/>
  <c r="L26" i="187"/>
  <c r="L25" i="187"/>
  <c r="L24" i="187"/>
  <c r="L23" i="187"/>
  <c r="L22" i="187"/>
  <c r="L21" i="187"/>
  <c r="L20" i="187"/>
  <c r="L19" i="187"/>
  <c r="L18" i="187"/>
  <c r="L17" i="187"/>
  <c r="L16" i="187"/>
  <c r="L15" i="187"/>
  <c r="L14" i="187"/>
  <c r="L13" i="187"/>
  <c r="L12" i="187"/>
  <c r="L11" i="187"/>
  <c r="I9" i="187"/>
  <c r="G9" i="187"/>
  <c r="F9" i="187"/>
  <c r="E9" i="187"/>
  <c r="J8" i="187"/>
  <c r="H8" i="187"/>
  <c r="L27" i="186"/>
  <c r="L26" i="186"/>
  <c r="L25" i="186"/>
  <c r="L24" i="186"/>
  <c r="L23" i="186"/>
  <c r="L22" i="186"/>
  <c r="L21" i="186"/>
  <c r="L20" i="186"/>
  <c r="L19" i="186"/>
  <c r="L18" i="186"/>
  <c r="L17" i="186"/>
  <c r="L16" i="186"/>
  <c r="L15" i="186"/>
  <c r="L14" i="186"/>
  <c r="L13" i="186"/>
  <c r="L12" i="186"/>
  <c r="L11" i="186"/>
  <c r="I9" i="186"/>
  <c r="G9" i="186"/>
  <c r="F9" i="186"/>
  <c r="E9" i="186"/>
  <c r="J8" i="186"/>
  <c r="H8" i="186"/>
  <c r="L27" i="185"/>
  <c r="L26" i="185"/>
  <c r="L25" i="185"/>
  <c r="L24" i="185"/>
  <c r="L23" i="185"/>
  <c r="L22" i="185"/>
  <c r="L21" i="185"/>
  <c r="L20" i="185"/>
  <c r="L19" i="185"/>
  <c r="L18" i="185"/>
  <c r="L17" i="185"/>
  <c r="L16" i="185"/>
  <c r="L15" i="185"/>
  <c r="L14" i="185"/>
  <c r="L13" i="185"/>
  <c r="L12" i="185"/>
  <c r="L11" i="185"/>
  <c r="I9" i="185"/>
  <c r="G9" i="185"/>
  <c r="F9" i="185"/>
  <c r="E9" i="185"/>
  <c r="J8" i="185"/>
  <c r="H8"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24" i="183" l="1"/>
  <c r="F23" i="183"/>
  <c r="F22" i="183"/>
  <c r="F21" i="183"/>
  <c r="F20" i="183"/>
  <c r="F19" i="183"/>
  <c r="E24" i="183"/>
  <c r="E23" i="183"/>
  <c r="E22" i="183"/>
  <c r="E21" i="183"/>
  <c r="E20" i="183"/>
  <c r="E19" i="183"/>
  <c r="E18" i="183"/>
  <c r="F18" i="183" s="1"/>
  <c r="E17" i="183"/>
  <c r="F17" i="183" s="1"/>
  <c r="F80" i="34" l="1"/>
  <c r="B7885" i="106" l="1"/>
  <c r="D7885" i="106" s="1"/>
  <c r="B7884" i="106"/>
  <c r="D7884" i="106" s="1"/>
  <c r="B7883" i="106"/>
  <c r="B7882" i="106"/>
  <c r="D7882" i="106" s="1"/>
  <c r="D7883" i="106"/>
  <c r="B11" i="7" l="1"/>
  <c r="D7836" i="106" l="1"/>
  <c r="J88" i="28" l="1"/>
  <c r="J85" i="28"/>
  <c r="J90" i="28" s="1"/>
  <c r="B7819" i="106" l="1"/>
  <c r="D7819" i="106" s="1"/>
  <c r="B7818" i="106"/>
  <c r="D7818" i="106" s="1"/>
  <c r="D25" i="183" l="1"/>
  <c r="A15" i="183"/>
  <c r="D82" i="36" l="1"/>
  <c r="F25" i="183"/>
  <c r="E25"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7" l="1"/>
  <c r="B4" i="186"/>
  <c r="B4" i="185"/>
  <c r="I7" i="24"/>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2" i="179"/>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H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153" i="106" l="1"/>
  <c r="D7153" i="106" s="1"/>
  <c r="E60" i="184"/>
  <c r="N60" i="184" s="1"/>
  <c r="F42" i="34"/>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H15" i="184"/>
  <c r="G33" i="108"/>
  <c r="E17" i="184"/>
  <c r="H17" i="184" s="1"/>
  <c r="B7696" i="106"/>
  <c r="D7696" i="106" s="1"/>
  <c r="E66" i="184"/>
  <c r="N66" i="184" s="1"/>
  <c r="B7189" i="106"/>
  <c r="D7189" i="106" s="1"/>
  <c r="E64" i="184"/>
  <c r="N64" i="184" s="1"/>
  <c r="B7171" i="106"/>
  <c r="D7171" i="106" s="1"/>
  <c r="E62" i="184"/>
  <c r="N62" i="184" s="1"/>
  <c r="B7135" i="106"/>
  <c r="D7135" i="106" s="1"/>
  <c r="E58" i="184"/>
  <c r="N58" i="184" s="1"/>
  <c r="I129" i="29"/>
  <c r="B7037" i="106" s="1"/>
  <c r="D7037" i="106" s="1"/>
  <c r="D31" i="108"/>
  <c r="E16" i="184"/>
  <c r="H16" i="184" s="1"/>
  <c r="H13" i="184"/>
  <c r="H19" i="184" s="1"/>
  <c r="L20"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E367" i="29" l="1"/>
  <c r="B3635" i="106"/>
  <c r="L114" i="29"/>
  <c r="F41" i="108"/>
  <c r="G43" i="108" s="1"/>
  <c r="E19" i="184"/>
  <c r="B7220" i="106"/>
  <c r="D7220" i="106" s="1"/>
  <c r="F75" i="34"/>
  <c r="B7886" i="106" s="1"/>
  <c r="D7886" i="106" s="1"/>
  <c r="B7222" i="106"/>
  <c r="D7222" i="106" s="1"/>
  <c r="F76" i="34"/>
  <c r="B7887" i="106" s="1"/>
  <c r="D7887" i="106" s="1"/>
  <c r="N57" i="184"/>
  <c r="N68" i="184" s="1"/>
  <c r="E68" i="184"/>
  <c r="L16" i="11"/>
  <c r="B2061" i="106" s="1"/>
  <c r="D2061"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77" i="34" s="1"/>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B7834" i="106" l="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<sst xmlns="http://schemas.openxmlformats.org/spreadsheetml/2006/main" count="5290" uniqueCount="2088">
  <si>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</si>
  <si>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</si>
  <si>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</si>
  <si>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</si>
  <si>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</si>
  <si>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</si>
  <si>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</si>
  <si>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</si>
  <si>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</si>
  <si>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</si>
  <si>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</si>
  <si>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</si>
  <si>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</si>
  <si>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</si>
  <si>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</si>
  <si>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</si>
  <si>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</si>
  <si>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</si>
  <si>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</si>
  <si>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</si>
  <si>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</si>
  <si>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</si>
  <si>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</si>
  <si>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</si>
  <si>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</si>
  <si>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</si>
  <si>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</si>
  <si>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</si>
  <si>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</si>
  <si>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</si>
  <si>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</si>
  <si>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</si>
  <si>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</si>
  <si>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</si>
  <si>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</si>
  <si>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</si>
  <si>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</si>
  <si>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</si>
  <si>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</si>
  <si>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</si>
  <si>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</si>
  <si>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</si>
  <si>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</si>
  <si>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</si>
  <si>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</si>
  <si>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</si>
  <si>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</si>
  <si>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</si>
  <si>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</si>
  <si>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</si>
  <si>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</si>
  <si>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</si>
  <si>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</si>
  <si>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</si>
  <si>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</si>
  <si>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</si>
  <si>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</si>
  <si>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</si>
  <si>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</si>
  <si>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</si>
  <si>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</si>
  <si>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</si>
  <si>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</si>
  <si>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</si>
  <si>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</si>
  <si>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</si>
  <si>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</si>
  <si>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</si>
  <si>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</si>
  <si>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</si>
  <si>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</si>
  <si>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</si>
  <si>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</si>
  <si>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</si>
  <si>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</si>
  <si>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</si>
  <si>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</si>
  <si>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</si>
  <si>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</si>
  <si>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</si>
  <si>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</si>
  <si>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</si>
  <si>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</si>
  <si>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</si>
  <si>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</si>
  <si>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</si>
  <si>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</si>
  <si>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</si>
  <si>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</si>
  <si>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</si>
  <si>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</si>
  <si>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</si>
  <si>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</si>
  <si>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</si>
  <si>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</si>
  <si>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</si>
  <si>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</si>
  <si>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</si>
  <si>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</si>
  <si>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</si>
  <si>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</si>
  <si>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</si>
  <si>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</si>
  <si>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</si>
  <si>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</si>
  <si>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</si>
  <si>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</si>
  <si>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</si>
  <si>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</si>
  <si>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</si>
  <si>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</si>
  <si>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</si>
  <si>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</si>
  <si>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</si>
  <si>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</si>
  <si>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</si>
  <si>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</si>
  <si>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</si>
  <si>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</si>
  <si>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</si>
  <si>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</si>
  <si>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</si>
  <si>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</si>
  <si>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</si>
  <si>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</si>
  <si>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</si>
  <si>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</si>
  <si>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</si>
  <si>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</si>
  <si>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</si>
  <si>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</si>
  <si>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</si>
  <si>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</si>
  <si>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</si>
  <si>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</si>
  <si>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</si>
  <si>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</si>
  <si>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</si>
  <si>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</si>
  <si>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</si>
  <si>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</si>
  <si>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</si>
  <si>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</si>
  <si>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</si>
  <si>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</si>
  <si>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</si>
  <si>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</si>
  <si>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</si>
  <si>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</si>
  <si>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</si>
  <si>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</si>
  <si>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</si>
  <si>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</si>
  <si>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</si>
  <si>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</si>
  <si>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</si>
  <si>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</si>
  <si>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</si>
  <si>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</si>
  <si>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</si>
  <si>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</si>
  <si>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</si>
  <si>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</si>
  <si>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</si>
  <si>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</si>
  <si>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</si>
  <si>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</si>
  <si>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</si>
  <si>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</si>
  <si>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</si>
  <si>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</si>
  <si>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</si>
  <si>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</si>
  <si>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</si>
  <si>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</si>
  <si>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</si>
  <si>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</si>
  <si>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</si>
  <si>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</si>
  <si>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</si>
  <si>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</si>
  <si>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</si>
  <si>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</si>
  <si>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</si>
  <si>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</si>
  <si>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</si>
  <si>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</si>
  <si>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</si>
  <si>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</si>
  <si>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</si>
  <si>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</si>
  <si>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</si>
  <si>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</si>
  <si>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</si>
  <si>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</si>
  <si>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</si>
  <si>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</si>
  <si>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</si>
  <si>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</si>
  <si>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</si>
  <si>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</si>
  <si>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</si>
  <si>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</si>
  <si>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</si>
  <si>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</si>
  <si>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</si>
  <si>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</si>
  <si>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</si>
  <si>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</si>
  <si>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</si>
  <si>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</si>
  <si>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</si>
  <si>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</si>
  <si>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</si>
  <si>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</si>
  <si>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</si>
  <si>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</si>
  <si>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</si>
  <si>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</si>
  <si>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</si>
  <si>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</si>
  <si>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</si>
  <si>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</si>
  <si>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</si>
  <si>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</si>
  <si>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</si>
  <si>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</si>
  <si>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</si>
  <si>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</si>
  <si>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</si>
  <si>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</si>
  <si>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</si>
  <si>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</si>
  <si>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</si>
  <si>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</si>
  <si>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</si>
  <si>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</si>
  <si>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</si>
  <si>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</si>
  <si>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</si>
  <si>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</si>
  <si>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</si>
  <si>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</si>
  <si>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</si>
  <si>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</si>
  <si>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</si>
  <si>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</si>
  <si>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</si>
  <si>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</si>
  <si>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</si>
  <si>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</si>
  <si>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</si>
  <si>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</si>
  <si>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</si>
  <si>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</si>
  <si>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</si>
  <si>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</si>
  <si>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</si>
  <si>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</si>
  <si>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</si>
  <si>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</si>
  <si>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</si>
  <si>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</si>
  <si>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</si>
  <si>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</si>
  <si>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</si>
  <si>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</si>
  <si>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</si>
  <si>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</si>
  <si>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</si>
  <si>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</si>
  <si>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</si>
  <si>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</si>
  <si>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</si>
  <si>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</si>
  <si>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</si>
  <si>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</si>
  <si>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</si>
  <si>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</si>
  <si>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</si>
  <si>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</si>
  <si>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</si>
  <si>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</si>
  <si>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</si>
  <si>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</si>
  <si>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</si>
  <si>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</si>
  <si>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</si>
  <si>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</si>
  <si>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</si>
  <si>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</si>
  <si>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</si>
  <si>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</si>
  <si>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</si>
  <si>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</si>
  <si>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</si>
  <si>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</si>
  <si>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</si>
  <si>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</si>
  <si>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</si>
  <si>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</si>
  <si>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</si>
  <si>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</si>
  <si>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</si>
  <si>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</si>
  <si>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</si>
  <si>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</si>
  <si>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</si>
  <si>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</si>
  <si>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</si>
  <si>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</si>
  <si>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</si>
  <si>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</si>
  <si>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</si>
  <si>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</si>
  <si>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</si>
  <si>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</si>
  <si>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</si>
  <si>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</si>
  <si>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</si>
  <si>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</si>
  <si>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</si>
  <si>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</si>
  <si>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</si>
  <si>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</si>
  <si>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</si>
  <si>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</si>
  <si>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</si>
  <si>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</si>
  <si>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</si>
  <si>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</si>
  <si>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</si>
  <si>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</si>
  <si>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</si>
  <si>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</si>
  <si>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</si>
  <si>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</si>
  <si>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</si>
  <si>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</si>
  <si>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</si>
  <si>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</si>
  <si>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</si>
  <si>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</si>
  <si>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</si>
  <si>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</si>
  <si>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</si>
  <si>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</si>
  <si>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</si>
  <si>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</si>
  <si>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</si>
  <si>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</si>
  <si>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</si>
  <si>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</si>
  <si>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</si>
  <si>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</si>
  <si>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</si>
  <si>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</si>
  <si>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</si>
  <si>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</si>
  <si>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</si>
  <si>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</si>
  <si>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</si>
  <si>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</si>
  <si>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</si>
  <si>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</si>
  <si>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</si>
  <si>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</si>
  <si>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</si>
  <si>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</si>
  <si>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</si>
  <si>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</si>
  <si>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</si>
  <si>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</si>
  <si>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</si>
  <si>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</si>
  <si>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</si>
  <si>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</si>
  <si>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</si>
  <si>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</si>
  <si>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</si>
  <si>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</si>
  <si>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</si>
  <si>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</si>
  <si>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</si>
  <si>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</si>
  <si>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</si>
  <si>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</si>
  <si>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</si>
  <si>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</si>
  <si>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</si>
  <si>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</si>
  <si>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</si>
  <si>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</si>
  <si>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</si>
  <si>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</si>
  <si>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</si>
  <si>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</si>
  <si>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</si>
  <si>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</si>
  <si>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</si>
  <si>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</si>
  <si>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</si>
  <si>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</si>
  <si>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</si>
  <si>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</si>
  <si>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</si>
  <si>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</si>
  <si>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</si>
  <si>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</si>
  <si>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</si>
  <si>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</si>
  <si>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</si>
  <si>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</si>
  <si>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</si>
  <si>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</si>
  <si>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</si>
  <si>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</si>
  <si>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</si>
  <si>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</si>
  <si>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</si>
  <si>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</si>
  <si>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</si>
  <si>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</si>
  <si>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</si>
  <si>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</si>
  <si>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</si>
  <si>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</si>
  <si>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</si>
  <si>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</si>
  <si>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</si>
  <si>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</si>
  <si>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</si>
  <si>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</si>
  <si>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</si>
  <si>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</si>
  <si>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</si>
  <si>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</si>
  <si>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</si>
  <si>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</si>
  <si>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</si>
  <si>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</si>
  <si>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</si>
  <si>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</si>
  <si>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</si>
  <si>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</si>
  <si>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</si>
  <si>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</si>
  <si>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</si>
  <si>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</si>
  <si>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</si>
  <si>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</si>
  <si>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</si>
  <si>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</si>
  <si>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</si>
  <si>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</si>
  <si>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</si>
  <si>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</si>
  <si>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</si>
  <si>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</si>
  <si>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</si>
  <si>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</si>
  <si>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</si>
  <si>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</si>
  <si>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</si>
  <si>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</si>
  <si>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</si>
  <si>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</si>
  <si>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</si>
  <si>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</si>
  <si>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</si>
  <si>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</si>
  <si>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</si>
  <si>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</si>
  <si>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</si>
  <si>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</si>
  <si>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</si>
  <si>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</si>
  <si>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</si>
  <si>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</si>
  <si>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</si>
  <si>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</si>
  <si>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</si>
  <si>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</si>
  <si>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</si>
  <si>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</si>
  <si>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</si>
  <si>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</si>
  <si>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</si>
  <si>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</si>
  <si>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</si>
  <si>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</si>
  <si>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</si>
  <si>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</si>
  <si>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</si>
  <si>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</si>
  <si>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</si>
  <si>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</si>
  <si>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</si>
  <si>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</si>
  <si>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</si>
  <si>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</si>
  <si>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</si>
  <si>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</si>
  <si>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</si>
  <si>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</si>
  <si>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</si>
  <si>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</si>
  <si>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</si>
  <si>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</si>
  <si>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</si>
  <si>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</si>
  <si>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</si>
  <si>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</si>
  <si>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</si>
  <si>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</si>
  <si>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</si>
  <si>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</si>
  <si>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</si>
  <si>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</si>
  <si>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</si>
  <si>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</si>
  <si>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</si>
  <si>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</si>
  <si>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</si>
  <si>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</si>
  <si>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</si>
  <si>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</si>
  <si>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</si>
  <si>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</si>
  <si>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</si>
  <si>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</si>
  <si>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</si>
  <si>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</si>
  <si>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</si>
  <si>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</si>
  <si>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</si>
  <si>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</si>
  <si>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</si>
  <si>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</si>
  <si>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</si>
  <si>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</si>
  <si>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</si>
  <si>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</si>
  <si>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</si>
  <si>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</si>
  <si>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</si>
  <si>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</si>
  <si>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</si>
  <si>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</si>
  <si>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</si>
  <si>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</si>
  <si>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</si>
  <si>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</si>
  <si>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</si>
  <si>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</si>
  <si>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</si>
  <si>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</si>
  <si>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</si>
  <si>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</si>
  <si>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</si>
  <si>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</si>
  <si>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</si>
  <si>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</si>
  <si>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</si>
  <si>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</si>
  <si>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</si>
  <si>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</si>
  <si>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</si>
  <si>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</si>
  <si>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</si>
  <si>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</si>
  <si>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</si>
  <si>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</si>
  <si>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</si>
  <si>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</si>
  <si>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</si>
  <si>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</si>
  <si>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</si>
  <si>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</si>
  <si>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</si>
  <si>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</si>
  <si>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</si>
  <si>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</si>
  <si>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</si>
  <si>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</si>
  <si>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</si>
  <si>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</si>
  <si>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</si>
  <si>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</si>
  <si>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</si>
  <si>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</si>
  <si>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</si>
  <si>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</si>
  <si>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</si>
  <si>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</si>
  <si>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</si>
  <si>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</si>
  <si>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</si>
  <si>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</si>
  <si>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</si>
  <si>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</si>
  <si>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</si>
  <si>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</si>
  <si>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</si>
  <si>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</si>
  <si>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</si>
  <si>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</si>
  <si>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</si>
  <si>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</si>
  <si>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</si>
  <si>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</si>
  <si>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</si>
  <si>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</si>
  <si>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</si>
  <si>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</si>
  <si>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</si>
  <si>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</si>
  <si>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</si>
  <si>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</si>
  <si>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</si>
  <si>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</si>
  <si>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</si>
  <si>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</si>
  <si>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</si>
  <si>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</si>
  <si>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</si>
  <si>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</si>
  <si>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</si>
  <si>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</si>
  <si>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</si>
  <si>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</si>
  <si>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</si>
  <si>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</si>
  <si>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</si>
  <si>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</si>
  <si>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</si>
  <si>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</si>
  <si>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</si>
  <si>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</si>
  <si>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</si>
  <si>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</si>
  <si>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</si>
  <si>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</si>
  <si>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</si>
  <si>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</si>
  <si>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</si>
  <si>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</si>
  <si>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</si>
  <si>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</si>
  <si>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</si>
  <si>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</si>
  <si>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</si>
  <si>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</si>
  <si>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</si>
  <si>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</si>
  <si>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</si>
  <si>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</si>
  <si>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</si>
  <si>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</si>
  <si>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</si>
  <si>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</si>
  <si>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</si>
  <si>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</si>
  <si>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</si>
  <si>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</si>
  <si>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</si>
  <si>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</si>
  <si>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</si>
  <si>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</si>
  <si>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</si>
  <si>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</si>
  <si>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</si>
  <si>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</si>
  <si>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</si>
  <si>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</si>
  <si>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</si>
  <si>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</si>
  <si>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</si>
  <si>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</si>
  <si>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</si>
  <si>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</si>
  <si>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</si>
  <si>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</si>
  <si>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</si>
  <si>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</si>
  <si>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</si>
  <si>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</si>
  <si>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</si>
  <si>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</si>
  <si>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</si>
  <si>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</si>
  <si>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</si>
  <si>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</si>
  <si>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</si>
  <si>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</si>
  <si>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</si>
  <si>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</si>
  <si>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</si>
  <si>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</si>
  <si>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</si>
  <si>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</si>
  <si>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</si>
  <si>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</si>
  <si>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</si>
  <si>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</si>
  <si>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</si>
  <si>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</si>
  <si>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</si>
  <si>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</si>
  <si>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</si>
  <si>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</si>
  <si>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</si>
  <si>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</si>
  <si>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</si>
  <si>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</si>
  <si>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</si>
  <si>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</si>
  <si>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</si>
  <si>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</si>
  <si>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</si>
  <si>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</si>
  <si>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</si>
  <si>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</si>
  <si>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</si>
  <si>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</si>
  <si>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</si>
  <si>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</si>
  <si>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</si>
  <si>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</si>
  <si>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</si>
  <si>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</si>
  <si>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</si>
  <si>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</si>
  <si>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</si>
  <si>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</si>
  <si>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</si>
  <si>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</si>
  <si>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</si>
  <si>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</si>
  <si>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</si>
  <si>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</si>
  <si>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</si>
  <si>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</si>
  <si>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</si>
  <si>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</si>
  <si>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</si>
  <si>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</si>
  <si>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</si>
  <si>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</si>
  <si>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</si>
  <si>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</si>
  <si>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</si>
  <si>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</si>
  <si>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</si>
  <si>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</si>
  <si>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</si>
  <si>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</si>
  <si>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</si>
  <si>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</si>
  <si>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</si>
  <si>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</si>
  <si>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</si>
  <si>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</si>
  <si>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</si>
  <si>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</si>
  <si>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</si>
  <si>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</si>
  <si>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</si>
  <si>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</si>
  <si>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</si>
  <si>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</si>
  <si>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</si>
  <si>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</si>
  <si>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</si>
  <si>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</si>
  <si>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</si>
  <si>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</si>
  <si>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</si>
  <si>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</si>
  <si>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</si>
  <si>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</si>
  <si>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</si>
  <si>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</si>
  <si>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</si>
  <si>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</si>
  <si>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</si>
  <si>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</si>
  <si>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</si>
  <si>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</si>
  <si>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</si>
  <si>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</si>
  <si>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</si>
  <si>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</si>
  <si>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</si>
  <si>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</si>
  <si>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</si>
  <si>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</si>
  <si>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</si>
  <si>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</si>
  <si>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</si>
  <si>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</si>
  <si>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</si>
  <si>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</si>
  <si>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</si>
  <si>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</si>
  <si>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</si>
  <si>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</si>
  <si>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</si>
  <si>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</si>
  <si>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</si>
  <si>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</si>
  <si>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</si>
  <si>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</si>
  <si>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</si>
  <si>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</si>
  <si>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</si>
  <si>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</si>
  <si>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</si>
  <si>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</si>
  <si>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</si>
  <si>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</si>
  <si>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</si>
  <si>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</si>
  <si>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</si>
  <si>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</si>
  <si>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</si>
  <si>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</si>
  <si>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</si>
  <si>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</si>
  <si>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</si>
  <si>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</si>
  <si>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</si>
  <si>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</si>
  <si>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</si>
  <si>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</si>
  <si>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</si>
  <si>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</si>
  <si>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</si>
  <si>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</si>
  <si>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</si>
  <si>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</si>
  <si>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</si>
  <si>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</si>
  <si>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</si>
  <si>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</si>
  <si>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</si>
  <si>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</si>
  <si>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</si>
  <si>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</si>
  <si>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</si>
  <si>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</si>
  <si>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</si>
  <si>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</si>
  <si>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</si>
  <si>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</si>
  <si>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</si>
  <si>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</si>
  <si>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</si>
  <si>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</si>
  <si>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</si>
  <si>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</si>
  <si>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</si>
  <si>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</si>
  <si>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</si>
  <si>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</si>
  <si>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</si>
  <si>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</si>
  <si>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</si>
  <si>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</si>
  <si>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</si>
  <si>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</si>
  <si>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</si>
  <si>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</si>
  <si>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</si>
  <si>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</si>
  <si>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</si>
  <si>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</si>
  <si>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</si>
  <si>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</si>
  <si>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</si>
  <si>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</si>
  <si>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</si>
  <si>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</si>
  <si>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</si>
  <si>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</si>
  <si>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</si>
  <si>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</si>
  <si>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</si>
  <si>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</si>
  <si>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</si>
  <si>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</si>
  <si>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</si>
  <si>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</si>
  <si>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</si>
  <si>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</si>
  <si>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</si>
  <si>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</si>
  <si>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</si>
  <si>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</si>
  <si>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</si>
  <si>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</si>
  <si>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</si>
  <si>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</si>
  <si>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</si>
  <si>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</si>
  <si>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</si>
  <si>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</si>
  <si>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</si>
  <si>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</si>
  <si>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</si>
  <si>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</si>
  <si>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</si>
  <si>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</si>
  <si>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</si>
  <si>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</si>
  <si>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</si>
  <si>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</si>
  <si>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</si>
  <si>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</si>
  <si>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</si>
  <si>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</si>
  <si>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</si>
  <si>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</si>
  <si>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</si>
  <si>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</si>
  <si>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</si>
  <si>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</si>
  <si>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</si>
  <si>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</si>
  <si>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</si>
  <si>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</si>
  <si>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</si>
  <si>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</si>
  <si>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</si>
  <si>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</si>
  <si>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</si>
  <si>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</si>
  <si>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</si>
  <si>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</si>
  <si>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</si>
  <si>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</si>
  <si>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</si>
  <si>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</si>
  <si>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</si>
  <si>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</si>
  <si>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</si>
  <si>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</si>
  <si>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</si>
  <si>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</si>
  <si>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</si>
  <si>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</si>
  <si>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</si>
  <si>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</si>
  <si>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</si>
  <si>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</si>
  <si>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</si>
  <si>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</si>
  <si>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</si>
  <si>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</si>
  <si>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</si>
  <si>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</si>
  <si>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</si>
  <si>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</si>
  <si>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</si>
  <si>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</si>
  <si>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</si>
  <si>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</si>
  <si>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</si>
  <si>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</si>
  <si>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</si>
  <si>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</si>
  <si>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</si>
  <si>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</si>
  <si>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</si>
  <si>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</si>
  <si>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</si>
  <si>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</si>
  <si>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</si>
  <si>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</si>
  <si>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</si>
  <si>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</si>
  <si>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</si>
  <si>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</si>
  <si>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</si>
  <si>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</si>
  <si>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</si>
  <si>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</si>
  <si>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</si>
  <si>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</si>
  <si>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</si>
  <si>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</si>
  <si>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</si>
  <si>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</si>
  <si>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</si>
  <si>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</si>
  <si>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</si>
  <si>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</si>
  <si>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</si>
  <si>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</si>
  <si>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</si>
  <si>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</si>
  <si>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</si>
  <si>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</si>
  <si>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</si>
  <si>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</si>
  <si>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</si>
  <si>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</si>
  <si>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</si>
  <si>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</si>
  <si>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</si>
  <si>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</si>
  <si>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</si>
  <si>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</si>
  <si>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</si>
  <si>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</si>
  <si>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</si>
  <si>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</si>
  <si>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</si>
  <si>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</si>
  <si>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</si>
  <si>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</si>
  <si>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</si>
  <si>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</si>
  <si>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</si>
  <si>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</si>
  <si>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</si>
  <si>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</si>
  <si>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</si>
  <si>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</si>
  <si>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</si>
  <si>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</si>
  <si>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</si>
  <si>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</si>
  <si>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</si>
  <si>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</si>
  <si>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</si>
  <si>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</si>
  <si>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</si>
  <si>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</si>
  <si>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</si>
  <si>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</si>
  <si>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</si>
  <si>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</si>
  <si>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</si>
  <si>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</si>
  <si>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</si>
  <si>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</si>
  <si>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</si>
  <si>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</si>
  <si>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</si>
  <si>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</si>
  <si>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</si>
  <si>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</si>
  <si>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</si>
  <si>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</si>
  <si>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</si>
  <si>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</si>
  <si>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</si>
  <si>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</si>
  <si>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</si>
  <si>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</si>
  <si>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</si>
  <si>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</si>
  <si>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</si>
  <si>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</si>
  <si>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</si>
  <si>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</si>
  <si>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</si>
  <si>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</si>
  <si>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</si>
  <si>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</si>
  <si>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</si>
  <si>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</si>
  <si>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</si>
  <si>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</si>
  <si>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</si>
  <si>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</si>
  <si>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</si>
  <si>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</si>
  <si>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</si>
  <si>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</si>
  <si>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</si>
  <si>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</si>
  <si>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</si>
  <si>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</si>
  <si>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</si>
  <si>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</si>
  <si>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</si>
  <si>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</si>
  <si>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</si>
  <si>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</si>
  <si>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</si>
  <si>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</si>
  <si>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</si>
  <si>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</si>
  <si>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</si>
  <si>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</si>
  <si>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</si>
  <si>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</si>
  <si>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</si>
  <si>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</si>
  <si>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</si>
  <si>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</si>
  <si>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</si>
  <si>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</si>
  <si>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</si>
  <si>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</si>
  <si>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</si>
  <si>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</si>
  <si>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</si>
  <si>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</si>
  <si>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</si>
  <si>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</si>
  <si>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</si>
  <si>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</si>
  <si>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</si>
  <si>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</si>
  <si>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</si>
  <si>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</si>
  <si>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</si>
  <si>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</si>
  <si>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</si>
  <si>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</si>
  <si>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</si>
  <si>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</si>
  <si>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</si>
  <si>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</si>
  <si>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</si>
  <si>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</si>
  <si>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</si>
  <si>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</si>
  <si>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</si>
  <si>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</si>
  <si>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</si>
  <si>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</si>
  <si>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</si>
  <si>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</si>
  <si>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</si>
  <si>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</si>
  <si>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</si>
  <si>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</si>
  <si>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</si>
  <si>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</si>
  <si>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</si>
  <si>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</si>
  <si>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</si>
  <si>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</si>
  <si>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</si>
  <si>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</si>
  <si>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</si>
  <si>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</si>
  <si>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</si>
  <si>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</si>
  <si>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</si>
  <si>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</si>
  <si>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</si>
  <si>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</si>
  <si>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</si>
  <si>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</si>
  <si>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</si>
  <si>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</si>
  <si>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</si>
  <si>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</si>
  <si>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</si>
  <si>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</si>
  <si>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</si>
  <si>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</si>
  <si>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</si>
  <si>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</si>
  <si>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</si>
  <si>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</si>
  <si>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</si>
  <si>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</si>
  <si>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</si>
  <si>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</si>
  <si>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</si>
  <si>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</si>
  <si>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</si>
  <si>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</si>
  <si>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</si>
  <si>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</si>
  <si>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</si>
  <si>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</si>
  <si>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</si>
  <si>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</si>
  <si>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</si>
  <si>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</si>
  <si>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</si>
  <si>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</si>
  <si>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</si>
  <si>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</si>
  <si>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</si>
  <si>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</si>
  <si>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</si>
  <si>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</si>
  <si>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</si>
  <si>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</si>
  <si>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</si>
  <si>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</si>
  <si>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</si>
  <si>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</si>
  <si>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</si>
  <si>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</si>
  <si>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</si>
  <si>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</si>
  <si>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</si>
  <si>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</si>
  <si>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</si>
  <si>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</si>
  <si>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</si>
  <si>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</si>
  <si>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</si>
  <si>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</si>
  <si>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</si>
  <si>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</si>
  <si>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</si>
  <si>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</si>
  <si>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</si>
  <si>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</si>
  <si>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</si>
  <si>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</si>
  <si>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</si>
  <si>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</si>
  <si>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</si>
  <si>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</si>
  <si>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</si>
  <si>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</si>
  <si>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</si>
  <si>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</si>
  <si>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</si>
  <si>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</si>
  <si>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</si>
  <si>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</si>
  <si>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</si>
  <si>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</si>
  <si>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</si>
  <si>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</si>
  <si>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</si>
  <si>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</si>
  <si>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</si>
  <si>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</si>
  <si>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</si>
  <si>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</si>
  <si>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</si>
  <si>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</si>
  <si>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</si>
  <si>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</si>
  <si>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</si>
  <si>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</si>
  <si>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</si>
  <si>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</si>
  <si>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</si>
  <si>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</si>
  <si>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</si>
  <si>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</si>
  <si>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</si>
  <si>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</si>
  <si>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</si>
  <si>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</si>
  <si>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</si>
  <si>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</si>
  <si>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</si>
  <si>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</si>
  <si>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</si>
  <si>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</si>
  <si>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</si>
  <si>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</si>
  <si>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</si>
  <si>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</si>
  <si>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</si>
  <si>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</si>
  <si>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</si>
  <si>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</si>
  <si>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</si>
  <si>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</si>
  <si>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</si>
  <si>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</si>
  <si>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</si>
  <si>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</si>
  <si>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</si>
  <si>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</si>
  <si>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</si>
  <si>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</si>
  <si>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</si>
  <si>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</si>
  <si>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</si>
  <si>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</si>
  <si>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</si>
  <si>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</si>
  <si>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</si>
  <si>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</si>
  <si>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</si>
  <si>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</si>
  <si>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</si>
  <si>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</si>
  <si>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</si>
  <si>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</si>
  <si>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</si>
  <si>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</si>
  <si>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</si>
  <si>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</si>
  <si>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</si>
  <si>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</si>
  <si>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</si>
  <si>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</si>
  <si>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</si>
  <si>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</si>
  <si>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</si>
  <si>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</si>
  <si>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</si>
  <si>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</si>
  <si>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</si>
  <si>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</si>
  <si>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</si>
  <si>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</si>
  <si>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</si>
  <si>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</si>
  <si>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</si>
  <si>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</si>
  <si>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</si>
  <si>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</si>
  <si>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</si>
  <si>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</si>
  <si>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</si>
  <si>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</si>
  <si>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</si>
  <si>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</si>
  <si>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</si>
  <si>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</si>
  <si>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</si>
  <si>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</si>
  <si>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</si>
  <si>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</si>
  <si>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</si>
  <si>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</si>
  <si>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</si>
  <si>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</si>
  <si>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</si>
  <si>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</si>
  <si>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</si>
  <si>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</si>
  <si>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</si>
  <si>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</si>
  <si>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</si>
  <si>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</si>
  <si>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</si>
  <si>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</si>
  <si>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</si>
  <si>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</si>
  <si>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</si>
  <si>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</si>
  <si>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</si>
  <si>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</si>
  <si>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</si>
  <si>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</si>
  <si>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</si>
  <si>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</si>
  <si>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</si>
  <si>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</si>
  <si>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</si>
  <si>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</si>
  <si>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</si>
  <si>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</si>
  <si>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</si>
  <si>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</si>
  <si>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</si>
  <si>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</si>
  <si>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</si>
  <si>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</si>
  <si>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</si>
  <si>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</si>
  <si>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</si>
  <si>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</si>
  <si>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</si>
  <si>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</si>
  <si>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</si>
  <si>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</si>
  <si>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</si>
  <si>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</si>
  <si>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</si>
  <si>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</si>
  <si>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</si>
  <si>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</si>
  <si>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</si>
  <si>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</si>
  <si>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</si>
  <si>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</si>
  <si>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</si>
  <si>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</si>
  <si>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</si>
  <si>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</si>
  <si>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</si>
  <si>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</si>
  <si>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</si>
  <si>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</si>
  <si>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</si>
  <si>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</si>
  <si>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</si>
  <si>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</si>
  <si>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</si>
  <si>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</si>
  <si>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</si>
  <si>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</si>
  <si>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</si>
  <si>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</si>
  <si>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</si>
  <si>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</si>
  <si>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</si>
  <si>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</si>
  <si>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</si>
  <si>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</si>
  <si>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</si>
  <si>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</si>
  <si>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</si>
  <si>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</si>
  <si>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</si>
  <si>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</si>
  <si>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</si>
  <si>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</si>
  <si>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</si>
  <si>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</si>
  <si>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</si>
  <si>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</si>
  <si>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</si>
  <si>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</si>
  <si>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</si>
  <si>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</si>
  <si>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</si>
  <si>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</si>
  <si>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</si>
  <si>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</si>
  <si>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</si>
  <si>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</si>
  <si>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</si>
  <si>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</si>
  <si>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</si>
  <si>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</si>
  <si>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</si>
  <si>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</si>
  <si>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</si>
  <si>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</si>
  <si>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</si>
  <si>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</si>
  <si>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</si>
  <si>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</si>
  <si>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</si>
  <si>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</si>
  <si>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</si>
  <si>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</si>
  <si>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</si>
  <si>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</si>
  <si>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</si>
  <si>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</si>
  <si>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</si>
  <si>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</si>
  <si>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</si>
  <si>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</si>
  <si>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</si>
  <si>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</si>
  <si>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</si>
  <si>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</si>
  <si>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</si>
  <si>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</si>
  <si>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</si>
  <si>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</si>
  <si>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</si>
  <si>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</si>
  <si>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</si>
  <si>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</si>
  <si>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</si>
  <si>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</si>
  <si>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</si>
  <si>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</si>
  <si>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</si>
  <si>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</si>
  <si>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</si>
  <si>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</si>
  <si>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</si>
  <si>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</si>
  <si>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</si>
  <si>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</si>
  <si>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</si>
  <si>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</si>
  <si>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</si>
  <si>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</si>
  <si>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</si>
  <si>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</si>
  <si>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</si>
  <si>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</si>
  <si>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</si>
  <si>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</si>
  <si>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</si>
  <si>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</si>
  <si>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</si>
  <si>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</si>
  <si>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</si>
  <si>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</si>
  <si>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</si>
  <si>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</si>
  <si>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</si>
  <si>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</si>
  <si>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</si>
  <si>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</si>
  <si>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</si>
  <si>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</si>
  <si>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</si>
  <si>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</si>
  <si>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</si>
  <si>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</si>
  <si>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</si>
  <si>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</si>
  <si>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</si>
  <si>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</si>
  <si>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</si>
  <si>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</si>
  <si>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</si>
  <si>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</si>
  <si>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</si>
  <si>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</si>
  <si>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</si>
  <si>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</si>
  <si>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</si>
  <si>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</si>
  <si>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</si>
  <si>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</si>
  <si>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</si>
  <si>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</si>
  <si>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</si>
  <si>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</si>
  <si>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</si>
  <si>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</si>
  <si>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</si>
  <si>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</si>
  <si>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</si>
  <si>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</si>
  <si>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</si>
  <si>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</si>
  <si>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</si>
  <si>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</si>
  <si>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</si>
  <si>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</si>
  <si>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</si>
  <si>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</si>
  <si>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</si>
  <si>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</si>
  <si>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</si>
  <si>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</si>
  <si>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</si>
  <si>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</si>
  <si>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</si>
  <si>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</si>
  <si>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</si>
  <si>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</si>
  <si>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</si>
  <si>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</si>
  <si>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</si>
  <si>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</si>
  <si>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</si>
  <si>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</si>
  <si>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</si>
  <si>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</si>
  <si>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</si>
  <si>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</si>
  <si>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</si>
  <si>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</si>
  <si>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</si>
  <si>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</si>
  <si>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</si>
  <si>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</si>
  <si>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</si>
  <si>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</si>
  <si>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</si>
  <si>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</si>
  <si>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</si>
  <si>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</si>
  <si>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</si>
  <si>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</si>
  <si>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</si>
  <si>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</si>
  <si>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</si>
  <si>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</si>
  <si>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</si>
  <si>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</si>
  <si>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</si>
  <si>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</si>
  <si>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</si>
  <si>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</si>
  <si>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</si>
  <si>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</si>
  <si>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</si>
  <si>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</si>
  <si>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</si>
  <si>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</si>
  <si>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</si>
  <si>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</si>
  <si>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</si>
  <si>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</si>
  <si>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</si>
  <si>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</si>
  <si>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</si>
  <si>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</si>
  <si>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</si>
  <si>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</si>
  <si>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</si>
  <si>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</si>
  <si>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</si>
  <si>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</si>
  <si>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</si>
  <si>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</si>
  <si>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</si>
  <si>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</si>
  <si>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</si>
  <si>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</si>
  <si>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</si>
  <si>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</si>
  <si>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</si>
  <si>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</si>
  <si>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</si>
  <si>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</si>
  <si>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</si>
  <si>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</si>
  <si>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</si>
  <si>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</si>
  <si>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</si>
  <si>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</si>
  <si>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</si>
  <si>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</si>
  <si>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</si>
  <si>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</si>
  <si>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</si>
  <si>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</si>
  <si>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</si>
  <si>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</si>
  <si>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</si>
  <si>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</si>
  <si>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</si>
  <si>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</si>
  <si>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</si>
  <si>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</si>
  <si>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</si>
  <si>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</si>
  <si>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</si>
  <si>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</si>
  <si>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</si>
  <si>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</si>
  <si>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</si>
  <si>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</si>
  <si>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</si>
  <si>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</si>
  <si>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</si>
  <si>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</si>
  <si>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</si>
  <si>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</si>
  <si>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</si>
  <si>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</si>
  <si>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</si>
  <si>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</si>
  <si>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</si>
  <si>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</si>
  <si>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</si>
  <si>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</si>
  <si>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</si>
  <si>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</si>
  <si>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</si>
  <si>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</si>
  <si>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</si>
  <si>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</si>
  <si>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</si>
  <si>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</si>
  <si>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</si>
  <si>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</si>
  <si>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</si>
  <si>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</si>
  <si>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</si>
  <si>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</si>
  <si>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</si>
  <si>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</si>
  <si>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</si>
  <si>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</si>
  <si>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</si>
  <si>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</si>
  <si>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</si>
  <si>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</si>
  <si>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</si>
  <si>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</si>
  <si>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</si>
  <si>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</si>
  <si>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</si>
  <si>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</si>
  <si>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</si>
  <si>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</si>
  <si>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</si>
  <si>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</si>
  <si>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</si>
  <si>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</si>
  <si>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</si>
  <si>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</si>
  <si>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</si>
  <si>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</si>
  <si>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</si>
  <si>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</si>
  <si>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</si>
  <si>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</si>
  <si>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</si>
  <si>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</si>
  <si>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</si>
  <si>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</si>
  <si>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</si>
  <si>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</si>
  <si>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</si>
  <si>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</si>
  <si>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</si>
  <si>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</si>
  <si>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</si>
  <si>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</si>
  <si>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</si>
  <si>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</si>
  <si>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</si>
  <si>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</si>
  <si>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</si>
  <si>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</si>
  <si>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</si>
  <si>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</si>
  <si>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</si>
  <si>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</si>
  <si>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</si>
  <si>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</si>
  <si>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</si>
  <si>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</si>
  <si>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</si>
  <si>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</si>
  <si>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</si>
  <si>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</si>
  <si>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</si>
  <si>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</si>
  <si>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</si>
  <si>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</si>
  <si>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</si>
  <si>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</si>
  <si>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</si>
  <si>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</si>
  <si>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</si>
  <si>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</si>
  <si>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</si>
  <si>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</si>
  <si>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</si>
  <si>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</si>
  <si>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</si>
  <si>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</si>
  <si>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</si>
  <si>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</si>
  <si>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</si>
  <si>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</si>
  <si>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</si>
  <si>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</si>
  <si>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</si>
  <si>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</si>
  <si>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</si>
  <si>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</si>
  <si>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</si>
  <si>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</si>
  <si>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</si>
  <si>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</si>
  <si>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</si>
  <si>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</si>
  <si>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</si>
  <si>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</si>
  <si>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</si>
  <si>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</si>
  <si>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</si>
  <si>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</si>
  <si>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</si>
  <si>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</si>
  <si>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</si>
  <si>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</si>
  <si>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</si>
  <si>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</si>
  <si>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</si>
  <si>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</si>
  <si>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</si>
  <si>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</si>
  <si>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</si>
  <si>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</si>
  <si>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</si>
  <si>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</si>
  <si>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</si>
  <si>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</si>
  <si>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</si>
  <si>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</si>
  <si>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</si>
  <si>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</si>
  <si>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</si>
  <si>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</si>
  <si>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</si>
  <si>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</si>
  <si>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</si>
  <si>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</si>
  <si>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</si>
  <si>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</si>
  <si>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</si>
  <si>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</si>
  <si>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</si>
  <si>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</si>
  <si>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</si>
  <si>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</si>
  <si>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</si>
  <si>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</si>
  <si>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</si>
  <si>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</si>
  <si>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</si>
  <si>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</si>
  <si>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</si>
  <si>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</si>
  <si>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</si>
  <si>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</si>
  <si>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</si>
  <si>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</si>
  <si>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</si>
  <si>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</si>
  <si>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</si>
  <si>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</si>
  <si>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</si>
  <si>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</si>
  <si>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</si>
  <si>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</si>
  <si>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</si>
  <si>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</si>
  <si>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</si>
  <si>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</si>
  <si>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</si>
  <si>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</si>
  <si>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</si>
  <si>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</si>
  <si>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</si>
  <si>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</si>
  <si>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</si>
  <si>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</si>
  <si>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</si>
  <si>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</si>
  <si>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</si>
  <si>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</si>
  <si>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</si>
  <si>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</si>
  <si>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</si>
  <si>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</si>
  <si>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</si>
  <si>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</si>
  <si>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</si>
  <si>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</si>
  <si>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</si>
  <si>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</si>
  <si>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</si>
  <si>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</si>
  <si>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</si>
  <si>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</si>
  <si>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</si>
  <si>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</si>
  <si>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</si>
  <si>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</si>
  <si>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</si>
  <si>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</si>
  <si>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</si>
  <si>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</si>
  <si>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</si>
  <si>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</si>
  <si>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</si>
  <si>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</si>
  <si>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</si>
  <si>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</si>
  <si>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</si>
  <si>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</si>
  <si>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</si>
  <si>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</si>
  <si>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</si>
  <si>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</si>
  <si>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</si>
  <si>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</si>
  <si>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</si>
  <si>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</si>
  <si>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</si>
  <si>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</si>
  <si>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</si>
  <si>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</si>
  <si>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</si>
  <si>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</si>
  <si>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</si>
  <si>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</si>
  <si>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</si>
  <si>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</si>
  <si>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</si>
  <si>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</si>
  <si>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</si>
  <si>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</si>
  <si>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</si>
  <si>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</si>
  <si>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</si>
  <si>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</si>
  <si>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</si>
  <si>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</si>
  <si>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</si>
  <si>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</si>
  <si>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</si>
  <si>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</si>
  <si>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</si>
  <si>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</si>
  <si>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</si>
  <si>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</si>
  <si>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</si>
  <si>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</si>
  <si>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</si>
  <si>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</si>
  <si>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</si>
  <si>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</si>
  <si>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</si>
  <si>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</si>
  <si>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</si>
  <si>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</si>
  <si>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</si>
  <si>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</si>
  <si>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</si>
  <si>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</si>
  <si>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</si>
  <si>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</si>
  <si>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</si>
  <si>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</si>
  <si>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</si>
  <si>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</si>
  <si>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</si>
  <si>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</si>
  <si>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</si>
  <si>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</si>
  <si>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</si>
  <si>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</si>
  <si>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</si>
  <si>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</si>
  <si>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</si>
  <si>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</si>
  <si>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</si>
  <si>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</si>
  <si>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</si>
  <si>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</si>
  <si>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</si>
  <si>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</si>
  <si>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</si>
  <si>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</si>
  <si>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</si>
  <si>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</si>
  <si>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</si>
  <si>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</si>
  <si>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</si>
  <si>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</si>
  <si>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</si>
  <si>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</si>
  <si>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</si>
  <si>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</si>
  <si>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</si>
  <si>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</si>
  <si>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</si>
  <si>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</si>
  <si>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</si>
  <si>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</si>
  <si>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</si>
  <si>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</si>
  <si>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</si>
  <si>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</si>
  <si>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</si>
  <si>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</si>
  <si>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</si>
  <si>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</si>
  <si>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</si>
  <si>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</si>
  <si>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</si>
  <si>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</si>
  <si>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</si>
  <si>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</si>
  <si>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</si>
  <si>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</si>
  <si>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</si>
  <si>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</si>
  <si>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</si>
  <si>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</si>
  <si>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</si>
  <si>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</si>
  <si>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</si>
  <si>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</si>
  <si>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</si>
  <si>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</si>
  <si>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</si>
  <si>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</si>
  <si>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</si>
  <si>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</si>
  <si>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</si>
  <si>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</si>
  <si>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</si>
  <si>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</si>
  <si>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</si>
  <si>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</si>
  <si>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</si>
  <si>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</si>
  <si>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</si>
  <si>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</si>
  <si>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</si>
  <si>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</si>
  <si>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</si>
  <si>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</si>
  <si>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</si>
  <si>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</si>
  <si>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</si>
  <si>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</si>
  <si>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</si>
  <si>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</si>
  <si>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</si>
  <si>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</si>
  <si>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</si>
  <si>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</si>
  <si>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</si>
  <si>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</si>
  <si>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</si>
  <si>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</si>
  <si>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</si>
  <si>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</si>
  <si>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</si>
  <si>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</si>
  <si>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</si>
  <si>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</si>
  <si>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</si>
  <si>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</si>
  <si>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</si>
  <si>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</si>
  <si>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</si>
  <si>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</si>
  <si>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</si>
  <si>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</si>
  <si>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</si>
  <si>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</si>
  <si>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</si>
  <si>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</si>
  <si>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</si>
  <si>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</si>
  <si>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</si>
  <si>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</si>
  <si>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</si>
  <si>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</si>
  <si>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</si>
  <si>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</si>
  <si>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</si>
  <si>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</si>
  <si>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</si>
  <si>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38 - 46</t>
  </si>
  <si>
    <t>37</t>
  </si>
  <si>
    <t>32-33</t>
  </si>
  <si>
    <t>X</t>
  </si>
  <si>
    <t>J.M. ABBOTT &amp; ASSOCIATES, LTD</t>
  </si>
  <si>
    <t>DEBRA LAST</t>
  </si>
  <si>
    <t>207 S. MCLEAN ST</t>
  </si>
  <si>
    <t>LINCOLN</t>
  </si>
  <si>
    <t>IL</t>
  </si>
  <si>
    <t>217-735-1576</t>
  </si>
  <si>
    <t>217-735-5866</t>
  </si>
  <si>
    <t>066-005243</t>
  </si>
  <si>
    <t>debbie@jmabbott.com</t>
  </si>
  <si>
    <t>MARK JONTRY</t>
  </si>
  <si>
    <t>jontrym@roe17.org</t>
  </si>
  <si>
    <t>308-888-5120</t>
  </si>
  <si>
    <t>309-862-0420</t>
  </si>
  <si>
    <t>x</t>
  </si>
  <si>
    <t>LOGAN</t>
  </si>
  <si>
    <t>1000 RAILER WAY</t>
  </si>
  <si>
    <t xml:space="preserve">LINCOLN </t>
  </si>
  <si>
    <t>mpuckett@lchsrailers.org</t>
  </si>
  <si>
    <t>R. MATTHEW PUCKETT</t>
  </si>
  <si>
    <t>mpubkett@lchsrailers.org</t>
  </si>
  <si>
    <t>217-732-4131</t>
  </si>
  <si>
    <t>217-735-3963</t>
  </si>
  <si>
    <t>LINCOLNLAND REGIONAL DELIVERY SYSTEM &amp; LCHS DISTRICT #404</t>
  </si>
  <si>
    <t>P. 5, ON BEHALF PAYMENTS - NONE WERE MADE ON BEHALF OF THE JOINT VENTURE.</t>
  </si>
  <si>
    <t>P. 10, LINE 81, OTHER DISTRICT ACTIVITY INCOME - HEALTH OCCUPATION FEES $640.</t>
  </si>
  <si>
    <t>P. 29, THE CENTER HAD NO CONTRACTS OF $25,000 OR MORE.</t>
  </si>
  <si>
    <t>NO CONTRACTS</t>
  </si>
  <si>
    <t>The Center is not allowed to spend more than they have budgeted.</t>
  </si>
  <si>
    <t>They overspent their budget in the Educational Fund by $34.  While this is trivial, it is required to be reported by the Illinois State Board of Education.</t>
  </si>
  <si>
    <t>The Educational Fund overspent its budget by .007%.</t>
  </si>
  <si>
    <t>The Center spent a total of $34 that had not been approved.</t>
  </si>
  <si>
    <t>We recommend that the Administrator carefully reconcile expenditures to the budget each year.</t>
  </si>
  <si>
    <t>Administration will work to better reconcile expenditures in the amended budget at the end of the year.</t>
  </si>
  <si>
    <t>The Center had invoices that came in over budget near the end of the year.</t>
  </si>
  <si>
    <t xml:space="preserve">20 - The Center overspent their budget in the Educational Fund by $34.  </t>
  </si>
  <si>
    <t xml:space="preserve">   Lincolnland Technical Ed Ctr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</si>
</sst>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1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6</xdr:row>
          <xdr:rowOff>76200</xdr:rowOff>
        </xdr:from>
        <xdr:to>
          <xdr:col>1</xdr:col>
          <xdr:colOff>942975</xdr:colOff>
          <xdr:row>10</xdr:row>
          <xdr:rowOff>114300</xdr:rowOff>
        </xdr:to>
        <xdr:sp macro="" textlink="">
          <xdr:nvSpPr>
            <xdr:cNvPr id="56330" name="Object 10" hidden="1">
              <a:extLst>
                <a:ext uri="{63B3BB69-23CF-44E3-9099-C40C66FF867C}">
                  <a14:compatExt spid="_x0000_s56330"/>
                </a:ext>
                <a:ext uri="{FF2B5EF4-FFF2-40B4-BE49-F238E27FC236}">
                  <a16:creationId xmlns:a16="http://schemas.microsoft.com/office/drawing/2014/main" id="{00000000-0008-0000-1400-00000A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1209675</xdr:colOff>
          <xdr:row>6</xdr:row>
          <xdr:rowOff>85725</xdr:rowOff>
        </xdr:from>
        <xdr:to>
          <xdr:col>1</xdr:col>
          <xdr:colOff>2124075</xdr:colOff>
          <xdr:row>10</xdr:row>
          <xdr:rowOff>123825</xdr:rowOff>
        </xdr:to>
        <xdr:sp macro="" textlink="">
          <xdr:nvSpPr>
            <xdr:cNvPr id="56331" name="Object 11" hidden="1">
              <a:extLst>
                <a:ext uri="{63B3BB69-23CF-44E3-9099-C40C66FF867C}">
                  <a14:compatExt spid="_x0000_s56331"/>
                </a:ext>
                <a:ext uri="{FF2B5EF4-FFF2-40B4-BE49-F238E27FC236}">
                  <a16:creationId xmlns:a16="http://schemas.microsoft.com/office/drawing/2014/main" id="{00000000-0008-0000-1400-00000B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xdr:row>
          <xdr:rowOff>28575</xdr:rowOff>
        </xdr:from>
        <xdr:to>
          <xdr:col>1</xdr:col>
          <xdr:colOff>971550</xdr:colOff>
          <xdr:row>5</xdr:row>
          <xdr:rowOff>66675</xdr:rowOff>
        </xdr:to>
        <xdr:sp macro="" textlink="">
          <xdr:nvSpPr>
            <xdr:cNvPr id="56332" name="Object 12" hidden="1">
              <a:extLst>
                <a:ext uri="{63B3BB69-23CF-44E3-9099-C40C66FF867C}">
                  <a14:compatExt spid="_x0000_s56332"/>
                </a:ext>
                <a:ext uri="{FF2B5EF4-FFF2-40B4-BE49-F238E27FC236}">
                  <a16:creationId xmlns:a16="http://schemas.microsoft.com/office/drawing/2014/main" id="{00000000-0008-0000-1400-00000C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1</xdr:row>
          <xdr:rowOff>47625</xdr:rowOff>
        </xdr:from>
        <xdr:to>
          <xdr:col>1</xdr:col>
          <xdr:colOff>2143125</xdr:colOff>
          <xdr:row>5</xdr:row>
          <xdr:rowOff>85725</xdr:rowOff>
        </xdr:to>
        <xdr:sp macro="" textlink="">
          <xdr:nvSpPr>
            <xdr:cNvPr id="56333" name="Object 13" hidden="1">
              <a:extLst>
                <a:ext uri="{63B3BB69-23CF-44E3-9099-C40C66FF867C}">
                  <a14:compatExt spid="_x0000_s56333"/>
                </a:ext>
                <a:ext uri="{FF2B5EF4-FFF2-40B4-BE49-F238E27FC236}">
                  <a16:creationId xmlns:a16="http://schemas.microsoft.com/office/drawing/2014/main" id="{00000000-0008-0000-1400-00000D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5">
        <f>+'AFR20'!E4</f>
        <v>44119</v>
      </c>
      <c r="C1" s="2035"/>
      <c r="D1" s="2036"/>
      <c r="I1" s="2114" t="s">
        <v>402</v>
      </c>
      <c r="J1" s="2115"/>
      <c r="K1" s="2115"/>
      <c r="L1" s="2115"/>
      <c r="M1" s="2115"/>
      <c r="N1" s="2115"/>
      <c r="O1" s="2115"/>
      <c r="P1" s="2115"/>
      <c r="Q1" s="2115"/>
      <c r="R1" s="2115"/>
      <c r="S1" s="2115"/>
    </row>
    <row r="2" spans="1:32" ht="12" customHeight="1" x14ac:dyDescent="0.2">
      <c r="A2" s="1831" t="str">
        <f>"Due to ISBE on "</f>
        <v xml:space="preserve">Due to ISBE on </v>
      </c>
      <c r="B2" s="2037">
        <f>+'AFR20'!F4</f>
        <v>44151</v>
      </c>
      <c r="C2" s="2037"/>
      <c r="D2" s="2038"/>
      <c r="I2" s="2116" t="s">
        <v>2003</v>
      </c>
      <c r="J2" s="2115"/>
      <c r="K2" s="2115"/>
      <c r="L2" s="2115"/>
      <c r="M2" s="2115"/>
      <c r="N2" s="2115"/>
      <c r="O2" s="2115"/>
      <c r="P2" s="2115"/>
      <c r="Q2" s="2115"/>
      <c r="R2" s="2115"/>
      <c r="S2" s="2115"/>
    </row>
    <row r="3" spans="1:32" ht="12" customHeight="1" x14ac:dyDescent="0.2">
      <c r="A3" s="1834" t="str">
        <f>"SD/JA"&amp;MID('AFR20'!E2,3,2)</f>
        <v>SD/JA20</v>
      </c>
      <c r="B3" s="151"/>
      <c r="C3" s="151"/>
      <c r="D3" s="152"/>
      <c r="I3" s="2116" t="s">
        <v>52</v>
      </c>
      <c r="J3" s="2115"/>
      <c r="K3" s="2115"/>
      <c r="L3" s="2115"/>
      <c r="M3" s="2115"/>
      <c r="N3" s="2115"/>
      <c r="O3" s="2115"/>
      <c r="P3" s="2115"/>
      <c r="Q3" s="2115"/>
      <c r="R3" s="2115"/>
      <c r="S3" s="2115"/>
    </row>
    <row r="4" spans="1:32" ht="12" customHeight="1" x14ac:dyDescent="0.2">
      <c r="A4" s="37"/>
      <c r="I4" s="2116" t="s">
        <v>521</v>
      </c>
      <c r="J4" s="2115"/>
      <c r="K4" s="2115"/>
      <c r="L4" s="2115"/>
      <c r="M4" s="2115"/>
      <c r="N4" s="2115"/>
      <c r="O4" s="2115"/>
      <c r="P4" s="2115"/>
      <c r="Q4" s="2115"/>
      <c r="R4" s="2115"/>
      <c r="S4" s="2115"/>
    </row>
    <row r="5" spans="1:32" ht="14.1" customHeight="1" x14ac:dyDescent="0.2">
      <c r="B5" s="101"/>
      <c r="C5" s="26" t="s">
        <v>904</v>
      </c>
      <c r="D5" s="81"/>
      <c r="E5" s="81"/>
      <c r="H5" s="38"/>
      <c r="I5" s="2123" t="s">
        <v>675</v>
      </c>
      <c r="J5" s="2068"/>
      <c r="K5" s="2068"/>
      <c r="L5" s="2068"/>
      <c r="M5" s="2068"/>
      <c r="N5" s="2068"/>
      <c r="O5" s="2068"/>
      <c r="P5" s="2068"/>
      <c r="Q5" s="2068"/>
      <c r="R5" s="2068"/>
      <c r="S5" s="2068"/>
      <c r="AF5" s="1827"/>
    </row>
    <row r="6" spans="1:32" ht="14.1" customHeight="1" x14ac:dyDescent="0.2">
      <c r="B6" s="101" t="s">
        <v>2065</v>
      </c>
      <c r="C6" s="26" t="s">
        <v>905</v>
      </c>
      <c r="D6" s="81"/>
      <c r="E6" s="81"/>
      <c r="I6" s="2122" t="s">
        <v>877</v>
      </c>
      <c r="J6" s="2068"/>
      <c r="K6" s="2068"/>
      <c r="L6" s="2068"/>
      <c r="M6" s="2068"/>
      <c r="N6" s="2068"/>
      <c r="O6" s="2068"/>
      <c r="P6" s="2068"/>
      <c r="Q6" s="2068"/>
      <c r="R6" s="2068"/>
      <c r="S6" s="2068"/>
    </row>
    <row r="7" spans="1:32" ht="12.2" customHeight="1" x14ac:dyDescent="0.2">
      <c r="I7" s="2117" t="str">
        <f>"June 30, "&amp;'AFR20'!E2</f>
        <v>June 30, 2020</v>
      </c>
      <c r="J7" s="2118"/>
      <c r="K7" s="2118"/>
      <c r="L7" s="2118"/>
      <c r="M7" s="2118"/>
      <c r="N7" s="2118"/>
      <c r="O7" s="2118"/>
      <c r="P7" s="2118"/>
      <c r="Q7" s="2118"/>
      <c r="R7" s="2118"/>
      <c r="S7" s="211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9" t="s">
        <v>669</v>
      </c>
      <c r="J9" s="2120"/>
      <c r="K9" s="2120"/>
      <c r="L9" s="2120"/>
      <c r="M9" s="2120"/>
      <c r="N9" s="2120"/>
      <c r="O9" s="2120"/>
      <c r="P9" s="2120"/>
      <c r="Q9" s="2120"/>
      <c r="R9" s="2120"/>
      <c r="S9" s="2121"/>
      <c r="T9" s="2064" t="s">
        <v>530</v>
      </c>
      <c r="U9" s="2065"/>
      <c r="V9" s="2065"/>
      <c r="W9" s="2065"/>
      <c r="X9" s="2065"/>
      <c r="Y9" s="2065"/>
      <c r="Z9" s="2065"/>
      <c r="AA9" s="2066"/>
    </row>
    <row r="10" spans="1:32" ht="13.5" customHeight="1" x14ac:dyDescent="0.2">
      <c r="A10" s="2073" t="s">
        <v>670</v>
      </c>
      <c r="B10" s="2074"/>
      <c r="C10" s="2074"/>
      <c r="D10" s="2074"/>
      <c r="E10" s="2074"/>
      <c r="F10" s="2074"/>
      <c r="G10" s="2074"/>
      <c r="H10" s="2075"/>
      <c r="I10" s="29"/>
      <c r="J10" s="30"/>
      <c r="K10" s="28"/>
      <c r="R10" s="30"/>
      <c r="S10" s="30"/>
      <c r="T10" s="2067"/>
      <c r="U10" s="2068"/>
      <c r="V10" s="2068"/>
      <c r="W10" s="2068"/>
      <c r="X10" s="2068"/>
      <c r="Y10" s="2068"/>
      <c r="Z10" s="2068"/>
      <c r="AA10" s="2069"/>
    </row>
    <row r="11" spans="1:32" ht="14.25" customHeight="1" x14ac:dyDescent="0.2">
      <c r="A11" s="2076" t="s">
        <v>949</v>
      </c>
      <c r="B11" s="2077"/>
      <c r="C11" s="2077"/>
      <c r="D11" s="2077"/>
      <c r="E11" s="2077"/>
      <c r="F11" s="2077"/>
      <c r="G11" s="2077"/>
      <c r="H11" s="2078"/>
      <c r="I11" s="27"/>
      <c r="J11" s="71"/>
      <c r="K11" s="27"/>
      <c r="O11" s="144" t="s">
        <v>2051</v>
      </c>
      <c r="P11" s="97" t="s">
        <v>199</v>
      </c>
      <c r="Q11" s="30"/>
      <c r="R11" s="28"/>
      <c r="S11" s="27"/>
      <c r="T11" s="2070"/>
      <c r="U11" s="2071"/>
      <c r="V11" s="2071"/>
      <c r="W11" s="2071"/>
      <c r="X11" s="2071"/>
      <c r="Y11" s="2071"/>
      <c r="Z11" s="2071"/>
      <c r="AA11" s="207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4">
        <v>17054404041</v>
      </c>
      <c r="B13" s="2085"/>
      <c r="C13" s="2085"/>
      <c r="D13" s="2085"/>
      <c r="E13" s="2085"/>
      <c r="F13" s="2085"/>
      <c r="G13" s="2085"/>
      <c r="H13" s="2086"/>
      <c r="I13" s="31"/>
      <c r="J13" s="30"/>
      <c r="K13" s="28"/>
      <c r="L13" s="30"/>
      <c r="M13" s="30"/>
      <c r="N13" s="30"/>
      <c r="O13" s="30"/>
      <c r="P13" s="30"/>
      <c r="Q13" s="30"/>
      <c r="R13" s="30"/>
      <c r="S13" s="30"/>
      <c r="T13" s="2089" t="s">
        <v>2052</v>
      </c>
      <c r="U13" s="2090"/>
      <c r="V13" s="2090"/>
      <c r="W13" s="2090"/>
      <c r="X13" s="2090"/>
      <c r="Y13" s="2091"/>
      <c r="Z13" s="2091"/>
      <c r="AA13" s="209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2" t="s">
        <v>2066</v>
      </c>
      <c r="B15" s="2087"/>
      <c r="C15" s="2087"/>
      <c r="D15" s="2087"/>
      <c r="E15" s="2087"/>
      <c r="F15" s="2087"/>
      <c r="G15" s="2087"/>
      <c r="H15" s="2088"/>
      <c r="T15" s="2050" t="s">
        <v>2053</v>
      </c>
      <c r="U15" s="2051"/>
      <c r="V15" s="2051"/>
      <c r="W15" s="2051"/>
      <c r="X15" s="2051"/>
      <c r="Y15" s="2093"/>
      <c r="Z15" s="2093"/>
      <c r="AA15" s="209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2" t="s">
        <v>2087</v>
      </c>
      <c r="B17" s="2112"/>
      <c r="C17" s="2112"/>
      <c r="D17" s="2112"/>
      <c r="E17" s="2112"/>
      <c r="F17" s="2112"/>
      <c r="G17" s="2112"/>
      <c r="H17" s="2113"/>
      <c r="T17" s="2099" t="s">
        <v>2054</v>
      </c>
      <c r="U17" s="2100"/>
      <c r="V17" s="2100"/>
      <c r="W17" s="2100"/>
      <c r="X17" s="2100"/>
      <c r="Y17" s="2100"/>
      <c r="Z17" s="2100"/>
      <c r="AA17" s="2101"/>
    </row>
    <row r="18" spans="1:27" ht="13.5" customHeight="1" x14ac:dyDescent="0.2">
      <c r="A18" s="82" t="s">
        <v>527</v>
      </c>
      <c r="B18" s="73"/>
      <c r="C18" s="69"/>
      <c r="D18" s="73"/>
      <c r="E18" s="73"/>
      <c r="F18" s="73"/>
      <c r="G18" s="73"/>
      <c r="H18" s="53"/>
      <c r="I18" s="2109" t="s">
        <v>671</v>
      </c>
      <c r="J18" s="2110"/>
      <c r="K18" s="2110"/>
      <c r="L18" s="2110"/>
      <c r="M18" s="2110"/>
      <c r="N18" s="2110"/>
      <c r="O18" s="2110"/>
      <c r="P18" s="2110"/>
      <c r="Q18" s="2110"/>
      <c r="R18" s="2110"/>
      <c r="S18" s="2111"/>
      <c r="T18" s="82" t="s">
        <v>706</v>
      </c>
      <c r="U18" s="48"/>
      <c r="V18" s="69"/>
      <c r="W18" s="47"/>
      <c r="X18" s="82" t="s">
        <v>264</v>
      </c>
      <c r="Y18" s="78"/>
      <c r="Z18" s="154" t="s">
        <v>672</v>
      </c>
      <c r="AA18" s="44"/>
    </row>
    <row r="19" spans="1:27" ht="13.5" customHeight="1" x14ac:dyDescent="0.2">
      <c r="A19" s="2082" t="s">
        <v>2067</v>
      </c>
      <c r="B19" s="2083"/>
      <c r="C19" s="2083"/>
      <c r="D19" s="2083"/>
      <c r="E19" s="2083"/>
      <c r="F19" s="2083"/>
      <c r="G19" s="2083"/>
      <c r="H19" s="2081"/>
      <c r="I19" s="30"/>
      <c r="J19" s="96"/>
      <c r="K19" s="40"/>
      <c r="L19" s="38"/>
      <c r="M19" s="109" t="s">
        <v>312</v>
      </c>
      <c r="P19" s="27"/>
      <c r="Q19" s="27"/>
      <c r="R19" s="27"/>
      <c r="S19" s="31"/>
      <c r="T19" s="2082" t="s">
        <v>2055</v>
      </c>
      <c r="U19" s="2080"/>
      <c r="V19" s="2080"/>
      <c r="W19" s="2081"/>
      <c r="X19" s="2097" t="s">
        <v>2056</v>
      </c>
      <c r="Y19" s="2098"/>
      <c r="Z19" s="2095">
        <v>62656</v>
      </c>
      <c r="AA19" s="209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9" t="s">
        <v>2068</v>
      </c>
      <c r="B21" s="2080"/>
      <c r="C21" s="2080"/>
      <c r="D21" s="2080"/>
      <c r="E21" s="2080"/>
      <c r="F21" s="2080"/>
      <c r="G21" s="2080"/>
      <c r="H21" s="2081"/>
      <c r="I21" s="2105" t="s">
        <v>673</v>
      </c>
      <c r="J21" s="2068"/>
      <c r="K21" s="2068"/>
      <c r="L21" s="2068"/>
      <c r="M21" s="2068"/>
      <c r="N21" s="2068"/>
      <c r="O21" s="2068"/>
      <c r="P21" s="2068"/>
      <c r="Q21" s="2068"/>
      <c r="R21" s="2068"/>
      <c r="S21" s="2069"/>
      <c r="T21" s="2047" t="s">
        <v>2057</v>
      </c>
      <c r="U21" s="2048"/>
      <c r="V21" s="2048"/>
      <c r="W21" s="2048"/>
      <c r="X21" s="2061" t="s">
        <v>2058</v>
      </c>
      <c r="Y21" s="2062"/>
      <c r="Z21" s="2062"/>
      <c r="AA21" s="2063"/>
    </row>
    <row r="22" spans="1:27" ht="13.5" customHeight="1" x14ac:dyDescent="0.2">
      <c r="A22" s="84" t="s">
        <v>528</v>
      </c>
      <c r="B22" s="56"/>
      <c r="C22" s="56"/>
      <c r="D22" s="56"/>
      <c r="E22" s="56"/>
      <c r="F22" s="56"/>
      <c r="G22" s="56"/>
      <c r="H22" s="57"/>
      <c r="I22" s="2106" t="s">
        <v>1412</v>
      </c>
      <c r="J22" s="2107"/>
      <c r="K22" s="2107"/>
      <c r="L22" s="2107"/>
      <c r="M22" s="2107"/>
      <c r="N22" s="2107"/>
      <c r="O22" s="2107"/>
      <c r="P22" s="2107"/>
      <c r="Q22" s="2107"/>
      <c r="R22" s="2107"/>
      <c r="S22" s="2108"/>
      <c r="T22" s="82" t="s">
        <v>1499</v>
      </c>
      <c r="U22" s="48"/>
      <c r="V22" s="69"/>
      <c r="W22" s="48"/>
      <c r="X22" s="155" t="s">
        <v>1307</v>
      </c>
      <c r="Z22" s="43"/>
      <c r="AA22" s="44"/>
    </row>
    <row r="23" spans="1:27" ht="13.5" customHeight="1" x14ac:dyDescent="0.2">
      <c r="A23" s="2102" t="s">
        <v>2069</v>
      </c>
      <c r="B23" s="2103"/>
      <c r="C23" s="2103"/>
      <c r="D23" s="2103"/>
      <c r="E23" s="2103"/>
      <c r="F23" s="2103"/>
      <c r="G23" s="2103"/>
      <c r="H23" s="2104"/>
      <c r="T23" s="2042" t="s">
        <v>2059</v>
      </c>
      <c r="U23" s="2043"/>
      <c r="V23" s="2043"/>
      <c r="W23" s="2043"/>
      <c r="X23" s="2058">
        <v>44530</v>
      </c>
      <c r="Y23" s="2059"/>
      <c r="Z23" s="2059"/>
      <c r="AA23" s="2060"/>
    </row>
    <row r="24" spans="1:27" ht="14.1" customHeight="1" x14ac:dyDescent="0.2">
      <c r="A24" s="85" t="s">
        <v>672</v>
      </c>
      <c r="B24" s="46"/>
      <c r="C24" s="46"/>
      <c r="D24" s="46"/>
      <c r="E24" s="46"/>
      <c r="F24" s="46"/>
      <c r="G24" s="46"/>
      <c r="H24" s="58"/>
      <c r="J24" s="2144" t="str">
        <f>IF(B5="x",IF(AUDITCHECK!D29="AFR form Incomplete.","",IF(AUDITCHECK!D29="Deficit reduction plan is required.","School District must complete a deficit reduction plan in the 2019-2020 Budget",)),"")</f>
        <v/>
      </c>
      <c r="K24" s="2144"/>
      <c r="L24" s="2144"/>
      <c r="M24" s="2144"/>
      <c r="N24" s="2144"/>
      <c r="O24" s="2144"/>
      <c r="P24" s="2144"/>
      <c r="Q24" s="2144"/>
      <c r="R24" s="2144"/>
      <c r="S24" s="2145"/>
      <c r="T24" s="102" t="s">
        <v>528</v>
      </c>
      <c r="U24" s="103"/>
      <c r="V24" s="103"/>
      <c r="W24" s="103"/>
      <c r="X24" s="104"/>
      <c r="Y24" s="104"/>
      <c r="Z24" s="104"/>
      <c r="AA24" s="105"/>
    </row>
    <row r="25" spans="1:27" ht="14.1" customHeight="1" x14ac:dyDescent="0.2">
      <c r="A25" s="2079"/>
      <c r="B25" s="2080"/>
      <c r="C25" s="2080"/>
      <c r="D25" s="2080"/>
      <c r="E25" s="2080"/>
      <c r="F25" s="2080"/>
      <c r="G25" s="2080"/>
      <c r="H25" s="2081"/>
      <c r="I25" s="110"/>
      <c r="J25" s="2146"/>
      <c r="K25" s="2146"/>
      <c r="L25" s="2146"/>
      <c r="M25" s="2146"/>
      <c r="N25" s="2146"/>
      <c r="O25" s="2146"/>
      <c r="P25" s="2146"/>
      <c r="Q25" s="2146"/>
      <c r="R25" s="2146"/>
      <c r="S25" s="2147"/>
      <c r="T25" s="2039" t="s">
        <v>2060</v>
      </c>
      <c r="U25" s="2040"/>
      <c r="V25" s="2040"/>
      <c r="W25" s="2040"/>
      <c r="X25" s="2040"/>
      <c r="Y25" s="2040"/>
      <c r="Z25" s="2040"/>
      <c r="AA25" s="204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7" t="s">
        <v>1494</v>
      </c>
      <c r="J27" s="2110"/>
      <c r="K27" s="2110"/>
      <c r="L27" s="2110"/>
      <c r="M27" s="2110"/>
      <c r="N27" s="2110"/>
      <c r="O27" s="2110"/>
      <c r="P27" s="2110"/>
      <c r="Q27" s="2110"/>
      <c r="R27" s="2110"/>
      <c r="S27" s="211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3"/>
      <c r="Q35" s="2080"/>
      <c r="R35" s="208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2" t="s">
        <v>2070</v>
      </c>
      <c r="B38" s="2112"/>
      <c r="C38" s="2112"/>
      <c r="D38" s="2112"/>
      <c r="E38" s="2112"/>
      <c r="F38" s="2080"/>
      <c r="G38" s="2080"/>
      <c r="H38" s="2081"/>
      <c r="I38" s="2131"/>
      <c r="J38" s="2051"/>
      <c r="K38" s="2051"/>
      <c r="L38" s="2051"/>
      <c r="M38" s="2051"/>
      <c r="N38" s="2051"/>
      <c r="O38" s="2051"/>
      <c r="P38" s="2052"/>
      <c r="Q38" s="2052"/>
      <c r="R38" s="2052"/>
      <c r="S38" s="2053"/>
      <c r="T38" s="2050" t="s">
        <v>2061</v>
      </c>
      <c r="U38" s="2051"/>
      <c r="V38" s="2051"/>
      <c r="W38" s="2051"/>
      <c r="X38" s="2052"/>
      <c r="Y38" s="2052"/>
      <c r="Z38" s="2052"/>
      <c r="AA38" s="2053"/>
    </row>
    <row r="39" spans="1:27" ht="12" customHeight="1" x14ac:dyDescent="0.2">
      <c r="A39" s="2135" t="s">
        <v>528</v>
      </c>
      <c r="B39" s="2136"/>
      <c r="C39" s="69"/>
      <c r="D39" s="66"/>
      <c r="E39" s="66"/>
      <c r="F39" s="76"/>
      <c r="G39" s="66"/>
      <c r="H39" s="53"/>
      <c r="I39" s="2135" t="s">
        <v>528</v>
      </c>
      <c r="J39" s="2136"/>
      <c r="K39" s="2136"/>
      <c r="L39" s="2136"/>
      <c r="M39" s="2136"/>
      <c r="N39" s="64"/>
      <c r="O39" s="69"/>
      <c r="P39" s="69"/>
      <c r="Q39" s="75"/>
      <c r="R39" s="69"/>
      <c r="S39" s="53"/>
      <c r="T39" s="69" t="s">
        <v>528</v>
      </c>
      <c r="U39" s="48"/>
      <c r="V39" s="69"/>
      <c r="W39" s="47"/>
      <c r="X39" s="75"/>
      <c r="Y39" s="43"/>
      <c r="Z39" s="43"/>
      <c r="AA39" s="44"/>
    </row>
    <row r="40" spans="1:27" ht="13.5" customHeight="1" x14ac:dyDescent="0.2">
      <c r="A40" s="2138" t="s">
        <v>2071</v>
      </c>
      <c r="B40" s="2139"/>
      <c r="C40" s="2140"/>
      <c r="D40" s="2140"/>
      <c r="E40" s="2140"/>
      <c r="F40" s="2141"/>
      <c r="G40" s="2141"/>
      <c r="H40" s="2142"/>
      <c r="I40" s="2054"/>
      <c r="J40" s="2056"/>
      <c r="K40" s="2056"/>
      <c r="L40" s="2056"/>
      <c r="M40" s="2056"/>
      <c r="N40" s="2056"/>
      <c r="O40" s="2056"/>
      <c r="P40" s="2056"/>
      <c r="Q40" s="2056"/>
      <c r="R40" s="2056"/>
      <c r="S40" s="2057"/>
      <c r="T40" s="2054" t="s">
        <v>2062</v>
      </c>
      <c r="U40" s="2055"/>
      <c r="V40" s="2056"/>
      <c r="W40" s="2056"/>
      <c r="X40" s="2056"/>
      <c r="Y40" s="2056"/>
      <c r="Z40" s="2056"/>
      <c r="AA40" s="205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8" t="s">
        <v>2072</v>
      </c>
      <c r="B42" s="2129"/>
      <c r="C42" s="2130"/>
      <c r="D42" s="2143" t="s">
        <v>2073</v>
      </c>
      <c r="E42" s="2129"/>
      <c r="F42" s="2129"/>
      <c r="G42" s="2129"/>
      <c r="H42" s="2130"/>
      <c r="I42" s="2049"/>
      <c r="J42" s="2045"/>
      <c r="K42" s="2045"/>
      <c r="L42" s="2045"/>
      <c r="M42" s="2045"/>
      <c r="N42" s="2045"/>
      <c r="O42" s="2046"/>
      <c r="P42" s="2044"/>
      <c r="Q42" s="2045"/>
      <c r="R42" s="2045"/>
      <c r="S42" s="2046"/>
      <c r="T42" s="2049" t="s">
        <v>2063</v>
      </c>
      <c r="U42" s="2045"/>
      <c r="V42" s="2045"/>
      <c r="W42" s="2046"/>
      <c r="X42" s="2044" t="s">
        <v>2064</v>
      </c>
      <c r="Y42" s="2045"/>
      <c r="Z42" s="2045"/>
      <c r="AA42" s="204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2"/>
      <c r="B44" s="2133"/>
      <c r="C44" s="2133"/>
      <c r="D44" s="2133"/>
      <c r="E44" s="2133"/>
      <c r="F44" s="2133"/>
      <c r="G44" s="2133"/>
      <c r="H44" s="2134"/>
      <c r="I44" s="2124"/>
      <c r="J44" s="2126"/>
      <c r="K44" s="2126"/>
      <c r="L44" s="2126"/>
      <c r="M44" s="2126"/>
      <c r="N44" s="2126"/>
      <c r="O44" s="2126"/>
      <c r="P44" s="2126"/>
      <c r="Q44" s="2126"/>
      <c r="R44" s="2126"/>
      <c r="S44" s="2127"/>
      <c r="T44" s="2124"/>
      <c r="U44" s="2125"/>
      <c r="V44" s="2125"/>
      <c r="W44" s="2125"/>
      <c r="X44" s="2125"/>
      <c r="Y44" s="2125"/>
      <c r="Z44" s="2126"/>
      <c r="AA44" s="212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3" right="0.2" top="0.75" bottom="0.52" header="0.14000000000000001"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3" zoomScale="110" zoomScaleNormal="110" workbookViewId="0">
      <selection activeCell="A3" sqref="A3:F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2050</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2048</v>
      </c>
    </row>
    <row r="33" spans="1:5" x14ac:dyDescent="0.2">
      <c r="A33" s="167"/>
      <c r="D33" s="164"/>
      <c r="E33" s="166"/>
    </row>
    <row r="34" spans="1:5" x14ac:dyDescent="0.2">
      <c r="A34" s="167"/>
      <c r="D34" s="164"/>
      <c r="E34" s="166"/>
    </row>
    <row r="35" spans="1:5" ht="15.75" customHeight="1" thickBot="1" x14ac:dyDescent="0.25">
      <c r="A35" s="2151" t="s">
        <v>1056</v>
      </c>
      <c r="B35" s="2151"/>
      <c r="C35" s="2151"/>
      <c r="D35" s="2151"/>
      <c r="E35" s="215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8" t="s">
        <v>686</v>
      </c>
      <c r="B40" s="2148"/>
      <c r="C40" s="2148"/>
      <c r="D40" s="2148"/>
      <c r="E40" s="2148"/>
    </row>
    <row r="41" spans="1:5" x14ac:dyDescent="0.2">
      <c r="A41" s="2149" t="s">
        <v>1591</v>
      </c>
      <c r="B41" s="2149"/>
      <c r="C41" s="2149"/>
      <c r="D41" s="2149"/>
      <c r="E41" s="2149"/>
    </row>
    <row r="42" spans="1:5" ht="12.75" customHeight="1" x14ac:dyDescent="0.2">
      <c r="A42" s="2150" t="s">
        <v>1015</v>
      </c>
      <c r="B42" s="2150"/>
      <c r="C42" s="2150"/>
      <c r="D42" s="2150"/>
      <c r="E42" s="215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5" colorId="8" zoomScaleNormal="100" workbookViewId="0">
      <selection activeCell="A3" sqref="A3:F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2" t="s">
        <v>1158</v>
      </c>
      <c r="B2" s="2152"/>
      <c r="C2" s="2152"/>
      <c r="D2" s="2152"/>
      <c r="E2" s="2152"/>
      <c r="F2" s="2152"/>
      <c r="G2" s="2152"/>
      <c r="H2" s="2152"/>
      <c r="I2" s="2152"/>
      <c r="J2" s="2152"/>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6" t="s">
        <v>1616</v>
      </c>
      <c r="B35" s="2167"/>
      <c r="C35" s="2167"/>
      <c r="D35" s="2167"/>
      <c r="E35" s="2168"/>
      <c r="F35" s="2168"/>
      <c r="G35" s="2168"/>
      <c r="H35" s="2168"/>
      <c r="I35" s="216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6" t="s">
        <v>310</v>
      </c>
      <c r="B47" s="2169"/>
      <c r="C47" s="2169"/>
      <c r="D47" s="2169"/>
      <c r="E47" s="2170"/>
      <c r="F47" s="2170"/>
      <c r="G47" s="2170"/>
      <c r="H47" s="2170"/>
      <c r="I47" s="217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3" t="s">
        <v>2086</v>
      </c>
      <c r="C57" s="2174"/>
      <c r="D57" s="2174"/>
      <c r="E57" s="2174"/>
      <c r="F57" s="2174"/>
      <c r="G57" s="2174"/>
      <c r="H57" s="2174"/>
      <c r="I57" s="2174"/>
      <c r="J57" s="2175"/>
    </row>
    <row r="58" spans="1:10" s="176" customFormat="1" x14ac:dyDescent="0.2">
      <c r="A58" s="248"/>
      <c r="B58" s="2176"/>
      <c r="C58" s="2177"/>
      <c r="D58" s="2177"/>
      <c r="E58" s="2177"/>
      <c r="F58" s="2177"/>
      <c r="G58" s="2177"/>
      <c r="H58" s="2177"/>
      <c r="I58" s="2177"/>
      <c r="J58" s="2178"/>
    </row>
    <row r="59" spans="1:10" s="176" customFormat="1" x14ac:dyDescent="0.2">
      <c r="A59" s="248"/>
      <c r="B59" s="2176"/>
      <c r="C59" s="2177"/>
      <c r="D59" s="2177"/>
      <c r="E59" s="2177"/>
      <c r="F59" s="2177"/>
      <c r="G59" s="2177"/>
      <c r="H59" s="2177"/>
      <c r="I59" s="2177"/>
      <c r="J59" s="2178"/>
    </row>
    <row r="60" spans="1:10" s="176" customFormat="1" x14ac:dyDescent="0.2">
      <c r="A60" s="248"/>
      <c r="B60" s="2176"/>
      <c r="C60" s="2177"/>
      <c r="D60" s="2177"/>
      <c r="E60" s="2177"/>
      <c r="F60" s="2177"/>
      <c r="G60" s="2177"/>
      <c r="H60" s="2177"/>
      <c r="I60" s="2177"/>
      <c r="J60" s="2178"/>
    </row>
    <row r="61" spans="1:10" s="176" customFormat="1" x14ac:dyDescent="0.2">
      <c r="A61" s="248"/>
      <c r="B61" s="2176"/>
      <c r="C61" s="2177"/>
      <c r="D61" s="2177"/>
      <c r="E61" s="2177"/>
      <c r="F61" s="2177"/>
      <c r="G61" s="2177"/>
      <c r="H61" s="2177"/>
      <c r="I61" s="2177"/>
      <c r="J61" s="2178"/>
    </row>
    <row r="62" spans="1:10" s="176" customFormat="1" x14ac:dyDescent="0.2">
      <c r="A62" s="248"/>
      <c r="B62" s="2176"/>
      <c r="C62" s="2177"/>
      <c r="D62" s="2177"/>
      <c r="E62" s="2177"/>
      <c r="F62" s="2177"/>
      <c r="G62" s="2177"/>
      <c r="H62" s="2177"/>
      <c r="I62" s="2177"/>
      <c r="J62" s="2178"/>
    </row>
    <row r="63" spans="1:10" s="176" customFormat="1" x14ac:dyDescent="0.2">
      <c r="A63" s="248"/>
      <c r="B63" s="2176"/>
      <c r="C63" s="2177"/>
      <c r="D63" s="2177"/>
      <c r="E63" s="2177"/>
      <c r="F63" s="2177"/>
      <c r="G63" s="2177"/>
      <c r="H63" s="2177"/>
      <c r="I63" s="2177"/>
      <c r="J63" s="2178"/>
    </row>
    <row r="64" spans="1:10" s="176" customFormat="1" x14ac:dyDescent="0.2">
      <c r="A64" s="248"/>
      <c r="B64" s="2176"/>
      <c r="C64" s="2177"/>
      <c r="D64" s="2177"/>
      <c r="E64" s="2177"/>
      <c r="F64" s="2177"/>
      <c r="G64" s="2177"/>
      <c r="H64" s="2177"/>
      <c r="I64" s="2177"/>
      <c r="J64" s="2178"/>
    </row>
    <row r="65" spans="1:11" s="176" customFormat="1" x14ac:dyDescent="0.2">
      <c r="A65" s="248"/>
      <c r="B65" s="2176"/>
      <c r="C65" s="2177"/>
      <c r="D65" s="2177"/>
      <c r="E65" s="2177"/>
      <c r="F65" s="2177"/>
      <c r="G65" s="2177"/>
      <c r="H65" s="2177"/>
      <c r="I65" s="2177"/>
      <c r="J65" s="2178"/>
    </row>
    <row r="66" spans="1:11" s="176" customFormat="1" x14ac:dyDescent="0.2">
      <c r="A66" s="248"/>
      <c r="B66" s="2176"/>
      <c r="C66" s="2177"/>
      <c r="D66" s="2177"/>
      <c r="E66" s="2177"/>
      <c r="F66" s="2177"/>
      <c r="G66" s="2177"/>
      <c r="H66" s="2177"/>
      <c r="I66" s="2177"/>
      <c r="J66" s="2178"/>
    </row>
    <row r="67" spans="1:11" s="176" customFormat="1" ht="9" customHeight="1" x14ac:dyDescent="0.2">
      <c r="A67" s="249"/>
      <c r="B67" s="2179"/>
      <c r="C67" s="2180"/>
      <c r="D67" s="2180"/>
      <c r="E67" s="2180"/>
      <c r="F67" s="2180"/>
      <c r="G67" s="2180"/>
      <c r="H67" s="2180"/>
      <c r="I67" s="2180"/>
      <c r="J67" s="218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6" t="s">
        <v>1312</v>
      </c>
      <c r="B70" s="2169"/>
      <c r="C70" s="2169"/>
      <c r="D70" s="2169"/>
      <c r="E70" s="2170"/>
      <c r="F70" s="2170"/>
      <c r="G70" s="2170"/>
      <c r="H70" s="2170"/>
      <c r="I70" s="2170"/>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1" t="s">
        <v>1309</v>
      </c>
      <c r="B83" s="2171"/>
      <c r="C83" s="2171"/>
      <c r="D83" s="2172"/>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2" t="s">
        <v>1989</v>
      </c>
      <c r="B85" s="2182"/>
      <c r="C85" s="2182"/>
      <c r="D85" s="2183"/>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4" t="s">
        <v>1989</v>
      </c>
      <c r="B88" s="2185"/>
      <c r="C88" s="2185"/>
      <c r="D88" s="2186"/>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3"/>
      <c r="C102" s="2154"/>
      <c r="D102" s="2154"/>
      <c r="E102" s="2154"/>
      <c r="F102" s="2154"/>
      <c r="G102" s="2154"/>
      <c r="H102" s="2154"/>
      <c r="I102" s="2155"/>
    </row>
    <row r="103" spans="1:9" s="176" customFormat="1" ht="11.25" customHeight="1" x14ac:dyDescent="0.2">
      <c r="A103" s="294"/>
      <c r="B103" s="2156"/>
      <c r="C103" s="2157"/>
      <c r="D103" s="2157"/>
      <c r="E103" s="2157"/>
      <c r="F103" s="2157"/>
      <c r="G103" s="2157"/>
      <c r="H103" s="2157"/>
      <c r="I103" s="2158"/>
    </row>
    <row r="104" spans="1:9" s="176" customFormat="1" ht="11.25" customHeight="1" x14ac:dyDescent="0.2">
      <c r="A104" s="294"/>
      <c r="B104" s="2156"/>
      <c r="C104" s="2157"/>
      <c r="D104" s="2157"/>
      <c r="E104" s="2157"/>
      <c r="F104" s="2157"/>
      <c r="G104" s="2157"/>
      <c r="H104" s="2157"/>
      <c r="I104" s="2158"/>
    </row>
    <row r="105" spans="1:9" s="176" customFormat="1" x14ac:dyDescent="0.2">
      <c r="A105" s="294"/>
      <c r="B105" s="2156"/>
      <c r="C105" s="2157"/>
      <c r="D105" s="2157"/>
      <c r="E105" s="2157"/>
      <c r="F105" s="2157"/>
      <c r="G105" s="2157"/>
      <c r="H105" s="2157"/>
      <c r="I105" s="2158"/>
    </row>
    <row r="106" spans="1:9" s="176" customFormat="1" ht="11.25" customHeight="1" x14ac:dyDescent="0.2">
      <c r="A106" s="294"/>
      <c r="B106" s="2156"/>
      <c r="C106" s="2157"/>
      <c r="D106" s="2157"/>
      <c r="E106" s="2157"/>
      <c r="F106" s="2157"/>
      <c r="G106" s="2157"/>
      <c r="H106" s="2157"/>
      <c r="I106" s="2158"/>
    </row>
    <row r="107" spans="1:9" s="176" customFormat="1" ht="11.25" customHeight="1" x14ac:dyDescent="0.2">
      <c r="A107" s="294"/>
      <c r="B107" s="2156"/>
      <c r="C107" s="2157"/>
      <c r="D107" s="2157"/>
      <c r="E107" s="2157"/>
      <c r="F107" s="2157"/>
      <c r="G107" s="2157"/>
      <c r="H107" s="2157"/>
      <c r="I107" s="2158"/>
    </row>
    <row r="108" spans="1:9" s="176" customFormat="1" ht="11.25" customHeight="1" x14ac:dyDescent="0.2">
      <c r="A108" s="294"/>
      <c r="B108" s="2156"/>
      <c r="C108" s="2157"/>
      <c r="D108" s="2157"/>
      <c r="E108" s="2157"/>
      <c r="F108" s="2157"/>
      <c r="G108" s="2157"/>
      <c r="H108" s="2157"/>
      <c r="I108" s="2158"/>
    </row>
    <row r="109" spans="1:9" s="176" customFormat="1" ht="11.25" customHeight="1" x14ac:dyDescent="0.2">
      <c r="A109" s="294"/>
      <c r="B109" s="2156"/>
      <c r="C109" s="2157"/>
      <c r="D109" s="2157"/>
      <c r="E109" s="2157"/>
      <c r="F109" s="2157"/>
      <c r="G109" s="2157"/>
      <c r="H109" s="2157"/>
      <c r="I109" s="2158"/>
    </row>
    <row r="110" spans="1:9" s="176" customFormat="1" ht="11.25" customHeight="1" x14ac:dyDescent="0.2">
      <c r="A110" s="294"/>
      <c r="B110" s="2156"/>
      <c r="C110" s="2157"/>
      <c r="D110" s="2157"/>
      <c r="E110" s="2157"/>
      <c r="F110" s="2157"/>
      <c r="G110" s="2157"/>
      <c r="H110" s="2157"/>
      <c r="I110" s="2158"/>
    </row>
    <row r="111" spans="1:9" s="176" customFormat="1" ht="11.25" customHeight="1" x14ac:dyDescent="0.2">
      <c r="A111" s="294"/>
      <c r="B111" s="2156"/>
      <c r="C111" s="2157"/>
      <c r="D111" s="2157"/>
      <c r="E111" s="2157"/>
      <c r="F111" s="2157"/>
      <c r="G111" s="2157"/>
      <c r="H111" s="2157"/>
      <c r="I111" s="2158"/>
    </row>
    <row r="112" spans="1:9" s="176" customFormat="1" ht="11.25" customHeight="1" x14ac:dyDescent="0.2">
      <c r="A112" s="294"/>
      <c r="B112" s="2159"/>
      <c r="C112" s="2160"/>
      <c r="D112" s="2160"/>
      <c r="E112" s="2160"/>
      <c r="F112" s="2160"/>
      <c r="G112" s="2160"/>
      <c r="H112" s="2160"/>
      <c r="I112" s="216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2" t="s">
        <v>2052</v>
      </c>
      <c r="D114" s="216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3" t="s">
        <v>1319</v>
      </c>
      <c r="D117" s="2164"/>
      <c r="E117" s="2165"/>
      <c r="F117" s="2165"/>
      <c r="G117" s="2165"/>
      <c r="H117" s="216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35"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3" sqref="A3:F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7" t="s">
        <v>383</v>
      </c>
      <c r="B1" s="2187"/>
      <c r="C1" s="2187"/>
      <c r="D1" s="2187"/>
      <c r="E1" s="2187"/>
      <c r="F1" s="2187"/>
      <c r="G1" s="2187"/>
      <c r="H1" s="2187"/>
      <c r="I1" s="2187"/>
      <c r="J1" s="2187"/>
      <c r="K1" s="2187"/>
      <c r="L1" s="2187"/>
      <c r="M1" s="218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197" t="str">
        <f>IF(SUM(J10)&lt;=0.0999999,"","Enter the Tax Rates by moving the decimal two places to the left.")</f>
        <v/>
      </c>
      <c r="E11" s="2198"/>
      <c r="F11" s="2198"/>
      <c r="G11" s="2198"/>
      <c r="H11" s="2198"/>
      <c r="I11" s="2198"/>
      <c r="J11" s="219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569774</v>
      </c>
      <c r="E16" s="1547"/>
      <c r="F16" s="1546">
        <f>SUM('Acct Summary 7-8'!C17,'Acct Summary 7-8'!D17,'Acct Summary 7-8'!F17)</f>
        <v>473610</v>
      </c>
      <c r="G16" s="1547"/>
      <c r="H16" s="1546">
        <f>SUM(D16-F16)</f>
        <v>96164</v>
      </c>
      <c r="I16" s="1548"/>
      <c r="J16" s="1546">
        <f>SUM('Acct Summary 7-8'!C81,'Acct Summary 7-8'!D81,'Acct Summary 7-8'!F81,'Acct Summary 7-8'!I81)</f>
        <v>258686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8"/>
      <c r="C54" s="2189"/>
      <c r="D54" s="2189"/>
      <c r="E54" s="2189"/>
      <c r="F54" s="2189"/>
      <c r="G54" s="2189"/>
      <c r="H54" s="2189"/>
      <c r="I54" s="2189"/>
      <c r="J54" s="2189"/>
      <c r="K54" s="2189"/>
      <c r="L54" s="2190"/>
      <c r="M54" s="357"/>
    </row>
    <row r="55" spans="1:13" ht="12.75" customHeight="1" x14ac:dyDescent="0.2">
      <c r="B55" s="2191"/>
      <c r="C55" s="2192"/>
      <c r="D55" s="2192"/>
      <c r="E55" s="2192"/>
      <c r="F55" s="2192"/>
      <c r="G55" s="2192"/>
      <c r="H55" s="2192"/>
      <c r="I55" s="2192"/>
      <c r="J55" s="2192"/>
      <c r="K55" s="2192"/>
      <c r="L55" s="2193"/>
      <c r="M55" s="357"/>
    </row>
    <row r="56" spans="1:13" ht="12.75" customHeight="1" x14ac:dyDescent="0.2">
      <c r="B56" s="2191"/>
      <c r="C56" s="2192"/>
      <c r="D56" s="2192"/>
      <c r="E56" s="2192"/>
      <c r="F56" s="2192"/>
      <c r="G56" s="2192"/>
      <c r="H56" s="2192"/>
      <c r="I56" s="2192"/>
      <c r="J56" s="2192"/>
      <c r="K56" s="2192"/>
      <c r="L56" s="2193"/>
      <c r="M56" s="217"/>
    </row>
    <row r="57" spans="1:13" ht="12.75" customHeight="1" x14ac:dyDescent="0.2">
      <c r="B57" s="2191"/>
      <c r="C57" s="2192"/>
      <c r="D57" s="2192"/>
      <c r="E57" s="2192"/>
      <c r="F57" s="2192"/>
      <c r="G57" s="2192"/>
      <c r="H57" s="2192"/>
      <c r="I57" s="2192"/>
      <c r="J57" s="2192"/>
      <c r="K57" s="2192"/>
      <c r="L57" s="2193"/>
      <c r="M57" s="217"/>
    </row>
    <row r="58" spans="1:13" x14ac:dyDescent="0.2">
      <c r="B58" s="2194"/>
      <c r="C58" s="2195"/>
      <c r="D58" s="2195"/>
      <c r="E58" s="2195"/>
      <c r="F58" s="2195"/>
      <c r="G58" s="2195"/>
      <c r="H58" s="2195"/>
      <c r="I58" s="2195"/>
      <c r="J58" s="2195"/>
      <c r="K58" s="2195"/>
      <c r="L58" s="219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9"/>
      <c r="D61" s="220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7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3" sqref="A3:F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2"/>
      <c r="B1" s="2203"/>
      <c r="C1" s="2203"/>
      <c r="D1" s="361"/>
      <c r="E1" s="361"/>
      <c r="F1" s="361"/>
      <c r="G1" s="361"/>
      <c r="H1" s="361"/>
      <c r="I1" s="361"/>
      <c r="J1" s="361"/>
      <c r="K1" s="361"/>
      <c r="L1" s="361"/>
      <c r="M1" s="361"/>
      <c r="N1" s="361"/>
      <c r="O1" s="2202"/>
      <c r="P1" s="2203"/>
      <c r="Q1" s="2203"/>
    </row>
    <row r="2" spans="1:18" ht="15" x14ac:dyDescent="0.2">
      <c r="A2" s="2206" t="s">
        <v>552</v>
      </c>
      <c r="B2" s="2206"/>
      <c r="C2" s="2206"/>
      <c r="D2" s="2206"/>
      <c r="E2" s="2206"/>
      <c r="F2" s="2206"/>
      <c r="G2" s="2206"/>
      <c r="H2" s="2206"/>
      <c r="I2" s="2206"/>
      <c r="J2" s="2206"/>
      <c r="K2" s="2206"/>
      <c r="L2" s="2206"/>
      <c r="M2" s="2206"/>
      <c r="N2" s="2206"/>
      <c r="O2" s="2206"/>
      <c r="P2" s="2206"/>
      <c r="Q2" s="2206"/>
      <c r="R2" s="2206"/>
    </row>
    <row r="3" spans="1:18" ht="12.75" x14ac:dyDescent="0.2">
      <c r="A3" s="2207" t="s">
        <v>1396</v>
      </c>
      <c r="B3" s="2207"/>
      <c r="C3" s="2207"/>
      <c r="D3" s="2207"/>
      <c r="E3" s="2207"/>
      <c r="F3" s="2207"/>
      <c r="G3" s="2207"/>
      <c r="H3" s="2207"/>
      <c r="I3" s="2207"/>
      <c r="J3" s="2207"/>
      <c r="K3" s="2207"/>
      <c r="L3" s="2207"/>
      <c r="M3" s="2207"/>
      <c r="N3" s="2207"/>
      <c r="O3" s="2207"/>
      <c r="P3" s="2207"/>
      <c r="Q3" s="2207"/>
      <c r="R3" s="2207"/>
    </row>
    <row r="4" spans="1:18" x14ac:dyDescent="0.2">
      <c r="A4" s="2208" t="s">
        <v>1537</v>
      </c>
      <c r="B4" s="2208"/>
      <c r="C4" s="2208"/>
      <c r="D4" s="2208"/>
      <c r="E4" s="2208"/>
      <c r="F4" s="2208"/>
      <c r="G4" s="2208"/>
      <c r="H4" s="2208"/>
      <c r="I4" s="2208"/>
      <c r="J4" s="2208"/>
      <c r="K4" s="2208"/>
      <c r="L4" s="2208"/>
      <c r="M4" s="2208"/>
      <c r="N4" s="2208"/>
      <c r="O4" s="2208"/>
      <c r="P4" s="2208"/>
      <c r="Q4" s="2208"/>
      <c r="R4" s="220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Lincolnland Technical Ed Ctr</v>
      </c>
      <c r="E7" s="368"/>
      <c r="G7" s="247"/>
      <c r="H7" s="364"/>
      <c r="I7" s="364"/>
      <c r="J7" s="364"/>
      <c r="K7" s="364"/>
      <c r="L7" s="307"/>
      <c r="M7" s="307"/>
      <c r="N7" s="307"/>
      <c r="O7" s="307"/>
      <c r="P7" s="307"/>
    </row>
    <row r="8" spans="1:18" ht="12.75" x14ac:dyDescent="0.2">
      <c r="A8" s="307"/>
      <c r="B8" s="307"/>
      <c r="C8" s="366" t="s">
        <v>1115</v>
      </c>
      <c r="D8" s="369">
        <f>COVER!A13</f>
        <v>17054404041</v>
      </c>
      <c r="E8" s="370"/>
      <c r="G8" s="307"/>
      <c r="H8" s="307"/>
      <c r="I8" s="307"/>
      <c r="J8" s="307"/>
      <c r="K8" s="307"/>
      <c r="L8" s="307"/>
      <c r="M8" s="307"/>
      <c r="N8" s="307"/>
      <c r="O8" s="307"/>
      <c r="P8" s="307"/>
    </row>
    <row r="9" spans="1:18" ht="12.75" x14ac:dyDescent="0.2">
      <c r="A9" s="307"/>
      <c r="B9" s="307"/>
      <c r="C9" s="366" t="s">
        <v>708</v>
      </c>
      <c r="D9" s="371" t="str">
        <f>COVER!A15</f>
        <v>LOGAN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258686</v>
      </c>
      <c r="I12" s="380"/>
      <c r="J12" s="380"/>
      <c r="K12" s="1559">
        <f>TRUNC((H12/H13*100000),5)/100000</f>
        <v>0.45401510069999995</v>
      </c>
      <c r="L12" s="381"/>
      <c r="M12" s="337" t="s">
        <v>1134</v>
      </c>
      <c r="N12" s="337"/>
      <c r="O12" s="1562">
        <v>0.35</v>
      </c>
      <c r="P12" s="213"/>
      <c r="Q12" s="213"/>
    </row>
    <row r="13" spans="1:18" s="382" customFormat="1" ht="12.75" x14ac:dyDescent="0.2">
      <c r="A13" s="213"/>
      <c r="B13" s="377"/>
      <c r="C13" s="2204" t="s">
        <v>1313</v>
      </c>
      <c r="D13" s="2205"/>
      <c r="E13" s="213"/>
      <c r="F13" s="383" t="s">
        <v>788</v>
      </c>
      <c r="G13" s="378"/>
      <c r="H13" s="1551">
        <f>SUM('Acct Summary 7-8'!C8+'Acct Summary 7-8'!D8+'Acct Summary 7-8'!F8+'Acct Summary 7-8'!I8)+H14</f>
        <v>569774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473610</v>
      </c>
      <c r="I17" s="380"/>
      <c r="J17" s="389"/>
      <c r="K17" s="1559">
        <f>TRUNC((H17/H18*100000),5)/100000</f>
        <v>0.83122430989999996</v>
      </c>
      <c r="L17" s="381"/>
      <c r="M17" s="390" t="s">
        <v>1161</v>
      </c>
      <c r="O17" s="1565" t="str">
        <f>IF(AND(O16="2", J20 &gt; 2),"1",IF(AND(O16 = "1", J20 &gt; 2),"2",IF(AND(O16="1", J20 &gt;1),"1","0")))</f>
        <v>0</v>
      </c>
      <c r="P17" s="213"/>
    </row>
    <row r="18" spans="1:18" s="382" customFormat="1" ht="11.25" x14ac:dyDescent="0.2">
      <c r="A18" s="213"/>
      <c r="B18" s="377"/>
      <c r="C18" s="2204" t="s">
        <v>1306</v>
      </c>
      <c r="D18" s="2205"/>
      <c r="E18" s="213"/>
      <c r="F18" s="391" t="s">
        <v>789</v>
      </c>
      <c r="G18" s="378"/>
      <c r="H18" s="1551">
        <f>SUM('Acct Summary 7-8'!C8+'Acct Summary 7-8'!D8+'Acct Summary 7-8'!F8+'Acct Summary 7-8'!I8)+H19</f>
        <v>569774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1" t="s">
        <v>1395</v>
      </c>
      <c r="D24" s="2201"/>
      <c r="E24" s="213"/>
      <c r="F24" s="213" t="s">
        <v>442</v>
      </c>
      <c r="G24" s="378"/>
      <c r="H24" s="1551">
        <f>SUM('Assets-Liab 5-6'!C4+'Assets-Liab 5-6'!D4+'Assets-Liab 5-6'!F4+'Assets-Liab 5-6'!I4+'Assets-Liab 5-6'!C5+'Assets-Liab 5-6'!D5+'Assets-Liab 5-6'!F5+'Assets-Liab 5-6'!I5)</f>
        <v>281483</v>
      </c>
      <c r="I24" s="394"/>
      <c r="J24" s="394"/>
      <c r="K24" s="1555">
        <f>TRUNC(((H24/H25*100000)/100000),2)</f>
        <v>213.96</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1315.5833299999999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5"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18" activePane="bottomLeft" state="frozen"/>
      <selection activeCell="A3" sqref="A3:F3"/>
      <selection pane="bottomLeft" activeCell="A3" sqref="A3:F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9"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1" t="s">
        <v>967</v>
      </c>
      <c r="B3" s="2212"/>
      <c r="C3" s="1306"/>
      <c r="D3" s="1307"/>
      <c r="E3" s="1307"/>
      <c r="F3" s="1307"/>
      <c r="G3" s="1307"/>
      <c r="H3" s="1307"/>
      <c r="I3" s="1307"/>
      <c r="J3" s="1307"/>
      <c r="K3" s="1307"/>
      <c r="L3" s="1307"/>
      <c r="M3" s="1308"/>
      <c r="N3" s="1309"/>
    </row>
    <row r="4" spans="1:14" ht="13.5" customHeight="1" x14ac:dyDescent="0.2">
      <c r="A4" s="427" t="s">
        <v>1632</v>
      </c>
      <c r="B4" s="428"/>
      <c r="C4" s="1572">
        <v>281483</v>
      </c>
      <c r="D4" s="1573"/>
      <c r="E4" s="1573"/>
      <c r="F4" s="1573"/>
      <c r="G4" s="1573"/>
      <c r="H4" s="1573"/>
      <c r="I4" s="1573"/>
      <c r="J4" s="1574"/>
      <c r="K4" s="1573"/>
      <c r="L4" s="1573"/>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281483</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13" t="s">
        <v>146</v>
      </c>
      <c r="B14" s="2214"/>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15589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364093</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379682</v>
      </c>
      <c r="N23" s="1594">
        <f>SUM(N21:N22)</f>
        <v>0</v>
      </c>
    </row>
    <row r="24" spans="1:14" ht="18" customHeight="1" thickTop="1" x14ac:dyDescent="0.2">
      <c r="A24" s="2215" t="s">
        <v>594</v>
      </c>
      <c r="B24" s="2216"/>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v>22675</v>
      </c>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122</v>
      </c>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22797</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17" t="s">
        <v>526</v>
      </c>
      <c r="B35" s="221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f>281483-22797</f>
        <v>258686</v>
      </c>
      <c r="D39" s="1573"/>
      <c r="E39" s="1573"/>
      <c r="F39" s="1573"/>
      <c r="G39" s="1573"/>
      <c r="H39" s="1573"/>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379682</v>
      </c>
      <c r="N40" s="1604"/>
    </row>
    <row r="41" spans="1:14" ht="13.5" customHeight="1" thickBot="1" x14ac:dyDescent="0.25">
      <c r="A41" s="1426" t="s">
        <v>650</v>
      </c>
      <c r="B41" s="1405"/>
      <c r="C41" s="1594">
        <f>(SUM(C34,C37,C38,C39))</f>
        <v>281483</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379682</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1100000000000001" bottom="0" header="0.65"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activeCell="A3" sqref="A3:F3"/>
      <selection pane="bottomLeft" activeCell="A3" sqref="A3:F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7"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39" t="s">
        <v>1165</v>
      </c>
      <c r="B3" s="2240"/>
      <c r="C3" s="1311"/>
      <c r="D3" s="1312"/>
      <c r="E3" s="1312"/>
      <c r="F3" s="1312"/>
      <c r="G3" s="1312"/>
      <c r="H3" s="1312"/>
      <c r="I3" s="1312"/>
      <c r="J3" s="1312"/>
      <c r="K3" s="1313"/>
      <c r="L3" s="446"/>
    </row>
    <row r="4" spans="1:13" ht="15.75" customHeight="1" x14ac:dyDescent="0.2">
      <c r="A4" s="1537" t="s">
        <v>1482</v>
      </c>
      <c r="B4" s="1538">
        <v>1000</v>
      </c>
      <c r="C4" s="1606">
        <f>'Revenues 9-14'!C109</f>
        <v>415030</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154744</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569774</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c r="D9" s="1613"/>
      <c r="E9" s="1586"/>
      <c r="F9" s="1586"/>
      <c r="G9" s="1614"/>
      <c r="H9" s="1586"/>
      <c r="I9" s="1609" t="s">
        <v>1159</v>
      </c>
      <c r="J9" s="1583"/>
      <c r="K9" s="1586"/>
      <c r="L9" s="325"/>
    </row>
    <row r="10" spans="1:13" s="452" customFormat="1" ht="13.5" thickBot="1" x14ac:dyDescent="0.25">
      <c r="A10" s="1426" t="s">
        <v>1163</v>
      </c>
      <c r="B10" s="1407"/>
      <c r="C10" s="1594">
        <f>SUM(C8:C9)</f>
        <v>569774</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3" t="s">
        <v>1166</v>
      </c>
      <c r="B11" s="2214"/>
      <c r="C11" s="1602"/>
      <c r="D11" s="1603"/>
      <c r="E11" s="1603"/>
      <c r="F11" s="1603"/>
      <c r="G11" s="1603"/>
      <c r="H11" s="1603"/>
      <c r="I11" s="1603"/>
      <c r="J11" s="1603"/>
      <c r="K11" s="1615"/>
      <c r="L11" s="451"/>
    </row>
    <row r="12" spans="1:13" ht="15.75" customHeight="1" x14ac:dyDescent="0.2">
      <c r="A12" s="1314" t="s">
        <v>453</v>
      </c>
      <c r="B12" s="1316">
        <v>1000</v>
      </c>
      <c r="C12" s="1606">
        <f>'Expenditures 15-22'!K33</f>
        <v>391251</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82359</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473610</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473610</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29" t="s">
        <v>1636</v>
      </c>
      <c r="B20" s="2230"/>
      <c r="C20" s="1622">
        <f>C8-C17</f>
        <v>96164</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1" t="s">
        <v>591</v>
      </c>
      <c r="B21" s="2242"/>
      <c r="C21" s="1602"/>
      <c r="D21" s="1603"/>
      <c r="E21" s="1603"/>
      <c r="F21" s="1603"/>
      <c r="G21" s="1603"/>
      <c r="H21" s="1603"/>
      <c r="I21" s="1603"/>
      <c r="J21" s="1603"/>
      <c r="K21" s="1615"/>
      <c r="L21" s="453"/>
    </row>
    <row r="22" spans="1:12" ht="15.75" customHeight="1" collapsed="1" x14ac:dyDescent="0.2">
      <c r="A22" s="2237" t="s">
        <v>592</v>
      </c>
      <c r="B22" s="2238"/>
      <c r="C22" s="1582"/>
      <c r="D22" s="1582"/>
      <c r="E22" s="1582"/>
      <c r="F22" s="1582"/>
      <c r="G22" s="1582"/>
      <c r="H22" s="1582"/>
      <c r="I22" s="1582"/>
      <c r="J22" s="1582"/>
      <c r="K22" s="1582"/>
      <c r="L22" s="325"/>
    </row>
    <row r="23" spans="1:12" s="433" customFormat="1" ht="15.75" customHeight="1" x14ac:dyDescent="0.2">
      <c r="A23" s="2233" t="s">
        <v>290</v>
      </c>
      <c r="B23" s="2234"/>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5" t="s">
        <v>974</v>
      </c>
      <c r="B32" s="2236"/>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v>11618</v>
      </c>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3" t="s">
        <v>371</v>
      </c>
      <c r="B44" s="2244"/>
      <c r="C44" s="1624">
        <f>SUM(C24:C43)</f>
        <v>11618</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7" t="s">
        <v>108</v>
      </c>
      <c r="B45" s="2238"/>
      <c r="C45" s="1625"/>
      <c r="D45" s="1625"/>
      <c r="E45" s="1625"/>
      <c r="F45" s="1625"/>
      <c r="G45" s="1625"/>
      <c r="H45" s="1625"/>
      <c r="I45" s="1625"/>
      <c r="J45" s="1625"/>
      <c r="K45" s="1625"/>
      <c r="L45" s="325"/>
    </row>
    <row r="46" spans="1:12" s="433" customFormat="1" ht="15.75" customHeight="1" x14ac:dyDescent="0.2">
      <c r="A46" s="2245" t="s">
        <v>109</v>
      </c>
      <c r="B46" s="2246"/>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19" t="s">
        <v>437</v>
      </c>
      <c r="B76" s="2220"/>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1" t="s">
        <v>1167</v>
      </c>
      <c r="B77" s="2222"/>
      <c r="C77" s="1624">
        <f t="shared" ref="C77:K77" si="8">C44-C76</f>
        <v>11618</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5" t="s">
        <v>593</v>
      </c>
      <c r="B78" s="2226"/>
      <c r="C78" s="1629">
        <f t="shared" ref="C78:K78" si="9">C20+C77</f>
        <v>107782</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150904</v>
      </c>
      <c r="D79" s="1630"/>
      <c r="E79" s="1630"/>
      <c r="F79" s="1630"/>
      <c r="G79" s="1630"/>
      <c r="H79" s="1630"/>
      <c r="I79" s="1630"/>
      <c r="J79" s="1630"/>
      <c r="K79" s="1630"/>
      <c r="L79" s="325"/>
    </row>
    <row r="80" spans="1:12" x14ac:dyDescent="0.2">
      <c r="A80" s="2231" t="s">
        <v>1772</v>
      </c>
      <c r="B80" s="2232"/>
      <c r="C80" s="1574"/>
      <c r="D80" s="1574"/>
      <c r="E80" s="1574"/>
      <c r="F80" s="1574"/>
      <c r="G80" s="1574"/>
      <c r="H80" s="1574"/>
      <c r="I80" s="1574"/>
      <c r="J80" s="1574"/>
      <c r="K80" s="1574"/>
      <c r="L80" s="325"/>
    </row>
    <row r="81" spans="1:12" ht="13.5" thickBot="1" x14ac:dyDescent="0.25">
      <c r="A81" s="2223" t="str">
        <f>"Fund Balances - June 30, "&amp;'AFR20'!E2</f>
        <v>Fund Balances - June 30, 2020</v>
      </c>
      <c r="B81" s="2224"/>
      <c r="C81" s="1594">
        <f>(SUM(C78:C80))</f>
        <v>258686</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107782</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0.41665184818660461</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15" right="0.15" top="1" bottom="0.3" header="0.5" footer="0.1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32" activePane="bottomLeft" state="frozen"/>
      <selection activeCell="A3" sqref="A3:F3"/>
      <selection pane="bottomLeft" activeCell="C152" sqref="C152"/>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7" t="s">
        <v>1779</v>
      </c>
      <c r="B1" s="416"/>
      <c r="C1" s="417" t="s">
        <v>422</v>
      </c>
      <c r="D1" s="417" t="s">
        <v>423</v>
      </c>
      <c r="E1" s="417" t="s">
        <v>424</v>
      </c>
      <c r="F1" s="417" t="s">
        <v>425</v>
      </c>
      <c r="G1" s="417" t="s">
        <v>426</v>
      </c>
      <c r="H1" s="417" t="s">
        <v>427</v>
      </c>
      <c r="I1" s="417" t="s">
        <v>428</v>
      </c>
      <c r="J1" s="417" t="s">
        <v>429</v>
      </c>
      <c r="K1" s="417" t="s">
        <v>751</v>
      </c>
    </row>
    <row r="2" spans="1:12" ht="36" x14ac:dyDescent="0.2">
      <c r="A2" s="222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c r="D5" s="1586"/>
      <c r="E5" s="1573"/>
      <c r="F5" s="1631"/>
      <c r="G5" s="1573"/>
      <c r="H5" s="1573"/>
      <c r="I5" s="1573"/>
      <c r="J5" s="1574"/>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410</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v>250245</v>
      </c>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250245</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140</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140</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640</v>
      </c>
      <c r="D81" s="1573"/>
      <c r="E81" s="1575"/>
      <c r="F81" s="1575"/>
      <c r="G81" s="1575"/>
      <c r="H81" s="1575"/>
      <c r="I81" s="1575"/>
      <c r="J81" s="1575"/>
      <c r="K81" s="1575"/>
    </row>
    <row r="82" spans="1:11" ht="12.75" customHeight="1" thickBot="1" x14ac:dyDescent="0.25">
      <c r="A82" s="1406" t="s">
        <v>239</v>
      </c>
      <c r="B82" s="1407"/>
      <c r="C82" s="1633">
        <f>SUM(C77:C81)</f>
        <v>640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75</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v>163930</v>
      </c>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c r="D107" s="1573"/>
      <c r="E107" s="1573"/>
      <c r="F107" s="1573"/>
      <c r="G107" s="1573"/>
      <c r="H107" s="1573"/>
      <c r="I107" s="1573"/>
      <c r="J107" s="1574"/>
      <c r="K107" s="1573"/>
    </row>
    <row r="108" spans="1:12" ht="12.75" customHeight="1" thickBot="1" x14ac:dyDescent="0.25">
      <c r="A108" s="1406" t="s">
        <v>484</v>
      </c>
      <c r="B108" s="1408"/>
      <c r="C108" s="1633">
        <f>SUM(C95:C107)</f>
        <v>164005</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415030</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154731</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154731</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13</v>
      </c>
      <c r="D152" s="1573"/>
      <c r="E152" s="1640"/>
      <c r="F152" s="1573"/>
      <c r="G152" s="1574"/>
      <c r="H152" s="1575"/>
      <c r="I152" s="1575"/>
      <c r="J152" s="1575"/>
      <c r="K152" s="1575"/>
    </row>
    <row r="153" spans="1:11" ht="12.75" customHeight="1" x14ac:dyDescent="0.2">
      <c r="A153" s="427" t="s">
        <v>1048</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13</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7" t="s">
        <v>395</v>
      </c>
      <c r="B169" s="2248"/>
      <c r="C169" s="1658">
        <f t="shared" ref="C169:K169" si="6">SUM(C132,C141,C145,C146:C150,C155,C156:C167,C168)</f>
        <v>154744</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154744</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49" t="s">
        <v>1475</v>
      </c>
      <c r="B172" s="2250"/>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3" t="s">
        <v>1646</v>
      </c>
      <c r="B175" s="225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7" t="s">
        <v>1645</v>
      </c>
      <c r="B176" s="2258"/>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5" t="s">
        <v>780</v>
      </c>
      <c r="B181" s="225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1" t="s">
        <v>1780</v>
      </c>
      <c r="B182" s="2252"/>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569774</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 top="0.8" bottom="0.62" header="0.5" footer="0.4"/>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93" activePane="bottomLeft" state="frozen"/>
      <selection activeCell="A3" sqref="A3:F3"/>
      <selection pane="bottomLeft" activeCell="A3" sqref="A3:F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7"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59"/>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5" t="s">
        <v>294</v>
      </c>
      <c r="B3" s="2266"/>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c r="D5" s="1573"/>
      <c r="E5" s="1573"/>
      <c r="F5" s="1573"/>
      <c r="G5" s="1573"/>
      <c r="H5" s="1573"/>
      <c r="I5" s="1574"/>
      <c r="J5" s="1574"/>
      <c r="K5" s="1672">
        <f>SUM(C5:J5)</f>
        <v>0</v>
      </c>
      <c r="L5" s="1573"/>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c r="D8" s="1573"/>
      <c r="E8" s="1573"/>
      <c r="F8" s="1573"/>
      <c r="G8" s="1573"/>
      <c r="H8" s="1573"/>
      <c r="I8" s="1574"/>
      <c r="J8" s="1574"/>
      <c r="K8" s="1672">
        <f t="shared" si="0"/>
        <v>0</v>
      </c>
      <c r="L8" s="1573"/>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177474</v>
      </c>
      <c r="D13" s="1573">
        <v>23399</v>
      </c>
      <c r="E13" s="1573">
        <v>22127</v>
      </c>
      <c r="F13" s="1573">
        <v>168251</v>
      </c>
      <c r="G13" s="1573"/>
      <c r="H13" s="1573"/>
      <c r="I13" s="1574"/>
      <c r="J13" s="1574"/>
      <c r="K13" s="1672">
        <f t="shared" si="0"/>
        <v>391251</v>
      </c>
      <c r="L13" s="1573">
        <v>391217</v>
      </c>
    </row>
    <row r="14" spans="1:14" x14ac:dyDescent="0.2">
      <c r="A14" s="1274" t="s">
        <v>957</v>
      </c>
      <c r="B14" s="503">
        <v>1500</v>
      </c>
      <c r="C14" s="1573"/>
      <c r="D14" s="1573"/>
      <c r="E14" s="1573"/>
      <c r="F14" s="1573"/>
      <c r="G14" s="1573"/>
      <c r="H14" s="1573"/>
      <c r="I14" s="1574"/>
      <c r="J14" s="1574"/>
      <c r="K14" s="1672">
        <f t="shared" si="0"/>
        <v>0</v>
      </c>
      <c r="L14" s="1573"/>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177474</v>
      </c>
      <c r="D33" s="1674">
        <f t="shared" ref="D33:L33" si="1">SUM(D5:D32)</f>
        <v>23399</v>
      </c>
      <c r="E33" s="1674">
        <f t="shared" si="1"/>
        <v>22127</v>
      </c>
      <c r="F33" s="1674">
        <f t="shared" si="1"/>
        <v>168251</v>
      </c>
      <c r="G33" s="1674">
        <f t="shared" si="1"/>
        <v>0</v>
      </c>
      <c r="H33" s="1674">
        <f t="shared" si="1"/>
        <v>0</v>
      </c>
      <c r="I33" s="1674">
        <f t="shared" si="1"/>
        <v>0</v>
      </c>
      <c r="J33" s="1674">
        <f t="shared" si="1"/>
        <v>0</v>
      </c>
      <c r="K33" s="1674">
        <f t="shared" si="1"/>
        <v>391251</v>
      </c>
      <c r="L33" s="1674">
        <f t="shared" si="1"/>
        <v>391217</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0</v>
      </c>
      <c r="L42" s="1674">
        <f t="shared" si="3"/>
        <v>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0</v>
      </c>
      <c r="E47" s="1674">
        <f t="shared" si="4"/>
        <v>0</v>
      </c>
      <c r="F47" s="1674">
        <f t="shared" si="4"/>
        <v>0</v>
      </c>
      <c r="G47" s="1674">
        <f t="shared" si="4"/>
        <v>0</v>
      </c>
      <c r="H47" s="1674">
        <f t="shared" si="4"/>
        <v>0</v>
      </c>
      <c r="I47" s="1674">
        <f t="shared" si="4"/>
        <v>0</v>
      </c>
      <c r="J47" s="1674">
        <f t="shared" si="4"/>
        <v>0</v>
      </c>
      <c r="K47" s="1674">
        <f t="shared" si="4"/>
        <v>0</v>
      </c>
      <c r="L47" s="1674">
        <f>SUM(L44:L46)</f>
        <v>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3222</v>
      </c>
      <c r="F49" s="1586"/>
      <c r="G49" s="1586"/>
      <c r="H49" s="1586"/>
      <c r="I49" s="1574"/>
      <c r="J49" s="1574"/>
      <c r="K49" s="1678">
        <f>SUM(C49:J49)</f>
        <v>3222</v>
      </c>
      <c r="L49" s="1586">
        <v>3222</v>
      </c>
    </row>
    <row r="50" spans="1:14" x14ac:dyDescent="0.2">
      <c r="A50" s="1274" t="s">
        <v>813</v>
      </c>
      <c r="B50" s="503">
        <v>2320</v>
      </c>
      <c r="C50" s="1573"/>
      <c r="D50" s="1573"/>
      <c r="E50" s="1573"/>
      <c r="F50" s="1573"/>
      <c r="G50" s="1573"/>
      <c r="H50" s="1573"/>
      <c r="I50" s="1574"/>
      <c r="J50" s="1574"/>
      <c r="K50" s="1678">
        <f>SUM(C50:J50)</f>
        <v>0</v>
      </c>
      <c r="L50" s="1573"/>
    </row>
    <row r="51" spans="1:14" x14ac:dyDescent="0.2">
      <c r="A51" s="1274" t="s">
        <v>42</v>
      </c>
      <c r="B51" s="503">
        <v>2330</v>
      </c>
      <c r="C51" s="1573">
        <v>46244</v>
      </c>
      <c r="D51" s="1573">
        <v>10783</v>
      </c>
      <c r="E51" s="1573">
        <v>4602</v>
      </c>
      <c r="F51" s="1573">
        <v>46</v>
      </c>
      <c r="G51" s="1573"/>
      <c r="H51" s="1573">
        <v>50</v>
      </c>
      <c r="I51" s="1574"/>
      <c r="J51" s="1574"/>
      <c r="K51" s="1678">
        <f>SUM(C51:J51)</f>
        <v>61725</v>
      </c>
      <c r="L51" s="1573">
        <v>61725</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46244</v>
      </c>
      <c r="D53" s="1674">
        <f t="shared" ref="D53:L53" si="5">SUM(D49:D52)</f>
        <v>10783</v>
      </c>
      <c r="E53" s="1674">
        <f t="shared" si="5"/>
        <v>7824</v>
      </c>
      <c r="F53" s="1674">
        <f t="shared" si="5"/>
        <v>46</v>
      </c>
      <c r="G53" s="1674">
        <f t="shared" si="5"/>
        <v>0</v>
      </c>
      <c r="H53" s="1674">
        <f t="shared" si="5"/>
        <v>50</v>
      </c>
      <c r="I53" s="1674">
        <f t="shared" si="5"/>
        <v>0</v>
      </c>
      <c r="J53" s="1674">
        <f t="shared" si="5"/>
        <v>0</v>
      </c>
      <c r="K53" s="1674">
        <f t="shared" si="5"/>
        <v>64947</v>
      </c>
      <c r="L53" s="1674">
        <f t="shared" si="5"/>
        <v>64947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c r="D55" s="1586"/>
      <c r="E55" s="1586"/>
      <c r="F55" s="1586"/>
      <c r="G55" s="1586"/>
      <c r="H55" s="1586"/>
      <c r="I55" s="1574"/>
      <c r="J55" s="1574"/>
      <c r="K55" s="1678">
        <f>SUM(C55:J55)</f>
        <v>0</v>
      </c>
      <c r="L55" s="1586"/>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c r="F60" s="1573"/>
      <c r="G60" s="1573"/>
      <c r="H60" s="1573"/>
      <c r="I60" s="1574"/>
      <c r="J60" s="1574"/>
      <c r="K60" s="1678">
        <f t="shared" si="7"/>
        <v>0</v>
      </c>
      <c r="L60" s="1573"/>
      <c r="M60" s="501"/>
      <c r="N60" s="501"/>
    </row>
    <row r="61" spans="1:14" s="321" customFormat="1" x14ac:dyDescent="0.2">
      <c r="A61" s="1274" t="s">
        <v>195</v>
      </c>
      <c r="B61" s="503">
        <v>2540</v>
      </c>
      <c r="C61" s="1573"/>
      <c r="D61" s="1573"/>
      <c r="E61" s="1573"/>
      <c r="F61" s="1573">
        <v>3991</v>
      </c>
      <c r="G61" s="1573"/>
      <c r="H61" s="1573"/>
      <c r="I61" s="1574"/>
      <c r="J61" s="1574"/>
      <c r="K61" s="1678">
        <f t="shared" si="7"/>
        <v>3991</v>
      </c>
      <c r="L61" s="1573">
        <v>3991</v>
      </c>
      <c r="M61" s="501"/>
      <c r="N61" s="501"/>
    </row>
    <row r="62" spans="1:14" s="321" customFormat="1" x14ac:dyDescent="0.2">
      <c r="A62" s="1274" t="s">
        <v>947</v>
      </c>
      <c r="B62" s="503">
        <v>2550</v>
      </c>
      <c r="C62" s="1573"/>
      <c r="D62" s="1573"/>
      <c r="E62" s="1573">
        <v>409</v>
      </c>
      <c r="F62" s="1573"/>
      <c r="G62" s="1573"/>
      <c r="H62" s="1573"/>
      <c r="I62" s="1574"/>
      <c r="J62" s="1574"/>
      <c r="K62" s="1678">
        <f t="shared" si="7"/>
        <v>409</v>
      </c>
      <c r="L62" s="1573">
        <v>409</v>
      </c>
      <c r="M62" s="501"/>
      <c r="N62" s="501"/>
    </row>
    <row r="63" spans="1:14" s="501" customFormat="1" x14ac:dyDescent="0.2">
      <c r="A63" s="1274" t="s">
        <v>100</v>
      </c>
      <c r="B63" s="503">
        <v>2560</v>
      </c>
      <c r="C63" s="1573"/>
      <c r="D63" s="1573"/>
      <c r="E63" s="1573"/>
      <c r="F63" s="1573"/>
      <c r="G63" s="1573"/>
      <c r="H63" s="1573"/>
      <c r="I63" s="1574"/>
      <c r="J63" s="1574"/>
      <c r="K63" s="1678">
        <f t="shared" si="7"/>
        <v>0</v>
      </c>
      <c r="L63" s="1573"/>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0</v>
      </c>
      <c r="D65" s="1674">
        <f t="shared" ref="D65:L65" si="8">SUM(D59:D64)</f>
        <v>0</v>
      </c>
      <c r="E65" s="1674">
        <f t="shared" si="8"/>
        <v>409</v>
      </c>
      <c r="F65" s="1674">
        <f t="shared" si="8"/>
        <v>3991</v>
      </c>
      <c r="G65" s="1674">
        <f t="shared" si="8"/>
        <v>0</v>
      </c>
      <c r="H65" s="1674">
        <f t="shared" si="8"/>
        <v>0</v>
      </c>
      <c r="I65" s="1674">
        <f t="shared" si="8"/>
        <v>0</v>
      </c>
      <c r="J65" s="1674">
        <f t="shared" si="8"/>
        <v>0</v>
      </c>
      <c r="K65" s="1674">
        <f t="shared" si="8"/>
        <v>4400</v>
      </c>
      <c r="L65" s="1674">
        <f t="shared" si="8"/>
        <v>4400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v>13012</v>
      </c>
      <c r="D69" s="1573"/>
      <c r="E69" s="1573"/>
      <c r="F69" s="1573"/>
      <c r="G69" s="1573"/>
      <c r="H69" s="1573"/>
      <c r="I69" s="1574"/>
      <c r="J69" s="1574"/>
      <c r="K69" s="1678">
        <f>SUM(C69:J69)</f>
        <v>13012</v>
      </c>
      <c r="L69" s="1573">
        <v>13012</v>
      </c>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13012</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13012</v>
      </c>
      <c r="L72" s="1674">
        <f>SUM(L67:L71)</f>
        <v>13012</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59256</v>
      </c>
      <c r="D74" s="1681">
        <f t="shared" ref="D74:K74" si="10">SUM(D42,D47,D53,D57,D65,D72,D73)</f>
        <v>10783</v>
      </c>
      <c r="E74" s="1681">
        <f t="shared" si="10"/>
        <v>8233</v>
      </c>
      <c r="F74" s="1681">
        <f t="shared" si="10"/>
        <v>4037</v>
      </c>
      <c r="G74" s="1681">
        <f t="shared" si="10"/>
        <v>0</v>
      </c>
      <c r="H74" s="1681">
        <f t="shared" si="10"/>
        <v>50</v>
      </c>
      <c r="I74" s="1681">
        <f t="shared" si="10"/>
        <v>0</v>
      </c>
      <c r="J74" s="1681">
        <f t="shared" si="10"/>
        <v>0</v>
      </c>
      <c r="K74" s="1681">
        <f t="shared" si="10"/>
        <v>82359</v>
      </c>
      <c r="L74" s="1681">
        <f>SUM(L42,L47,L53,L57,L65,L72,L73)</f>
        <v>82359</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0</v>
      </c>
      <c r="I102" s="1582"/>
      <c r="J102" s="1582"/>
      <c r="K102" s="1681">
        <f>SUM(K84,K92,K100,K101)</f>
        <v>0</v>
      </c>
      <c r="L102" s="1681">
        <f>SUM(L84,L92,L100,L101)</f>
        <v>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236730</v>
      </c>
      <c r="D114" s="1674">
        <f t="shared" ref="D114:K114" si="13">SUM(D33,D74,D75,D102,D112,D113)</f>
        <v>34182</v>
      </c>
      <c r="E114" s="1674">
        <f t="shared" si="13"/>
        <v>30360</v>
      </c>
      <c r="F114" s="1674">
        <f t="shared" si="13"/>
        <v>172288</v>
      </c>
      <c r="G114" s="1674">
        <f t="shared" si="13"/>
        <v>0</v>
      </c>
      <c r="H114" s="1674">
        <f>SUM(H33,H74,H75,H102,H112,H113)</f>
        <v>50</v>
      </c>
      <c r="I114" s="1674">
        <f t="shared" si="13"/>
        <v>0</v>
      </c>
      <c r="J114" s="1674">
        <f t="shared" si="13"/>
        <v>0</v>
      </c>
      <c r="K114" s="1674">
        <f t="shared" si="13"/>
        <v>473610</v>
      </c>
      <c r="L114" s="1674">
        <f>SUM(L33,L74,L75,L102,L112,L113)</f>
        <v>473576</v>
      </c>
    </row>
    <row r="115" spans="1:14" ht="13.5" thickTop="1" x14ac:dyDescent="0.2">
      <c r="A115" s="2284" t="s">
        <v>989</v>
      </c>
      <c r="B115" s="2285"/>
      <c r="C115" s="1675"/>
      <c r="D115" s="1675"/>
      <c r="E115" s="1675"/>
      <c r="F115" s="1675"/>
      <c r="G115" s="1675"/>
      <c r="H115" s="1675"/>
      <c r="I115" s="1675"/>
      <c r="J115" s="1675"/>
      <c r="K115" s="1689">
        <f>'Revenues 9-14'!C268-'Expenditures 15-22'!K114</f>
        <v>96164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2" t="s">
        <v>293</v>
      </c>
      <c r="B117" s="2263"/>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c r="F124" s="1573"/>
      <c r="G124" s="1573"/>
      <c r="H124" s="1573"/>
      <c r="I124" s="1574"/>
      <c r="J124" s="1574"/>
      <c r="K124" s="1674">
        <f>SUM(C124:J124)</f>
        <v>0</v>
      </c>
      <c r="L124" s="1573"/>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4" t="s">
        <v>616</v>
      </c>
      <c r="B151" s="2256"/>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77" t="s">
        <v>1168</v>
      </c>
      <c r="B152" s="2278"/>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2" t="s">
        <v>617</v>
      </c>
      <c r="B154" s="2264"/>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1651</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84" t="s">
        <v>989</v>
      </c>
      <c r="B175" s="2285"/>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c r="F182" s="1573"/>
      <c r="G182" s="1573"/>
      <c r="H182" s="1573"/>
      <c r="I182" s="1574"/>
      <c r="J182" s="1574"/>
      <c r="K182" s="1672">
        <f>SUM(C182:J182)</f>
        <v>0</v>
      </c>
      <c r="L182" s="1573"/>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84" t="s">
        <v>989</v>
      </c>
      <c r="B211" s="2285"/>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79" t="s">
        <v>959</v>
      </c>
      <c r="B213" s="2280"/>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c r="E215" s="1673"/>
      <c r="F215" s="1673"/>
      <c r="G215" s="1673"/>
      <c r="H215" s="1673"/>
      <c r="I215" s="1673"/>
      <c r="J215" s="1673"/>
      <c r="K215" s="1672">
        <f>D215</f>
        <v>0</v>
      </c>
      <c r="L215" s="1573"/>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c r="E246" s="1673"/>
      <c r="F246" s="1673"/>
      <c r="G246" s="1673"/>
      <c r="H246" s="1673"/>
      <c r="I246" s="1673"/>
      <c r="J246" s="1673"/>
      <c r="K246" s="1678">
        <f t="shared" ref="K246:K256" si="21">D246</f>
        <v>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5" t="s">
        <v>502</v>
      </c>
      <c r="B295" s="2276"/>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84" t="s">
        <v>989</v>
      </c>
      <c r="B296" s="2285"/>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7" t="s">
        <v>142</v>
      </c>
      <c r="B298" s="2261"/>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2" t="s">
        <v>275</v>
      </c>
      <c r="B312" s="2273"/>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68" t="s">
        <v>989</v>
      </c>
      <c r="B313" s="2269"/>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1" t="s">
        <v>148</v>
      </c>
      <c r="B315" s="2282"/>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3" t="s">
        <v>892</v>
      </c>
      <c r="B317" s="2282"/>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0" t="s">
        <v>989</v>
      </c>
      <c r="B343" s="2271"/>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0" t="s">
        <v>960</v>
      </c>
      <c r="B345" s="2261"/>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4" t="s">
        <v>989</v>
      </c>
      <c r="B368" s="2285"/>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75" bottom="0.39" header="0.5" footer="0.15"/>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2" sqref="A2:F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6"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7"/>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3" right="0.15" top="1.65" bottom="0.52" header="0.94" footer="0.2"/>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3" sqref="A3:F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2" t="s">
        <v>625</v>
      </c>
      <c r="B1" s="2293"/>
      <c r="C1" s="585"/>
    </row>
    <row r="2" spans="1:7" ht="33.75" x14ac:dyDescent="0.2">
      <c r="A2" s="2301" t="s">
        <v>1779</v>
      </c>
      <c r="B2" s="2302"/>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5" t="s">
        <v>1104</v>
      </c>
      <c r="B3" s="2306"/>
      <c r="C3" s="2294"/>
      <c r="D3" s="2295"/>
      <c r="E3" s="2295"/>
      <c r="F3" s="2296"/>
    </row>
    <row r="4" spans="1:7" ht="12.75" customHeight="1" thickBot="1" x14ac:dyDescent="0.25">
      <c r="A4" s="2303" t="s">
        <v>626</v>
      </c>
      <c r="B4" s="2304"/>
      <c r="C4" s="1656"/>
      <c r="D4" s="1656"/>
      <c r="E4" s="1656"/>
      <c r="F4" s="1732">
        <f>SUM(C4+D4)-E4</f>
        <v>0</v>
      </c>
    </row>
    <row r="5" spans="1:7" ht="15.75" customHeight="1" thickTop="1" x14ac:dyDescent="0.2">
      <c r="A5" s="2288" t="s">
        <v>1101</v>
      </c>
      <c r="B5" s="2289"/>
      <c r="C5" s="2297"/>
      <c r="D5" s="2298"/>
      <c r="E5" s="2298"/>
      <c r="F5" s="229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0" t="s">
        <v>627</v>
      </c>
      <c r="B15" s="2291"/>
      <c r="C15" s="1732">
        <f>SUM(C6:C14)</f>
        <v>0</v>
      </c>
      <c r="D15" s="1732">
        <f>SUM(D6:D14)</f>
        <v>0</v>
      </c>
      <c r="E15" s="1732">
        <f>SUM(E6:E14)</f>
        <v>0</v>
      </c>
      <c r="F15" s="1732">
        <f>SUM(F6:F14)</f>
        <v>0</v>
      </c>
      <c r="G15" s="473"/>
    </row>
    <row r="16" spans="1:7" s="197" customFormat="1" ht="15.75" customHeight="1" thickTop="1" x14ac:dyDescent="0.2">
      <c r="A16" s="2300" t="s">
        <v>1102</v>
      </c>
      <c r="B16" s="2289"/>
      <c r="C16" s="2297"/>
      <c r="D16" s="2298"/>
      <c r="E16" s="2298"/>
      <c r="F16" s="2299"/>
    </row>
    <row r="17" spans="1:11" ht="12.75" customHeight="1" thickBot="1" x14ac:dyDescent="0.25">
      <c r="A17" s="2313" t="s">
        <v>64</v>
      </c>
      <c r="B17" s="2314"/>
      <c r="C17" s="1733"/>
      <c r="D17" s="1664"/>
      <c r="E17" s="1733"/>
      <c r="F17" s="1732">
        <f>SUM(C17+D17)-E17</f>
        <v>0</v>
      </c>
    </row>
    <row r="18" spans="1:11" ht="12.75" customHeight="1" thickTop="1" thickBot="1" x14ac:dyDescent="0.25">
      <c r="A18" s="2313" t="s">
        <v>6</v>
      </c>
      <c r="B18" s="2314"/>
      <c r="C18" s="1733"/>
      <c r="D18" s="1664"/>
      <c r="E18" s="1733"/>
      <c r="F18" s="1732">
        <f>SUM(C18+D18)-E18</f>
        <v>0</v>
      </c>
    </row>
    <row r="19" spans="1:11" ht="12.75" customHeight="1" thickTop="1" thickBot="1" x14ac:dyDescent="0.25">
      <c r="A19" s="2313" t="s">
        <v>385</v>
      </c>
      <c r="B19" s="2314"/>
      <c r="C19" s="1733"/>
      <c r="D19" s="1664"/>
      <c r="E19" s="1733"/>
      <c r="F19" s="1732">
        <f>SUM(C19+D19)-E19</f>
        <v>0</v>
      </c>
    </row>
    <row r="20" spans="1:11" ht="12.75" customHeight="1" thickTop="1" thickBot="1" x14ac:dyDescent="0.25">
      <c r="A20" s="2313" t="s">
        <v>445</v>
      </c>
      <c r="B20" s="2314"/>
      <c r="C20" s="1733"/>
      <c r="D20" s="1664"/>
      <c r="E20" s="1733"/>
      <c r="F20" s="1732">
        <f>SUM(C20+D20)-E20</f>
        <v>0</v>
      </c>
    </row>
    <row r="21" spans="1:11" ht="14.25" thickTop="1" thickBot="1" x14ac:dyDescent="0.25">
      <c r="A21" s="2290" t="s">
        <v>628</v>
      </c>
      <c r="B21" s="2291"/>
      <c r="C21" s="1732">
        <f>SUM(C17:C20)</f>
        <v>0</v>
      </c>
      <c r="D21" s="1732">
        <f>SUM(D17:D20)</f>
        <v>0</v>
      </c>
      <c r="E21" s="1732">
        <f>SUM(E17:E20)</f>
        <v>0</v>
      </c>
      <c r="F21" s="1732">
        <f>SUM(F17:F20)</f>
        <v>0</v>
      </c>
      <c r="G21" s="473"/>
    </row>
    <row r="22" spans="1:11" ht="15.75" customHeight="1" thickTop="1" x14ac:dyDescent="0.2">
      <c r="A22" s="2315" t="s">
        <v>1103</v>
      </c>
      <c r="B22" s="2289"/>
      <c r="C22" s="2297"/>
      <c r="D22" s="2298"/>
      <c r="E22" s="2298"/>
      <c r="F22" s="2299"/>
    </row>
    <row r="23" spans="1:11" ht="13.5" thickBot="1" x14ac:dyDescent="0.25">
      <c r="A23" s="2303" t="s">
        <v>629</v>
      </c>
      <c r="B23" s="2304"/>
      <c r="C23" s="1656"/>
      <c r="D23" s="1656"/>
      <c r="E23" s="1656"/>
      <c r="F23" s="1732">
        <f>SUM(C23+D23)-E23</f>
        <v>0</v>
      </c>
      <c r="G23" s="473"/>
    </row>
    <row r="24" spans="1:11" ht="15.75" customHeight="1" thickTop="1" x14ac:dyDescent="0.2">
      <c r="A24" s="2315" t="s">
        <v>2006</v>
      </c>
      <c r="B24" s="2289"/>
      <c r="C24" s="2297"/>
      <c r="D24" s="2298"/>
      <c r="E24" s="2298"/>
      <c r="F24" s="2299"/>
    </row>
    <row r="25" spans="1:11" ht="13.5" thickBot="1" x14ac:dyDescent="0.25">
      <c r="A25" s="2303" t="s">
        <v>2007</v>
      </c>
      <c r="B25" s="2304"/>
      <c r="C25" s="1656"/>
      <c r="D25" s="1656"/>
      <c r="E25" s="1656"/>
      <c r="F25" s="1732">
        <f>SUM(C25+D25)-E25</f>
        <v>0</v>
      </c>
      <c r="G25" s="473"/>
    </row>
    <row r="26" spans="1:11" ht="15.75" customHeight="1" thickTop="1" x14ac:dyDescent="0.2">
      <c r="A26" s="2288" t="s">
        <v>652</v>
      </c>
      <c r="B26" s="2289"/>
      <c r="C26" s="589"/>
      <c r="D26" s="589"/>
      <c r="E26" s="589"/>
      <c r="F26" s="590"/>
    </row>
    <row r="27" spans="1:11" ht="13.5" thickBot="1" x14ac:dyDescent="0.25">
      <c r="A27" s="2290" t="s">
        <v>1061</v>
      </c>
      <c r="B27" s="2291"/>
      <c r="C27" s="1664"/>
      <c r="D27" s="1664"/>
      <c r="E27" s="1664"/>
      <c r="F27" s="1732">
        <f>SUM(C27+D27)-E27</f>
        <v>0</v>
      </c>
      <c r="G27" s="473"/>
    </row>
    <row r="28" spans="1:11" ht="7.5" customHeight="1" thickTop="1" x14ac:dyDescent="0.2">
      <c r="A28" s="489"/>
    </row>
    <row r="29" spans="1:11" ht="23.25" customHeight="1" x14ac:dyDescent="0.2">
      <c r="A29" s="2316" t="s">
        <v>578</v>
      </c>
      <c r="B29" s="2293"/>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7" t="s">
        <v>580</v>
      </c>
      <c r="C52" s="2308"/>
      <c r="D52" s="2308"/>
      <c r="E52" s="603" t="s">
        <v>840</v>
      </c>
      <c r="F52" s="2309"/>
      <c r="G52" s="2310"/>
      <c r="H52" s="596"/>
      <c r="I52" s="596"/>
      <c r="J52" s="600"/>
    </row>
    <row r="53" spans="1:11" ht="11.25" customHeight="1" x14ac:dyDescent="0.2">
      <c r="A53" s="604" t="s">
        <v>907</v>
      </c>
      <c r="B53" s="605" t="s">
        <v>945</v>
      </c>
      <c r="C53" s="600"/>
      <c r="D53" s="597"/>
      <c r="E53" s="603" t="s">
        <v>494</v>
      </c>
      <c r="F53" s="2311"/>
      <c r="G53" s="2312"/>
      <c r="H53" s="596"/>
      <c r="I53" s="596"/>
      <c r="J53" s="600"/>
    </row>
    <row r="54" spans="1:11" ht="11.25" customHeight="1" x14ac:dyDescent="0.2">
      <c r="A54" s="606" t="s">
        <v>908</v>
      </c>
      <c r="B54" s="601" t="s">
        <v>946</v>
      </c>
      <c r="C54" s="600"/>
      <c r="D54" s="597"/>
      <c r="E54" s="603" t="s">
        <v>495</v>
      </c>
      <c r="F54" s="2311"/>
      <c r="G54" s="231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 bottom="0" header="0.35" footer="0.05"/>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activeCell="A3" sqref="A3:F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3" t="s">
        <v>851</v>
      </c>
      <c r="B1" s="2344"/>
      <c r="C1" s="2344"/>
      <c r="D1" s="2344"/>
      <c r="E1" s="2344"/>
      <c r="F1" s="2344"/>
      <c r="G1" s="2345"/>
      <c r="H1" s="1298"/>
      <c r="I1" s="614"/>
      <c r="J1" s="400"/>
    </row>
    <row r="2" spans="1:11" ht="26.25" x14ac:dyDescent="0.2">
      <c r="A2" s="2320" t="s">
        <v>1658</v>
      </c>
      <c r="B2" s="2321"/>
      <c r="C2" s="2321"/>
      <c r="D2" s="2321"/>
      <c r="E2" s="2322"/>
      <c r="F2" s="615" t="s">
        <v>898</v>
      </c>
      <c r="G2" s="616" t="s">
        <v>1655</v>
      </c>
      <c r="H2" s="616" t="s">
        <v>407</v>
      </c>
      <c r="I2" s="616" t="s">
        <v>1148</v>
      </c>
      <c r="J2" s="616" t="s">
        <v>1789</v>
      </c>
      <c r="K2" s="616" t="s">
        <v>137</v>
      </c>
    </row>
    <row r="3" spans="1:11" x14ac:dyDescent="0.2">
      <c r="A3" s="2323" t="str">
        <f>"Cash Basis Fund Balance as of July 1, "&amp;'AFR20'!E2-1</f>
        <v>Cash Basis Fund Balance as of July 1, 2019</v>
      </c>
      <c r="B3" s="2324"/>
      <c r="C3" s="2324"/>
      <c r="D3" s="2324"/>
      <c r="E3" s="2325"/>
      <c r="F3" s="617"/>
      <c r="G3" s="1744"/>
      <c r="H3" s="1744"/>
      <c r="I3" s="1744"/>
      <c r="J3" s="1745"/>
      <c r="K3" s="1745"/>
    </row>
    <row r="4" spans="1:11" x14ac:dyDescent="0.2">
      <c r="A4" s="2326" t="s">
        <v>366</v>
      </c>
      <c r="B4" s="2327"/>
      <c r="C4" s="2327"/>
      <c r="D4" s="2327"/>
      <c r="E4" s="2308"/>
      <c r="F4" s="620"/>
      <c r="G4" s="1746"/>
      <c r="H4" s="1747"/>
      <c r="I4" s="1746"/>
      <c r="J4" s="1748"/>
      <c r="K4" s="1748"/>
    </row>
    <row r="5" spans="1:11" x14ac:dyDescent="0.2">
      <c r="A5" s="2346" t="s">
        <v>1060</v>
      </c>
      <c r="B5" s="2317"/>
      <c r="C5" s="2317"/>
      <c r="D5" s="2317"/>
      <c r="E5" s="2347"/>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6" t="s">
        <v>1790</v>
      </c>
      <c r="B10" s="2317"/>
      <c r="C10" s="2317"/>
      <c r="D10" s="2317"/>
      <c r="E10" s="2348"/>
      <c r="F10" s="633" t="s">
        <v>857</v>
      </c>
      <c r="G10" s="1753"/>
      <c r="H10" s="1754"/>
      <c r="I10" s="1744"/>
      <c r="J10" s="1745"/>
      <c r="K10" s="1745"/>
    </row>
    <row r="11" spans="1:11" x14ac:dyDescent="0.2">
      <c r="A11" s="2346" t="s">
        <v>159</v>
      </c>
      <c r="B11" s="2317"/>
      <c r="C11" s="2317"/>
      <c r="D11" s="2317"/>
      <c r="E11" s="2347"/>
      <c r="F11" s="622" t="s">
        <v>847</v>
      </c>
      <c r="G11" s="1749"/>
      <c r="H11" s="1744"/>
      <c r="I11" s="1744"/>
      <c r="J11" s="1745"/>
      <c r="K11" s="1751"/>
    </row>
    <row r="12" spans="1:11" ht="13.5" thickBot="1" x14ac:dyDescent="0.25">
      <c r="A12" s="2334" t="s">
        <v>899</v>
      </c>
      <c r="B12" s="2335"/>
      <c r="C12" s="2335"/>
      <c r="D12" s="2335"/>
      <c r="E12" s="2336"/>
      <c r="F12" s="1433"/>
      <c r="G12" s="1755">
        <f>SUM(G5:G11)</f>
        <v>0</v>
      </c>
      <c r="H12" s="1755">
        <f>SUM(H5:H11)</f>
        <v>0</v>
      </c>
      <c r="I12" s="1755">
        <f>SUM(I5:I11)</f>
        <v>0</v>
      </c>
      <c r="J12" s="1755">
        <f>SUM(J5:J11)</f>
        <v>0</v>
      </c>
      <c r="K12" s="1755">
        <f>SUM(K5:K11)</f>
        <v>0</v>
      </c>
    </row>
    <row r="13" spans="1:11" ht="13.5" thickTop="1" x14ac:dyDescent="0.2">
      <c r="A13" s="2328" t="s">
        <v>367</v>
      </c>
      <c r="B13" s="2329"/>
      <c r="C13" s="2329"/>
      <c r="D13" s="2329"/>
      <c r="E13" s="2330"/>
      <c r="F13" s="634"/>
      <c r="G13" s="1756"/>
      <c r="H13" s="1757"/>
      <c r="I13" s="1758"/>
      <c r="J13" s="1758"/>
      <c r="K13" s="1758"/>
    </row>
    <row r="14" spans="1:11" x14ac:dyDescent="0.2">
      <c r="A14" s="2352" t="s">
        <v>453</v>
      </c>
      <c r="B14" s="2352"/>
      <c r="C14" s="2352"/>
      <c r="D14" s="2352"/>
      <c r="E14" s="2353"/>
      <c r="F14" s="635" t="s">
        <v>849</v>
      </c>
      <c r="G14" s="1753"/>
      <c r="H14" s="1744"/>
      <c r="I14" s="1749"/>
      <c r="J14" s="1751"/>
      <c r="K14" s="1745"/>
    </row>
    <row r="15" spans="1:11" x14ac:dyDescent="0.2">
      <c r="A15" s="2317" t="s">
        <v>4</v>
      </c>
      <c r="B15" s="2317"/>
      <c r="C15" s="2317"/>
      <c r="D15" s="2317"/>
      <c r="E15" s="2347"/>
      <c r="F15" s="635" t="s">
        <v>850</v>
      </c>
      <c r="G15" s="1749"/>
      <c r="H15" s="1744"/>
      <c r="I15" s="1744"/>
      <c r="J15" s="1745"/>
      <c r="K15" s="1745"/>
    </row>
    <row r="16" spans="1:11" x14ac:dyDescent="0.2">
      <c r="A16" s="2317" t="s">
        <v>295</v>
      </c>
      <c r="B16" s="2317"/>
      <c r="C16" s="2317"/>
      <c r="D16" s="2317"/>
      <c r="E16" s="2347"/>
      <c r="F16" s="635" t="s">
        <v>917</v>
      </c>
      <c r="G16" s="1750"/>
      <c r="H16" s="1746"/>
      <c r="I16" s="1746"/>
      <c r="J16" s="1748"/>
      <c r="K16" s="1748"/>
    </row>
    <row r="17" spans="1:15" x14ac:dyDescent="0.2">
      <c r="A17" s="2341" t="s">
        <v>929</v>
      </c>
      <c r="B17" s="2341"/>
      <c r="C17" s="2341"/>
      <c r="D17" s="2341"/>
      <c r="E17" s="2342"/>
      <c r="F17" s="636"/>
      <c r="G17" s="1759"/>
      <c r="H17" s="1760"/>
      <c r="I17" s="1760"/>
      <c r="J17" s="1761"/>
      <c r="K17" s="1762"/>
    </row>
    <row r="18" spans="1:15" x14ac:dyDescent="0.2">
      <c r="A18" s="2331" t="s">
        <v>365</v>
      </c>
      <c r="B18" s="2332"/>
      <c r="C18" s="2332"/>
      <c r="D18" s="2332"/>
      <c r="E18" s="2333"/>
      <c r="F18" s="635" t="s">
        <v>926</v>
      </c>
      <c r="G18" s="1753"/>
      <c r="H18" s="1753"/>
      <c r="I18" s="1753"/>
      <c r="J18" s="1745"/>
      <c r="K18" s="1763"/>
    </row>
    <row r="19" spans="1:15" ht="21.75" customHeight="1" x14ac:dyDescent="0.2">
      <c r="A19" s="2354" t="s">
        <v>1786</v>
      </c>
      <c r="B19" s="2354"/>
      <c r="C19" s="2354"/>
      <c r="D19" s="2354"/>
      <c r="E19" s="2355"/>
      <c r="F19" s="635" t="s">
        <v>927</v>
      </c>
      <c r="G19" s="1753"/>
      <c r="H19" s="1753"/>
      <c r="I19" s="1753"/>
      <c r="J19" s="1745"/>
      <c r="K19" s="1763"/>
    </row>
    <row r="20" spans="1:15" x14ac:dyDescent="0.2">
      <c r="A20" s="2331" t="s">
        <v>1791</v>
      </c>
      <c r="B20" s="2332"/>
      <c r="C20" s="2332"/>
      <c r="D20" s="2332"/>
      <c r="E20" s="2333"/>
      <c r="F20" s="635" t="s">
        <v>928</v>
      </c>
      <c r="G20" s="1753"/>
      <c r="H20" s="1753"/>
      <c r="I20" s="1753"/>
      <c r="J20" s="1745"/>
      <c r="K20" s="1763"/>
    </row>
    <row r="21" spans="1:15" ht="13.5" thickBot="1" x14ac:dyDescent="0.25">
      <c r="A21" s="2337" t="s">
        <v>633</v>
      </c>
      <c r="B21" s="2337"/>
      <c r="C21" s="2337"/>
      <c r="D21" s="2337"/>
      <c r="E21" s="2337"/>
      <c r="F21" s="1434"/>
      <c r="G21" s="1760"/>
      <c r="H21" s="1764"/>
      <c r="I21" s="1764"/>
      <c r="J21" s="1765">
        <f>SUM(J18:J20)</f>
        <v>0</v>
      </c>
      <c r="K21" s="1761"/>
    </row>
    <row r="22" spans="1:15" ht="13.5" thickTop="1" x14ac:dyDescent="0.2">
      <c r="A22" s="2317" t="s">
        <v>1792</v>
      </c>
      <c r="B22" s="2317"/>
      <c r="C22" s="2317"/>
      <c r="D22" s="2317"/>
      <c r="E22" s="2347"/>
      <c r="F22" s="635" t="s">
        <v>857</v>
      </c>
      <c r="G22" s="1753"/>
      <c r="H22" s="1744"/>
      <c r="I22" s="1744"/>
      <c r="J22" s="1766"/>
      <c r="K22" s="1745"/>
    </row>
    <row r="23" spans="1:15" ht="13.5" thickBot="1" x14ac:dyDescent="0.25">
      <c r="A23" s="2338" t="s">
        <v>900</v>
      </c>
      <c r="B23" s="2337"/>
      <c r="C23" s="2337"/>
      <c r="D23" s="2337"/>
      <c r="E23" s="2337"/>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39" t="str">
        <f>"Ending Cash Basis Fund Balance as of June 30, "&amp;'AFR20'!E2</f>
        <v>Ending Cash Basis Fund Balance as of June 30, 2020</v>
      </c>
      <c r="B24" s="2340"/>
      <c r="C24" s="2340"/>
      <c r="D24" s="2340"/>
      <c r="E24" s="2340"/>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9"/>
      <c r="I31" s="2350"/>
      <c r="J31" s="2350"/>
      <c r="K31" s="2350"/>
    </row>
    <row r="32" spans="1:15" x14ac:dyDescent="0.2">
      <c r="A32" s="649"/>
      <c r="B32" s="232"/>
      <c r="C32" s="232"/>
      <c r="D32" s="232"/>
      <c r="E32" s="645"/>
      <c r="F32" s="651" t="s">
        <v>537</v>
      </c>
      <c r="G32" s="618"/>
      <c r="H32" s="2351"/>
      <c r="I32" s="2350"/>
      <c r="J32" s="2350"/>
      <c r="K32" s="2350"/>
    </row>
    <row r="33" spans="1:11" ht="1.5" customHeight="1" x14ac:dyDescent="0.2">
      <c r="A33" s="652" t="s">
        <v>1159</v>
      </c>
      <c r="B33" s="341"/>
      <c r="C33" s="341"/>
      <c r="D33" s="341"/>
      <c r="E33" s="341"/>
      <c r="F33" s="341"/>
      <c r="G33" s="653"/>
      <c r="H33" s="2351"/>
      <c r="I33" s="2350"/>
      <c r="J33" s="2350"/>
      <c r="K33" s="2350"/>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7" t="s">
        <v>538</v>
      </c>
      <c r="B41" s="2318"/>
      <c r="C41" s="2318"/>
      <c r="D41" s="2318"/>
      <c r="E41" s="2318"/>
      <c r="F41" s="231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25" right="0.25" top="0.75" bottom="0.5" header="0.45" footer="0.1"/>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3" sqref="A3:F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8" t="s">
        <v>1875</v>
      </c>
      <c r="B1" s="2359"/>
      <c r="C1" s="2360"/>
      <c r="D1" s="666"/>
      <c r="E1" s="667"/>
      <c r="F1" s="667"/>
      <c r="G1" s="668"/>
      <c r="H1" s="669"/>
      <c r="I1" s="670"/>
      <c r="J1" s="2356"/>
      <c r="K1" s="2357"/>
      <c r="L1" s="2357"/>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15589</v>
      </c>
      <c r="D8" s="1771"/>
      <c r="E8" s="1771"/>
      <c r="F8" s="1765">
        <f>(C8+D8)-E8</f>
        <v>15589</v>
      </c>
      <c r="G8" s="681">
        <v>50</v>
      </c>
      <c r="H8" s="619">
        <v>13096</v>
      </c>
      <c r="I8" s="619">
        <v>312</v>
      </c>
      <c r="J8" s="619"/>
      <c r="K8" s="1442">
        <f>(H8+I8)-J8</f>
        <v>13408</v>
      </c>
      <c r="L8" s="1442">
        <f>F8-K8</f>
        <v>2181</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375711</v>
      </c>
      <c r="D12" s="1771"/>
      <c r="E12" s="1771">
        <v>11618</v>
      </c>
      <c r="F12" s="1765">
        <f>(C12+D12)-E12</f>
        <v>364093</v>
      </c>
      <c r="G12" s="681">
        <v>10</v>
      </c>
      <c r="H12" s="619">
        <v>341880</v>
      </c>
      <c r="I12" s="619">
        <v>3845</v>
      </c>
      <c r="J12" s="619">
        <v>1162</v>
      </c>
      <c r="K12" s="1442">
        <f>(H12+I12)-J12</f>
        <v>344563</v>
      </c>
      <c r="L12" s="1442">
        <f>F12-K12</f>
        <v>19530</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391300</v>
      </c>
      <c r="D16" s="1765">
        <f>SUM(D3,D5:D6,D8:D10,D12:D15)</f>
        <v>0</v>
      </c>
      <c r="E16" s="1765">
        <f>SUM(E3,E5:E6,E8:E10,E12:E15)</f>
        <v>11618</v>
      </c>
      <c r="F16" s="1765">
        <f>SUM(F3,F5:F6,F8:F10,F12:F15)</f>
        <v>379682</v>
      </c>
      <c r="G16" s="681"/>
      <c r="H16" s="1435">
        <f>SUM(H3,H6,H8:H10,H12:H14,)</f>
        <v>354976</v>
      </c>
      <c r="I16" s="1435">
        <f>SUM(I3,I6,I8:I10,I12:I14,)</f>
        <v>4157</v>
      </c>
      <c r="J16" s="1435">
        <f>SUM(J3,J6,J8:J10,J12:J14,)</f>
        <v>1162</v>
      </c>
      <c r="K16" s="1435">
        <f>(H16+I16)-J16</f>
        <v>357971</v>
      </c>
      <c r="L16" s="1435">
        <f>F16-K16</f>
        <v>21711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4157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0.9" bottom="0.75" header="0.5" footer="0.3"/>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A3" sqref="A3:F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4" t="str">
        <f>"ESTIMATED OPERATING EXPENSE PER PUPIL (OEPP)/PER CAPITA TUITION CHARGE (PCTC) COMPUTATIONS ("&amp;'AFR20'!E2-1&amp;" - "&amp;'AFR20'!E2&amp;")"</f>
        <v>ESTIMATED OPERATING EXPENSE PER PUPIL (OEPP)/PER CAPITA TUITION CHARGE (PCTC) COMPUTATIONS (2019 - 2020)</v>
      </c>
      <c r="B1" s="2365"/>
      <c r="C1" s="2365"/>
      <c r="D1" s="2365"/>
      <c r="E1" s="2365"/>
      <c r="F1" s="2366"/>
      <c r="G1" s="691"/>
      <c r="I1" s="701"/>
    </row>
    <row r="2" spans="1:9" ht="15" customHeight="1" thickBot="1" x14ac:dyDescent="0.25">
      <c r="A2" s="2367" t="s">
        <v>474</v>
      </c>
      <c r="B2" s="2368"/>
      <c r="C2" s="2368"/>
      <c r="D2" s="2368"/>
      <c r="E2" s="2368"/>
      <c r="F2" s="236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0"/>
      <c r="B5" s="2371"/>
      <c r="C5" s="2371"/>
      <c r="D5" s="2371"/>
      <c r="E5" s="2371"/>
      <c r="F5" s="2371"/>
    </row>
    <row r="6" spans="1:9" ht="13.5" customHeight="1" thickBot="1" x14ac:dyDescent="0.25">
      <c r="A6" s="2361" t="s">
        <v>1095</v>
      </c>
      <c r="B6" s="2362"/>
      <c r="C6" s="2362"/>
      <c r="D6" s="2362"/>
      <c r="E6" s="2362"/>
      <c r="F6" s="2363"/>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473610</v>
      </c>
      <c r="G8" s="701"/>
    </row>
    <row r="9" spans="1:9" x14ac:dyDescent="0.2">
      <c r="A9" s="705" t="s">
        <v>457</v>
      </c>
      <c r="B9" s="706" t="s">
        <v>1848</v>
      </c>
      <c r="C9" s="707"/>
      <c r="D9" s="705" t="s">
        <v>498</v>
      </c>
      <c r="E9" s="704"/>
      <c r="F9" s="1775">
        <f>'Expenditures 15-22'!K151</f>
        <v>0</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0</v>
      </c>
      <c r="G11" s="708"/>
    </row>
    <row r="12" spans="1:9" x14ac:dyDescent="0.2">
      <c r="A12" s="705" t="s">
        <v>459</v>
      </c>
      <c r="B12" s="706" t="s">
        <v>1851</v>
      </c>
      <c r="C12" s="707"/>
      <c r="D12" s="705" t="s">
        <v>498</v>
      </c>
      <c r="E12" s="704"/>
      <c r="F12" s="1775">
        <f>'Expenditures 15-22'!K295</f>
        <v>0</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473610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0</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0</v>
      </c>
      <c r="G77" s="701"/>
    </row>
    <row r="78" spans="1:9" s="728" customFormat="1" ht="12" customHeight="1" thickTop="1" thickBot="1" x14ac:dyDescent="0.25">
      <c r="A78" s="1450"/>
      <c r="B78" s="1448"/>
      <c r="C78" s="1445"/>
      <c r="D78" s="1449" t="s">
        <v>2012</v>
      </c>
      <c r="E78" s="1447"/>
      <c r="F78" s="1788">
        <f>(F14-F77)</f>
        <v>473610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2013</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1" t="s">
        <v>1096</v>
      </c>
      <c r="B82" s="2362"/>
      <c r="C82" s="2362"/>
      <c r="D82" s="2362"/>
      <c r="E82" s="2362"/>
      <c r="F82" s="236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640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154731</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13</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c r="G172" s="760"/>
    </row>
    <row r="173" spans="1:7" x14ac:dyDescent="0.2">
      <c r="A173" s="1529" t="s">
        <v>659</v>
      </c>
      <c r="B173" s="1530" t="s">
        <v>1885</v>
      </c>
      <c r="C173" s="1531">
        <v>3300</v>
      </c>
      <c r="D173" s="1532" t="s">
        <v>1888</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155384</v>
      </c>
    </row>
    <row r="176" spans="1:7" ht="12" customHeight="1" x14ac:dyDescent="0.2">
      <c r="A176" s="1443"/>
      <c r="B176" s="1453"/>
      <c r="C176" s="1454"/>
      <c r="D176" s="1455" t="s">
        <v>2014</v>
      </c>
      <c r="E176" s="1456"/>
      <c r="F176" s="1793">
        <f>'PCTC-OEPP 27-28'!F78-F175</f>
        <v>318226</v>
      </c>
    </row>
    <row r="177" spans="1:9" ht="12" customHeight="1" x14ac:dyDescent="0.2">
      <c r="A177" s="1443"/>
      <c r="B177" s="1453"/>
      <c r="C177" s="1454"/>
      <c r="D177" s="1455" t="s">
        <v>1794</v>
      </c>
      <c r="E177" s="1456"/>
      <c r="F177" s="1793">
        <f>'Cap Outlay Deprec 26'!I18</f>
        <v>4157</v>
      </c>
    </row>
    <row r="178" spans="1:9" ht="12" customHeight="1" x14ac:dyDescent="0.2">
      <c r="A178" s="1443"/>
      <c r="B178" s="1453"/>
      <c r="C178" s="1454"/>
      <c r="D178" s="1455" t="s">
        <v>2015</v>
      </c>
      <c r="E178" s="1456"/>
      <c r="F178" s="1793">
        <f>F176+F177</f>
        <v>322383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2017</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5"/>
  <sheetViews>
    <sheetView showGridLines="0" topLeftCell="A15" zoomScaleNormal="100" workbookViewId="0">
      <selection activeCell="A3" sqref="A3:F3"/>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1807</v>
      </c>
      <c r="B1" s="1860"/>
      <c r="C1" s="1861"/>
      <c r="D1" s="1861"/>
      <c r="E1" s="1861"/>
      <c r="F1" s="1861"/>
    </row>
    <row r="2" spans="1:6" x14ac:dyDescent="0.25">
      <c r="A2" s="1863"/>
      <c r="B2" s="1864"/>
      <c r="C2" s="1911" t="s">
        <v>2003</v>
      </c>
      <c r="D2" s="1863"/>
      <c r="E2" s="1863"/>
      <c r="F2" s="1863"/>
    </row>
    <row r="3" spans="1:6" ht="5.25" customHeight="1" x14ac:dyDescent="0.25">
      <c r="A3" s="1865"/>
      <c r="B3" s="1866"/>
      <c r="C3" s="1865"/>
      <c r="D3" s="1865"/>
      <c r="E3" s="1865"/>
      <c r="F3" s="1865"/>
    </row>
    <row r="4" spans="1:6" ht="18.75" customHeight="1" x14ac:dyDescent="0.25">
      <c r="A4" s="2375" t="s">
        <v>1795</v>
      </c>
      <c r="B4" s="2376"/>
      <c r="C4" s="2376"/>
      <c r="D4" s="2376"/>
      <c r="E4" s="2376"/>
      <c r="F4" s="2377"/>
    </row>
    <row r="5" spans="1:6" x14ac:dyDescent="0.25">
      <c r="A5" s="2378"/>
      <c r="B5" s="2379"/>
      <c r="C5" s="2379"/>
      <c r="D5" s="2379"/>
      <c r="E5" s="2379"/>
      <c r="F5" s="2380"/>
    </row>
    <row r="6" spans="1:6" ht="18.75" x14ac:dyDescent="0.25">
      <c r="A6" s="1867" t="s">
        <v>1796</v>
      </c>
      <c r="B6" s="1868"/>
      <c r="C6" s="1869"/>
      <c r="D6" s="1869"/>
      <c r="E6" s="1869"/>
      <c r="F6" s="1870"/>
    </row>
    <row r="7" spans="1:6" ht="47.25" customHeight="1" x14ac:dyDescent="0.25">
      <c r="A7" s="2381" t="s">
        <v>1985</v>
      </c>
      <c r="B7" s="2382"/>
      <c r="C7" s="2382"/>
      <c r="D7" s="2382"/>
      <c r="E7" s="2382"/>
      <c r="F7" s="2383"/>
    </row>
    <row r="8" spans="1:6" ht="20.25" customHeight="1" x14ac:dyDescent="0.25">
      <c r="A8" s="1901" t="s">
        <v>1987</v>
      </c>
      <c r="B8" s="1902"/>
      <c r="C8" s="1902"/>
      <c r="D8" s="1902"/>
      <c r="E8" s="1871"/>
      <c r="F8" s="1872"/>
    </row>
    <row r="9" spans="1:6" ht="18" customHeight="1" x14ac:dyDescent="0.25">
      <c r="A9" s="1873" t="s">
        <v>1984</v>
      </c>
      <c r="B9" s="1875"/>
      <c r="C9" s="1875"/>
      <c r="D9" s="1875"/>
      <c r="E9" s="1871"/>
      <c r="F9" s="1872"/>
    </row>
    <row r="10" spans="1:6" ht="15.75" customHeight="1" x14ac:dyDescent="0.25">
      <c r="A10" s="2384" t="s">
        <v>1981</v>
      </c>
      <c r="B10" s="2385"/>
      <c r="C10" s="2385"/>
      <c r="D10" s="2385"/>
      <c r="E10" s="2385"/>
      <c r="F10" s="2386"/>
    </row>
    <row r="11" spans="1:6" ht="33" customHeight="1" x14ac:dyDescent="0.25">
      <c r="A11" s="2381" t="s">
        <v>1986</v>
      </c>
      <c r="B11" s="2382"/>
      <c r="C11" s="2382"/>
      <c r="D11" s="2382"/>
      <c r="E11" s="2382"/>
      <c r="F11" s="2383"/>
    </row>
    <row r="12" spans="1:6" ht="15" customHeight="1" x14ac:dyDescent="0.25">
      <c r="A12" s="1873" t="s">
        <v>1982</v>
      </c>
      <c r="B12" s="1874"/>
      <c r="C12" s="1875"/>
      <c r="D12" s="1875"/>
      <c r="E12" s="1875"/>
      <c r="F12" s="1876"/>
    </row>
    <row r="13" spans="1:6" ht="17.25" customHeight="1" x14ac:dyDescent="0.25">
      <c r="A13" s="2381" t="s">
        <v>1983</v>
      </c>
      <c r="B13" s="2382"/>
      <c r="C13" s="2382"/>
      <c r="D13" s="2382"/>
      <c r="E13" s="2382"/>
      <c r="F13" s="2383"/>
    </row>
    <row r="14" spans="1:6" ht="15" customHeight="1" x14ac:dyDescent="0.25">
      <c r="A14" s="1873" t="s">
        <v>1800</v>
      </c>
      <c r="B14" s="1874"/>
      <c r="C14" s="1875"/>
      <c r="D14" s="1875"/>
      <c r="E14" s="1875"/>
      <c r="F14" s="1876"/>
    </row>
    <row r="15" spans="1:6" ht="32.25" customHeight="1" x14ac:dyDescent="0.25">
      <c r="A15" s="237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3"/>
      <c r="C15" s="2373"/>
      <c r="D15" s="2373"/>
      <c r="E15" s="2373"/>
      <c r="F15" s="2374"/>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6" t="s">
        <v>1799</v>
      </c>
      <c r="C17" s="1881" t="s">
        <v>1797</v>
      </c>
      <c r="D17" s="1882">
        <v>500000</v>
      </c>
      <c r="E17" s="1882" t="str">
        <f>IF(D17&lt;25000,D17,"25,000")</f>
        <v>25,000</v>
      </c>
      <c r="F17" s="1883">
        <f>IF(D17&gt;=25000,(D17-E17),"0")</f>
        <v>475000</v>
      </c>
    </row>
    <row r="18" spans="1:7" x14ac:dyDescent="0.25">
      <c r="A18" s="2034" t="s">
        <v>2078</v>
      </c>
      <c r="B18" s="1907"/>
      <c r="C18" s="1912"/>
      <c r="D18" s="1885"/>
      <c r="E18" s="1905">
        <f t="shared" ref="E18:E23" si="0">IF(D18&lt;25000,D18,"25,000")</f>
        <v>0</v>
      </c>
      <c r="F18" s="1905" t="str">
        <f t="shared" ref="F18:F23" si="1">IF(D18&gt;=25000,(D18-E18),"0")</f>
        <v>0</v>
      </c>
      <c r="G18" s="1886"/>
    </row>
    <row r="19" spans="1:7" x14ac:dyDescent="0.25">
      <c r="A19" s="1887"/>
      <c r="B19" s="1907"/>
      <c r="C19" s="1884"/>
      <c r="D19" s="1885"/>
      <c r="E19" s="1905">
        <f t="shared" si="0"/>
        <v>0</v>
      </c>
      <c r="F19" s="1905" t="str">
        <f t="shared" si="1"/>
        <v>0</v>
      </c>
    </row>
    <row r="20" spans="1:7" x14ac:dyDescent="0.25">
      <c r="A20" s="1887"/>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8"/>
      <c r="C24" s="1888"/>
      <c r="D24" s="1885"/>
      <c r="E24" s="1905">
        <f t="shared" ref="E24" si="2">IF(D24&lt;25000,D24,"25,000")</f>
        <v>0</v>
      </c>
      <c r="F24" s="1905" t="str">
        <f t="shared" ref="F24" si="3">IF(D24&gt;=25000,(D24-E24),"0")</f>
        <v>0</v>
      </c>
    </row>
    <row r="25" spans="1:7" x14ac:dyDescent="0.25">
      <c r="A25" s="1889" t="s">
        <v>155</v>
      </c>
      <c r="B25" s="1909"/>
      <c r="C25" s="1890"/>
      <c r="D25" s="1891">
        <f>SUM(D18:D24)</f>
        <v>0</v>
      </c>
      <c r="E25" s="1892">
        <f>SUM(E18:E24)</f>
        <v>0</v>
      </c>
      <c r="F25" s="1893">
        <f>SUM(F18:F24)</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A3" sqref="A3:F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7" t="s">
        <v>1660</v>
      </c>
      <c r="B5" s="2388"/>
      <c r="C5" s="2388"/>
      <c r="D5" s="2388"/>
      <c r="E5" s="2388"/>
      <c r="F5" s="2388"/>
      <c r="G5" s="238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3"/>
      <c r="C11" s="2393"/>
      <c r="D11" s="2394"/>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391251</v>
      </c>
      <c r="F19" s="1802"/>
      <c r="G19" s="1804">
        <f>'Expenditures 15-22'!K33-SUM('Expenditures 15-22'!G33,'Expenditures 15-22'!I33)+'Expenditures 15-22'!D229</f>
        <v>391251</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0</v>
      </c>
      <c r="F21" s="1805"/>
      <c r="G21" s="1808">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560</v>
      </c>
      <c r="B22" s="825"/>
      <c r="C22" s="823">
        <v>2200</v>
      </c>
      <c r="D22" s="1805"/>
      <c r="E22" s="1807">
        <f>'Expenditures 15-22'!K47-SUM('Expenditures 15-22'!G47,'Expenditures 15-22'!I47)+'Expenditures 15-22'!D243</f>
        <v>0</v>
      </c>
      <c r="F22" s="1805"/>
      <c r="G22" s="1808">
        <f>'Expenditures 15-22'!K47-SUM('Expenditures 15-22'!G47,'Expenditures 15-22'!I47)+'Expenditures 15-22'!D243</f>
        <v>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64947</v>
      </c>
      <c r="F23" s="1805"/>
      <c r="G23" s="1807">
        <f>'Expenditures 15-22'!K53-SUM('Expenditures 15-22'!G53,'Expenditures 15-22'!I53)+'Expenditures 15-22'!D257+'Expenditures 15-22'!K330-SUM('Expenditures 15-22'!G330,'Expenditures 15-22'!I330)</f>
        <v>64947</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0</v>
      </c>
      <c r="E27" s="1807">
        <f>E8</f>
        <v>0</v>
      </c>
      <c r="F27" s="1807">
        <f>'Expenditures 15-22'!K60-SUM('Expenditures 15-22'!G60,'Expenditures 15-22'!I60)+'Expenditures 15-22'!D264-E8</f>
        <v>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3991</v>
      </c>
      <c r="F28" s="1809">
        <f>'Expenditures 15-22'!K61-SUM('Expenditures 15-22'!G61,'Expenditures 15-22'!I61)+'Expenditures 15-22'!K124-SUM('Expenditures 15-22'!G124,'Expenditures 15-22'!I124)+'Expenditures 15-22'!D266-E9</f>
        <v>3991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409</v>
      </c>
      <c r="F29" s="1805"/>
      <c r="G29" s="1808">
        <f>'Expenditures 15-22'!K62-SUM('Expenditures 15-22'!G62,'Expenditures 15-22'!I62)+'Expenditures 15-22'!K125-SUM('Expenditures 15-22'!G125,'Expenditures 15-22'!I125)+'Expenditures 15-22'!K182-SUM('Expenditures 15-22'!G182,'Expenditures 15-22'!I182)+'Expenditures 15-22'!D267</f>
        <v>409</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13012</v>
      </c>
      <c r="F35" s="1805"/>
      <c r="G35" s="1807">
        <f>'Expenditures 15-22'!K69-SUM('Expenditures 15-22'!G69,'Expenditures 15-22'!I69)+'Expenditures 15-22'!D274</f>
        <v>13012</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29'!F25</f>
        <v>0</v>
      </c>
      <c r="F40" s="1805"/>
      <c r="G40" s="1809">
        <f>-'Contracts Paid in CY 29'!F25</f>
        <v>0</v>
      </c>
    </row>
    <row r="41" spans="1:7" ht="12" customHeight="1" x14ac:dyDescent="0.2">
      <c r="A41" s="828" t="s">
        <v>155</v>
      </c>
      <c r="B41" s="829"/>
      <c r="C41" s="830"/>
      <c r="D41" s="1809">
        <f>SUM(D19:D39)</f>
        <v>0</v>
      </c>
      <c r="E41" s="1809">
        <f>SUM(E19:E40)</f>
        <v>473610</v>
      </c>
      <c r="F41" s="1809">
        <f>SUM(F19:F39)</f>
        <v>3991</v>
      </c>
      <c r="G41" s="1809">
        <f>SUM(G19:G40)</f>
        <v>469619</v>
      </c>
    </row>
    <row r="42" spans="1:7" x14ac:dyDescent="0.2">
      <c r="A42" s="817"/>
      <c r="B42" s="157"/>
      <c r="C42" s="831"/>
      <c r="D42" s="2390" t="s">
        <v>519</v>
      </c>
      <c r="E42" s="2391"/>
      <c r="F42" s="832" t="s">
        <v>520</v>
      </c>
      <c r="G42" s="833"/>
    </row>
    <row r="43" spans="1:7" ht="12" customHeight="1" x14ac:dyDescent="0.2">
      <c r="A43" s="817"/>
      <c r="B43" s="157"/>
      <c r="C43" s="831"/>
      <c r="D43" s="1458" t="s">
        <v>470</v>
      </c>
      <c r="E43" s="1810">
        <f>D41</f>
        <v>0</v>
      </c>
      <c r="F43" s="1458" t="s">
        <v>470</v>
      </c>
      <c r="G43" s="1810">
        <f>F41</f>
        <v>3991</v>
      </c>
    </row>
    <row r="44" spans="1:7" ht="12" customHeight="1" x14ac:dyDescent="0.2">
      <c r="A44" s="817"/>
      <c r="B44" s="157"/>
      <c r="C44" s="831"/>
      <c r="D44" s="1458" t="s">
        <v>471</v>
      </c>
      <c r="E44" s="1810">
        <f>E41</f>
        <v>473610</v>
      </c>
      <c r="F44" s="1458" t="s">
        <v>471</v>
      </c>
      <c r="G44" s="1810">
        <f>G41</f>
        <v>469619</v>
      </c>
    </row>
    <row r="45" spans="1:7" ht="12" customHeight="1" x14ac:dyDescent="0.2">
      <c r="A45" s="817"/>
      <c r="B45" s="157"/>
      <c r="C45" s="157"/>
      <c r="D45" s="1459" t="s">
        <v>999</v>
      </c>
      <c r="E45" s="1811">
        <f>(E43/E44)</f>
        <v>0</v>
      </c>
      <c r="F45" s="1459" t="s">
        <v>999</v>
      </c>
      <c r="G45" s="1811">
        <f>(G43/G44)</f>
        <v>8.4983784727619624E-3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0.71" right="0.46" top="0.8" bottom="0.3" header="0.5" footer="0.05"/>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7" zoomScale="110" zoomScaleNormal="110" workbookViewId="0">
      <selection activeCell="A3" sqref="A3:F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8" t="s">
        <v>1363</v>
      </c>
      <c r="B1" s="2398"/>
      <c r="C1" s="2398"/>
      <c r="D1" s="2398"/>
      <c r="E1" s="2398"/>
      <c r="F1" s="2398"/>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399" t="s">
        <v>1529</v>
      </c>
      <c r="B5" s="2400"/>
      <c r="C5" s="2401"/>
      <c r="D5" s="2401"/>
      <c r="E5" s="2401"/>
      <c r="F5" s="2401"/>
      <c r="G5" s="1507"/>
      <c r="L5" s="1507"/>
      <c r="M5" s="1855"/>
      <c r="N5" s="1855"/>
      <c r="O5" s="1855"/>
    </row>
    <row r="6" spans="1:15" ht="12" customHeight="1" x14ac:dyDescent="0.25">
      <c r="A6" s="1480"/>
      <c r="B6" s="1481"/>
      <c r="C6" s="2402" t="str">
        <f>COVER!A17</f>
        <v xml:space="preserve">   Lincolnland Technical Ed Ctr</v>
      </c>
      <c r="D6" s="2402"/>
      <c r="E6" s="2402"/>
      <c r="F6" s="1482"/>
      <c r="G6" s="1507"/>
      <c r="L6" s="1507"/>
      <c r="M6" s="1855"/>
      <c r="N6" s="1855"/>
      <c r="O6" s="1855"/>
    </row>
    <row r="7" spans="1:15" ht="11.25" customHeight="1" thickBot="1" x14ac:dyDescent="0.3">
      <c r="A7" s="1480"/>
      <c r="B7" s="1481"/>
      <c r="C7" s="2403">
        <f>COVER!A13</f>
        <v>17054404041</v>
      </c>
      <c r="D7" s="2403"/>
      <c r="E7" s="2403"/>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2065</v>
      </c>
      <c r="D25" s="1495" t="s">
        <v>2065</v>
      </c>
      <c r="E25" s="1498"/>
      <c r="F25" s="1497" t="s">
        <v>2074</v>
      </c>
      <c r="G25" s="1507"/>
      <c r="H25" s="1507">
        <f t="shared" si="0"/>
        <v>5</v>
      </c>
      <c r="I25" s="1507">
        <f t="shared" si="1"/>
        <v>5</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0</v>
      </c>
      <c r="K34" s="1507">
        <f>SUM(H34:J34)</f>
        <v>10</v>
      </c>
      <c r="L34" s="1507"/>
      <c r="M34" s="1855"/>
      <c r="N34" s="1855"/>
      <c r="O34" s="1855"/>
    </row>
    <row r="35" spans="1:15" ht="12" customHeight="1" x14ac:dyDescent="0.2">
      <c r="A35" s="1500" t="s">
        <v>1376</v>
      </c>
      <c r="B35" s="1501"/>
      <c r="C35" s="2404"/>
      <c r="D35" s="2404"/>
      <c r="E35" s="2404"/>
      <c r="F35" s="2405"/>
    </row>
    <row r="36" spans="1:15" ht="12" customHeight="1" x14ac:dyDescent="0.2">
      <c r="A36" s="2395"/>
      <c r="B36" s="2396"/>
      <c r="C36" s="2396"/>
      <c r="D36" s="2396"/>
      <c r="E36" s="2396"/>
      <c r="F36" s="2397"/>
    </row>
    <row r="37" spans="1:15" ht="12" customHeight="1" x14ac:dyDescent="0.2">
      <c r="A37" s="2395"/>
      <c r="B37" s="2396"/>
      <c r="C37" s="2396"/>
      <c r="D37" s="2396"/>
      <c r="E37" s="2396"/>
      <c r="F37" s="2397"/>
    </row>
    <row r="38" spans="1:15" ht="12" customHeight="1" x14ac:dyDescent="0.2">
      <c r="A38" s="2409"/>
      <c r="B38" s="2410"/>
      <c r="C38" s="2410"/>
      <c r="D38" s="2410"/>
      <c r="E38" s="2410"/>
      <c r="F38" s="2411"/>
    </row>
    <row r="39" spans="1:15" ht="4.5" hidden="1" customHeight="1" x14ac:dyDescent="0.2">
      <c r="A39" s="1502"/>
      <c r="B39" s="1502"/>
      <c r="C39" s="1502"/>
      <c r="D39" s="1502"/>
      <c r="E39" s="1502"/>
      <c r="F39" s="1502"/>
    </row>
    <row r="40" spans="1:15" s="1499" customFormat="1" ht="12" customHeight="1" x14ac:dyDescent="0.25">
      <c r="A40" s="1503" t="s">
        <v>1375</v>
      </c>
      <c r="B40" s="1504"/>
      <c r="C40" s="2412"/>
      <c r="D40" s="2412"/>
      <c r="E40" s="2412"/>
      <c r="F40" s="2413"/>
      <c r="H40" s="1508"/>
      <c r="I40" s="1508"/>
      <c r="J40" s="1508"/>
      <c r="K40" s="1508"/>
    </row>
    <row r="41" spans="1:15" s="1499" customFormat="1" ht="12" customHeight="1" x14ac:dyDescent="0.25">
      <c r="A41" s="2414"/>
      <c r="B41" s="2415"/>
      <c r="C41" s="2415"/>
      <c r="D41" s="2415"/>
      <c r="E41" s="2415"/>
      <c r="F41" s="2416"/>
      <c r="H41" s="1508"/>
      <c r="I41" s="1508"/>
      <c r="J41" s="1508"/>
      <c r="K41" s="1508"/>
    </row>
    <row r="42" spans="1:15" s="1499" customFormat="1" ht="12" customHeight="1" x14ac:dyDescent="0.25">
      <c r="A42" s="2414"/>
      <c r="B42" s="2415"/>
      <c r="C42" s="2415"/>
      <c r="D42" s="2415"/>
      <c r="E42" s="2415"/>
      <c r="F42" s="2416"/>
      <c r="H42" s="1508"/>
      <c r="I42" s="1508"/>
      <c r="J42" s="1508"/>
      <c r="K42" s="1508"/>
    </row>
    <row r="43" spans="1:15" s="1499" customFormat="1" ht="15" x14ac:dyDescent="0.25">
      <c r="A43" s="2406"/>
      <c r="B43" s="2407"/>
      <c r="C43" s="2407"/>
      <c r="D43" s="2407"/>
      <c r="E43" s="2407"/>
      <c r="F43" s="2408"/>
      <c r="H43" s="1508"/>
      <c r="I43" s="1508"/>
      <c r="J43" s="1508"/>
      <c r="K43" s="1508"/>
    </row>
    <row r="44" spans="1:15" s="1499" customFormat="1" ht="12" hidden="1" customHeight="1" x14ac:dyDescent="0.25">
      <c r="A44" s="2406"/>
      <c r="B44" s="2407"/>
      <c r="C44" s="2407"/>
      <c r="D44" s="2407"/>
      <c r="E44" s="2407"/>
      <c r="F44" s="240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 right="0.2" top="0.9" bottom="0.37" header="0.17" footer="0.25"/>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3" sqref="A3:F3"/>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2002</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18" t="str">
        <f>COVER!A17</f>
        <v xml:space="preserve">   Lincolnland Technical Ed Ctr</v>
      </c>
      <c r="K6" s="2418"/>
      <c r="L6" s="2419"/>
      <c r="M6" s="838"/>
      <c r="N6" s="1997"/>
    </row>
    <row r="7" spans="1:14" x14ac:dyDescent="0.2">
      <c r="A7" s="2420" t="s">
        <v>864</v>
      </c>
      <c r="B7" s="2421"/>
      <c r="C7" s="2421"/>
      <c r="D7" s="2421"/>
      <c r="E7" s="2422"/>
      <c r="F7" s="839"/>
      <c r="G7" s="838"/>
      <c r="H7" s="838"/>
      <c r="I7" s="1923" t="s">
        <v>369</v>
      </c>
      <c r="J7" s="2423">
        <f>COVER!A13</f>
        <v>17054404041</v>
      </c>
      <c r="K7" s="2423"/>
      <c r="L7" s="2423"/>
      <c r="M7" s="838"/>
      <c r="N7" s="1997"/>
    </row>
    <row r="8" spans="1:14" x14ac:dyDescent="0.2">
      <c r="A8" s="1999"/>
      <c r="B8" s="1924"/>
      <c r="C8" s="1924"/>
      <c r="D8" s="1924"/>
      <c r="E8" s="1925"/>
      <c r="F8" s="1926"/>
      <c r="G8" s="1910"/>
      <c r="H8" s="1910"/>
      <c r="I8" s="1910"/>
      <c r="J8" s="1910"/>
      <c r="K8" s="1910"/>
      <c r="L8" s="1910"/>
      <c r="M8" s="838"/>
      <c r="N8" s="1997"/>
    </row>
    <row r="9" spans="1:14" x14ac:dyDescent="0.2">
      <c r="A9" s="2000"/>
      <c r="B9" s="840"/>
      <c r="C9" s="840"/>
      <c r="D9" s="841"/>
      <c r="E9" s="1927" t="s">
        <v>2018</v>
      </c>
      <c r="F9" s="1857"/>
      <c r="G9" s="1857"/>
      <c r="H9" s="1857"/>
      <c r="I9" s="1928" t="s">
        <v>2019</v>
      </c>
      <c r="J9" s="1857"/>
      <c r="K9" s="1857"/>
      <c r="L9" s="1858"/>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24" t="s">
        <v>478</v>
      </c>
      <c r="B11" s="2425"/>
      <c r="C11" s="2426"/>
      <c r="D11" s="1936" t="s">
        <v>866</v>
      </c>
      <c r="E11" s="1936" t="s">
        <v>64</v>
      </c>
      <c r="F11" s="1936" t="s">
        <v>6</v>
      </c>
      <c r="G11" s="1937" t="s">
        <v>2020</v>
      </c>
      <c r="H11" s="1938" t="s">
        <v>155</v>
      </c>
      <c r="I11" s="1936" t="s">
        <v>64</v>
      </c>
      <c r="J11" s="1936" t="s">
        <v>6</v>
      </c>
      <c r="K11" s="1937" t="s">
        <v>2001</v>
      </c>
      <c r="L11" s="1938" t="s">
        <v>155</v>
      </c>
      <c r="M11" s="838"/>
      <c r="N11" s="1997"/>
    </row>
    <row r="12" spans="1:14" x14ac:dyDescent="0.2">
      <c r="A12" s="2002">
        <v>1</v>
      </c>
      <c r="B12" s="1939" t="s">
        <v>813</v>
      </c>
      <c r="C12" s="842"/>
      <c r="D12" s="1940">
        <v>2320</v>
      </c>
      <c r="E12" s="1943">
        <f>'Expenditures 15-22'!K50</f>
        <v>0</v>
      </c>
      <c r="F12" s="1941"/>
      <c r="G12" s="1967">
        <f>G68</f>
        <v>0</v>
      </c>
      <c r="H12" s="1943">
        <f t="shared" ref="H12:H18" si="0">SUM(E12:G12)</f>
        <v>0</v>
      </c>
      <c r="I12" s="1942"/>
      <c r="J12" s="1941"/>
      <c r="K12" s="1942"/>
      <c r="L12" s="1943">
        <f t="shared" ref="L12:L18" si="1">SUM(I12:K12)</f>
        <v>0</v>
      </c>
      <c r="M12" s="838"/>
      <c r="N12" s="1997"/>
    </row>
    <row r="13" spans="1:14" x14ac:dyDescent="0.2">
      <c r="A13" s="2002">
        <v>2</v>
      </c>
      <c r="B13" s="1939" t="s">
        <v>42</v>
      </c>
      <c r="C13" s="842"/>
      <c r="D13" s="1940">
        <v>2330</v>
      </c>
      <c r="E13" s="1943">
        <f>'Expenditures 15-22'!K51</f>
        <v>61725</v>
      </c>
      <c r="F13" s="1941"/>
      <c r="G13" s="1967">
        <f>H68</f>
        <v>0</v>
      </c>
      <c r="H13" s="1943">
        <f t="shared" si="0"/>
        <v>61725</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1059</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1051</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27" t="s">
        <v>7</v>
      </c>
      <c r="C18" s="2428"/>
      <c r="D18" s="2429"/>
      <c r="E18" s="1945"/>
      <c r="F18" s="1945"/>
      <c r="G18" s="1942"/>
      <c r="H18" s="1946">
        <f t="shared" si="0"/>
        <v>0</v>
      </c>
      <c r="I18" s="1942"/>
      <c r="J18" s="1942"/>
      <c r="K18" s="1942"/>
      <c r="L18" s="1943">
        <f t="shared" si="1"/>
        <v>0</v>
      </c>
      <c r="M18" s="838"/>
      <c r="N18" s="1997"/>
    </row>
    <row r="19" spans="1:14" ht="13.5" thickBot="1" x14ac:dyDescent="0.25">
      <c r="A19" s="2002">
        <v>8</v>
      </c>
      <c r="B19" s="1947" t="s">
        <v>1151</v>
      </c>
      <c r="C19" s="838"/>
      <c r="D19" s="1948"/>
      <c r="E19" s="1949">
        <f t="shared" ref="E19:L19" si="2">SUM(E12:E17)-E18</f>
        <v>61725</v>
      </c>
      <c r="F19" s="1949">
        <f t="shared" si="2"/>
        <v>0</v>
      </c>
      <c r="G19" s="1949">
        <f t="shared" ref="G19" si="3">SUM(G12:G17)-G18</f>
        <v>0</v>
      </c>
      <c r="H19" s="1949">
        <f t="shared" si="2"/>
        <v>61725</v>
      </c>
      <c r="I19" s="1949">
        <f t="shared" si="2"/>
        <v>0</v>
      </c>
      <c r="J19" s="1949">
        <f t="shared" si="2"/>
        <v>0</v>
      </c>
      <c r="K19" s="1949">
        <f t="shared" si="2"/>
        <v>0</v>
      </c>
      <c r="L19" s="1949">
        <f t="shared" si="2"/>
        <v>0</v>
      </c>
      <c r="M19" s="838"/>
      <c r="N19" s="1997"/>
    </row>
    <row r="20" spans="1:14" ht="13.5" thickTop="1" x14ac:dyDescent="0.2">
      <c r="A20" s="2002">
        <v>9</v>
      </c>
      <c r="B20" s="2430" t="s">
        <v>2021</v>
      </c>
      <c r="C20" s="2430"/>
      <c r="D20" s="2431"/>
      <c r="E20" s="1950"/>
      <c r="F20" s="1950"/>
      <c r="G20" s="1950"/>
      <c r="H20" s="1950"/>
      <c r="I20" s="1950"/>
      <c r="J20" s="1950"/>
      <c r="K20" s="1950"/>
      <c r="L20" s="1951" t="str">
        <f>IF(AND(H19&gt;0,L19&gt;0),(((L19-H19)/H19)),"Enter Budget Data")</f>
        <v>Enter Budget Data</v>
      </c>
      <c r="M20" s="838"/>
      <c r="N20" s="1997"/>
    </row>
    <row r="21" spans="1:14" x14ac:dyDescent="0.2">
      <c r="A21" s="2004" t="s">
        <v>194</v>
      </c>
      <c r="B21" s="2005" t="s">
        <v>2046</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2022</v>
      </c>
      <c r="B24" s="2009"/>
      <c r="C24" s="2010"/>
      <c r="D24" s="2010"/>
      <c r="E24" s="2010"/>
      <c r="F24" s="2010"/>
      <c r="G24" s="2010"/>
      <c r="H24" s="2010"/>
      <c r="I24" s="2010"/>
      <c r="J24" s="2010"/>
      <c r="K24" s="2010"/>
      <c r="L24" s="838"/>
      <c r="M24" s="838"/>
      <c r="N24" s="1997"/>
    </row>
    <row r="25" spans="1:14" x14ac:dyDescent="0.2">
      <c r="A25" s="2008" t="s">
        <v>2023</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32"/>
      <c r="D27" s="2432"/>
      <c r="E27" s="843"/>
      <c r="F27" s="2433"/>
      <c r="G27" s="2433"/>
      <c r="H27" s="2433"/>
      <c r="I27" s="838"/>
      <c r="J27" s="838"/>
      <c r="K27" s="838"/>
      <c r="L27" s="838"/>
      <c r="M27" s="838"/>
      <c r="N27" s="1997"/>
    </row>
    <row r="28" spans="1:14" x14ac:dyDescent="0.2">
      <c r="A28" s="1996"/>
      <c r="B28" s="2006"/>
      <c r="C28" s="1956" t="s">
        <v>1026</v>
      </c>
      <c r="D28" s="844"/>
      <c r="E28" s="1957"/>
      <c r="F28" s="2434" t="s">
        <v>1492</v>
      </c>
      <c r="G28" s="2434"/>
      <c r="H28" s="2434"/>
      <c r="I28" s="838"/>
      <c r="J28" s="838"/>
      <c r="K28" s="838"/>
      <c r="L28" s="838"/>
      <c r="M28" s="838"/>
      <c r="N28" s="1997"/>
    </row>
    <row r="29" spans="1:14" x14ac:dyDescent="0.2">
      <c r="A29" s="1996"/>
      <c r="B29" s="2006"/>
      <c r="C29" s="2435"/>
      <c r="D29" s="2435"/>
      <c r="E29" s="845"/>
      <c r="F29" s="2435"/>
      <c r="G29" s="2435"/>
      <c r="H29" s="2435"/>
      <c r="I29" s="838"/>
      <c r="J29" s="838"/>
      <c r="K29" s="838"/>
      <c r="L29" s="838"/>
      <c r="M29" s="838"/>
      <c r="N29" s="1997"/>
    </row>
    <row r="30" spans="1:14" x14ac:dyDescent="0.2">
      <c r="A30" s="1996"/>
      <c r="B30" s="2006"/>
      <c r="C30" s="1959" t="s">
        <v>1544</v>
      </c>
      <c r="D30" s="838"/>
      <c r="E30" s="1958"/>
      <c r="F30" s="2417" t="s">
        <v>1493</v>
      </c>
      <c r="G30" s="2417"/>
      <c r="H30" s="2417"/>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38" t="s">
        <v>2024</v>
      </c>
      <c r="D34" s="2439"/>
      <c r="E34" s="2439"/>
      <c r="F34" s="2439"/>
      <c r="G34" s="2439"/>
      <c r="H34" s="2439"/>
      <c r="I34" s="2439"/>
      <c r="J34" s="2439"/>
      <c r="K34" s="2015"/>
      <c r="L34" s="838"/>
      <c r="M34" s="838"/>
      <c r="N34" s="1997"/>
    </row>
    <row r="35" spans="1:14" x14ac:dyDescent="0.2">
      <c r="A35" s="1996"/>
      <c r="B35" s="838"/>
      <c r="C35" s="2439"/>
      <c r="D35" s="2439"/>
      <c r="E35" s="2439"/>
      <c r="F35" s="2439"/>
      <c r="G35" s="2439"/>
      <c r="H35" s="2439"/>
      <c r="I35" s="2439"/>
      <c r="J35" s="2439"/>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38" t="s">
        <v>2025</v>
      </c>
      <c r="D37" s="2439"/>
      <c r="E37" s="2439"/>
      <c r="F37" s="2439"/>
      <c r="G37" s="2439"/>
      <c r="H37" s="2439"/>
      <c r="I37" s="2439"/>
      <c r="J37" s="2439"/>
      <c r="K37" s="2015"/>
      <c r="L37" s="2017"/>
      <c r="M37" s="838"/>
      <c r="N37" s="1997"/>
    </row>
    <row r="38" spans="1:14" x14ac:dyDescent="0.2">
      <c r="A38" s="1996"/>
      <c r="B38" s="838"/>
      <c r="C38" s="2439"/>
      <c r="D38" s="2439"/>
      <c r="E38" s="2439"/>
      <c r="F38" s="2439"/>
      <c r="G38" s="2439"/>
      <c r="H38" s="2439"/>
      <c r="I38" s="2439"/>
      <c r="J38" s="2439"/>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40" t="s">
        <v>2026</v>
      </c>
      <c r="D40" s="2441"/>
      <c r="E40" s="2441"/>
      <c r="F40" s="2441"/>
      <c r="G40" s="2441"/>
      <c r="H40" s="2441"/>
      <c r="I40" s="2441"/>
      <c r="J40" s="2441"/>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42" t="s">
        <v>2027</v>
      </c>
      <c r="B43" s="2443"/>
      <c r="C43" s="2443"/>
      <c r="D43" s="2443"/>
      <c r="E43" s="2443"/>
      <c r="F43" s="2443"/>
      <c r="G43" s="2443"/>
      <c r="H43" s="2443"/>
      <c r="I43" s="2443"/>
      <c r="J43" s="2443"/>
      <c r="K43" s="2443"/>
      <c r="L43" s="2443"/>
      <c r="M43" s="2443"/>
      <c r="N43" s="2444"/>
    </row>
    <row r="44" spans="1:14" x14ac:dyDescent="0.2">
      <c r="A44" s="1981"/>
      <c r="B44" s="1982"/>
      <c r="C44" s="1982"/>
      <c r="D44" s="1982"/>
      <c r="E44" s="1982"/>
      <c r="F44" s="1982"/>
      <c r="G44" s="1982"/>
      <c r="H44" s="1982"/>
      <c r="I44" s="1982"/>
      <c r="J44" s="1982"/>
      <c r="K44" s="1982"/>
      <c r="L44" s="1982"/>
      <c r="M44" s="1982"/>
      <c r="N44" s="1983"/>
    </row>
    <row r="45" spans="1:14" x14ac:dyDescent="0.2">
      <c r="A45" s="1981" t="s">
        <v>2028</v>
      </c>
      <c r="B45" s="1982"/>
      <c r="C45" s="1982"/>
      <c r="D45" s="1982"/>
      <c r="E45" s="1982"/>
      <c r="F45" s="1982"/>
      <c r="G45" s="1982"/>
      <c r="H45" s="1982"/>
      <c r="I45" s="1982"/>
      <c r="J45" s="1982"/>
      <c r="K45" s="1982"/>
      <c r="L45" s="1982"/>
      <c r="M45" s="1982"/>
      <c r="N45" s="1983"/>
    </row>
    <row r="46" spans="1:14" x14ac:dyDescent="0.2">
      <c r="A46" s="2445" t="s">
        <v>2029</v>
      </c>
      <c r="B46" s="2446"/>
      <c r="C46" s="2446"/>
      <c r="D46" s="2446"/>
      <c r="E46" s="2446"/>
      <c r="F46" s="2446"/>
      <c r="G46" s="2446"/>
      <c r="H46" s="2446"/>
      <c r="I46" s="2446"/>
      <c r="J46" s="2446"/>
      <c r="K46" s="2446"/>
      <c r="L46" s="2446"/>
      <c r="M46" s="2446"/>
      <c r="N46" s="2447"/>
    </row>
    <row r="47" spans="1:14" x14ac:dyDescent="0.2">
      <c r="A47" s="2445"/>
      <c r="B47" s="2446"/>
      <c r="C47" s="2446"/>
      <c r="D47" s="2446"/>
      <c r="E47" s="2446"/>
      <c r="F47" s="2446"/>
      <c r="G47" s="2446"/>
      <c r="H47" s="2446"/>
      <c r="I47" s="2446"/>
      <c r="J47" s="2446"/>
      <c r="K47" s="2446"/>
      <c r="L47" s="2446"/>
      <c r="M47" s="2446"/>
      <c r="N47" s="2447"/>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2045</v>
      </c>
      <c r="B49" s="2023"/>
      <c r="C49" s="2023"/>
      <c r="D49" s="2024"/>
      <c r="E49" s="2024"/>
      <c r="F49" s="2024"/>
      <c r="G49" s="2024"/>
      <c r="H49" s="2024"/>
      <c r="I49" s="2024"/>
      <c r="J49" s="2024"/>
      <c r="K49" s="2024"/>
      <c r="L49" s="2024"/>
      <c r="M49" s="2024"/>
      <c r="N49" s="2025"/>
    </row>
    <row r="50" spans="1:14" ht="15" x14ac:dyDescent="0.25">
      <c r="A50" s="2027" t="s">
        <v>2044</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18" t="str">
        <f>J6</f>
        <v xml:space="preserve">   Lincolnland Technical Ed Ctr</v>
      </c>
      <c r="M52" s="2418"/>
      <c r="N52" s="2448"/>
    </row>
    <row r="53" spans="1:14" x14ac:dyDescent="0.2">
      <c r="A53" s="1981"/>
      <c r="B53" s="1982"/>
      <c r="C53" s="1982"/>
      <c r="D53" s="1982"/>
      <c r="E53" s="1982"/>
      <c r="F53" s="1982"/>
      <c r="G53" s="1982"/>
      <c r="H53" s="1982"/>
      <c r="I53" s="1982"/>
      <c r="J53" s="1982"/>
      <c r="K53" s="1923" t="s">
        <v>369</v>
      </c>
      <c r="L53" s="2423">
        <f>J7</f>
        <v>17054404041</v>
      </c>
      <c r="M53" s="2423"/>
      <c r="N53" s="244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50"/>
      <c r="B55" s="2451"/>
      <c r="C55" s="2451"/>
      <c r="D55" s="1969"/>
      <c r="E55" s="1969"/>
      <c r="F55" s="1969"/>
      <c r="G55" s="2452" t="s">
        <v>2030</v>
      </c>
      <c r="H55" s="2452"/>
      <c r="I55" s="2452"/>
      <c r="J55" s="2452"/>
      <c r="K55" s="2452"/>
      <c r="L55" s="2452"/>
      <c r="M55" s="2452"/>
      <c r="N55" s="2453"/>
    </row>
    <row r="56" spans="1:14" ht="63.75" x14ac:dyDescent="0.2">
      <c r="A56" s="2454" t="s">
        <v>2031</v>
      </c>
      <c r="B56" s="2455"/>
      <c r="C56" s="2456"/>
      <c r="D56" s="1963" t="s">
        <v>2032</v>
      </c>
      <c r="E56" s="1963" t="s">
        <v>2033</v>
      </c>
      <c r="F56" s="1970"/>
      <c r="G56" s="1963" t="s">
        <v>2034</v>
      </c>
      <c r="H56" s="1963" t="s">
        <v>2035</v>
      </c>
      <c r="I56" s="1963" t="s">
        <v>2036</v>
      </c>
      <c r="J56" s="1963" t="s">
        <v>2037</v>
      </c>
      <c r="K56" s="1963" t="s">
        <v>2038</v>
      </c>
      <c r="L56" s="1963" t="s">
        <v>2039</v>
      </c>
      <c r="M56" s="1963" t="s">
        <v>2040</v>
      </c>
      <c r="N56" s="1964" t="s">
        <v>2047</v>
      </c>
    </row>
    <row r="57" spans="1:14" ht="24.75" customHeight="1" x14ac:dyDescent="0.2">
      <c r="A57" s="2457" t="s">
        <v>296</v>
      </c>
      <c r="B57" s="2458"/>
      <c r="C57" s="2458"/>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36" t="s">
        <v>2041</v>
      </c>
      <c r="B58" s="2437"/>
      <c r="C58" s="2437"/>
      <c r="D58" s="1966">
        <v>2362</v>
      </c>
      <c r="E58" s="1976">
        <f>'Expenditures 15-22'!K320</f>
        <v>0</v>
      </c>
      <c r="F58" s="1971"/>
      <c r="G58" s="2030"/>
      <c r="H58" s="2031"/>
      <c r="I58" s="2031"/>
      <c r="J58" s="2031"/>
      <c r="K58" s="2031"/>
      <c r="L58" s="2031"/>
      <c r="M58" s="2031"/>
      <c r="N58" s="1974">
        <f>IF((SUM(G58:M58))=E58,SUM(G58:M58),"Column N does not agree with Column E")</f>
        <v>0</v>
      </c>
    </row>
    <row r="59" spans="1:14" ht="24.75" customHeight="1" x14ac:dyDescent="0.2">
      <c r="A59" s="2459" t="s">
        <v>297</v>
      </c>
      <c r="B59" s="2460"/>
      <c r="C59" s="2460"/>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59" t="s">
        <v>236</v>
      </c>
      <c r="B60" s="2460"/>
      <c r="C60" s="2460"/>
      <c r="D60" s="1966">
        <v>2364</v>
      </c>
      <c r="E60" s="1976">
        <f>'Expenditures 15-22'!K322</f>
        <v>0</v>
      </c>
      <c r="F60" s="1971"/>
      <c r="G60" s="2030"/>
      <c r="H60" s="2031"/>
      <c r="I60" s="2031"/>
      <c r="J60" s="2031"/>
      <c r="K60" s="2031"/>
      <c r="L60" s="2031"/>
      <c r="M60" s="2031"/>
      <c r="N60" s="1974">
        <f t="shared" ref="N60:N67" si="4">IF((SUM(G60:M60))=E60,SUM(G60:M60),"Column N does not agree with Column E")</f>
        <v>0</v>
      </c>
    </row>
    <row r="61" spans="1:14" ht="24.75" customHeight="1" x14ac:dyDescent="0.2">
      <c r="A61" s="2459" t="s">
        <v>697</v>
      </c>
      <c r="B61" s="2460"/>
      <c r="C61" s="2460"/>
      <c r="D61" s="1966">
        <v>2365</v>
      </c>
      <c r="E61" s="1976">
        <f>'Expenditures 15-22'!K323</f>
        <v>0</v>
      </c>
      <c r="F61" s="1971"/>
      <c r="G61" s="2030"/>
      <c r="H61" s="2031"/>
      <c r="I61" s="2031"/>
      <c r="J61" s="2031"/>
      <c r="K61" s="2031"/>
      <c r="L61" s="2031"/>
      <c r="M61" s="2031"/>
      <c r="N61" s="1974">
        <f t="shared" si="4"/>
        <v>0</v>
      </c>
    </row>
    <row r="62" spans="1:14" ht="24" customHeight="1" x14ac:dyDescent="0.2">
      <c r="A62" s="2459" t="s">
        <v>237</v>
      </c>
      <c r="B62" s="2460"/>
      <c r="C62" s="2460"/>
      <c r="D62" s="1966">
        <v>2366</v>
      </c>
      <c r="E62" s="1976">
        <f>'Expenditures 15-22'!K324</f>
        <v>0</v>
      </c>
      <c r="F62" s="1971"/>
      <c r="G62" s="2030"/>
      <c r="H62" s="2031"/>
      <c r="I62" s="2031"/>
      <c r="J62" s="2031"/>
      <c r="K62" s="2031"/>
      <c r="L62" s="2031"/>
      <c r="M62" s="2031"/>
      <c r="N62" s="1974">
        <f t="shared" si="4"/>
        <v>0</v>
      </c>
    </row>
    <row r="63" spans="1:14" ht="24" customHeight="1" x14ac:dyDescent="0.2">
      <c r="A63" s="2436" t="s">
        <v>1022</v>
      </c>
      <c r="B63" s="2437"/>
      <c r="C63" s="2437"/>
      <c r="D63" s="1966">
        <v>2367</v>
      </c>
      <c r="E63" s="1976">
        <f>'Expenditures 15-22'!K325</f>
        <v>0</v>
      </c>
      <c r="F63" s="1971"/>
      <c r="G63" s="2030"/>
      <c r="H63" s="2031"/>
      <c r="I63" s="2031"/>
      <c r="J63" s="2031"/>
      <c r="K63" s="2031"/>
      <c r="L63" s="2031"/>
      <c r="M63" s="2031"/>
      <c r="N63" s="1974">
        <f t="shared" si="4"/>
        <v>0</v>
      </c>
    </row>
    <row r="64" spans="1:14" ht="24" customHeight="1" x14ac:dyDescent="0.2">
      <c r="A64" s="2459" t="s">
        <v>1023</v>
      </c>
      <c r="B64" s="2460"/>
      <c r="C64" s="2460"/>
      <c r="D64" s="1966">
        <v>2368</v>
      </c>
      <c r="E64" s="1976">
        <f>'Expenditures 15-22'!K326</f>
        <v>0</v>
      </c>
      <c r="F64" s="1971"/>
      <c r="G64" s="2030"/>
      <c r="H64" s="2031"/>
      <c r="I64" s="2031"/>
      <c r="J64" s="2031"/>
      <c r="K64" s="2031"/>
      <c r="L64" s="2031"/>
      <c r="M64" s="2031"/>
      <c r="N64" s="1974">
        <f t="shared" si="4"/>
        <v>0</v>
      </c>
    </row>
    <row r="65" spans="1:14" ht="24" customHeight="1" x14ac:dyDescent="0.2">
      <c r="A65" s="2459" t="s">
        <v>965</v>
      </c>
      <c r="B65" s="2460"/>
      <c r="C65" s="2460"/>
      <c r="D65" s="1966">
        <v>2369</v>
      </c>
      <c r="E65" s="1976">
        <f>'Expenditures 15-22'!K327</f>
        <v>0</v>
      </c>
      <c r="F65" s="1971"/>
      <c r="G65" s="2030"/>
      <c r="H65" s="2031"/>
      <c r="I65" s="2031"/>
      <c r="J65" s="2031"/>
      <c r="K65" s="2031"/>
      <c r="L65" s="2031"/>
      <c r="M65" s="2031"/>
      <c r="N65" s="1974">
        <f t="shared" si="4"/>
        <v>0</v>
      </c>
    </row>
    <row r="66" spans="1:14" ht="24" customHeight="1" x14ac:dyDescent="0.2">
      <c r="A66" s="2459" t="s">
        <v>469</v>
      </c>
      <c r="B66" s="2460"/>
      <c r="C66" s="2460"/>
      <c r="D66" s="1966">
        <v>2371</v>
      </c>
      <c r="E66" s="1976">
        <f>'Expenditures 15-22'!K328</f>
        <v>0</v>
      </c>
      <c r="F66" s="1971"/>
      <c r="G66" s="2030"/>
      <c r="H66" s="2031"/>
      <c r="I66" s="2031"/>
      <c r="J66" s="2031"/>
      <c r="K66" s="2031"/>
      <c r="L66" s="2031"/>
      <c r="M66" s="2031"/>
      <c r="N66" s="1974">
        <f t="shared" si="4"/>
        <v>0</v>
      </c>
    </row>
    <row r="67" spans="1:14" ht="24.75" customHeight="1" x14ac:dyDescent="0.2">
      <c r="A67" s="2461" t="s">
        <v>2042</v>
      </c>
      <c r="B67" s="2462"/>
      <c r="C67" s="2462"/>
      <c r="D67" s="1968">
        <v>2372</v>
      </c>
      <c r="E67" s="1977">
        <f>'Expenditures 15-22'!K329</f>
        <v>0</v>
      </c>
      <c r="F67" s="1971"/>
      <c r="G67" s="2032"/>
      <c r="H67" s="2033"/>
      <c r="I67" s="2033"/>
      <c r="J67" s="2033"/>
      <c r="K67" s="2033"/>
      <c r="L67" s="2033"/>
      <c r="M67" s="2033"/>
      <c r="N67" s="1974">
        <f t="shared" si="4"/>
        <v>0</v>
      </c>
    </row>
    <row r="68" spans="1:14" x14ac:dyDescent="0.2">
      <c r="A68" s="2463" t="s">
        <v>1151</v>
      </c>
      <c r="B68" s="2464"/>
      <c r="C68" s="2464"/>
      <c r="D68" s="1969"/>
      <c r="E68" s="1973">
        <f>SUM(E57:E67)</f>
        <v>0</v>
      </c>
      <c r="F68" s="1972"/>
      <c r="G68" s="1973">
        <f t="shared" ref="G68:N68" si="5">SUM(G57:G67)</f>
        <v>0</v>
      </c>
      <c r="H68" s="1973">
        <f t="shared" si="5"/>
        <v>0</v>
      </c>
      <c r="I68" s="1973">
        <f t="shared" si="5"/>
        <v>0</v>
      </c>
      <c r="J68" s="1973">
        <f t="shared" si="5"/>
        <v>0</v>
      </c>
      <c r="K68" s="1973">
        <f t="shared" si="5"/>
        <v>0</v>
      </c>
      <c r="L68" s="1973">
        <f t="shared" si="5"/>
        <v>0</v>
      </c>
      <c r="M68" s="1973">
        <f t="shared" si="5"/>
        <v>0</v>
      </c>
      <c r="N68" s="1987">
        <f t="shared" si="5"/>
        <v>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2043</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25" top="0.7" bottom="0.25" header="0.4" footer="0.25"/>
  <pageSetup scale="76"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6"/>
  <sheetViews>
    <sheetView showGridLines="0" zoomScale="110" zoomScaleNormal="110" workbookViewId="0">
      <selection activeCell="A3" sqref="A3:F3"/>
    </sheetView>
  </sheetViews>
  <sheetFormatPr defaultRowHeight="12.75" x14ac:dyDescent="0.2"/>
  <cols>
    <col min="1" max="1" width="3" style="307" customWidth="1"/>
    <col min="2" max="2" width="3.5703125" style="307" customWidth="1"/>
    <col min="3" max="3" width="71.7109375" style="307" customWidth="1"/>
    <col min="4" max="4" width="14.5703125" style="307" customWidth="1"/>
    <col min="5" max="16384" width="9.140625" style="307"/>
  </cols>
  <sheetData>
    <row r="2" spans="1:4" x14ac:dyDescent="0.2">
      <c r="A2" s="366" t="s">
        <v>256</v>
      </c>
    </row>
    <row r="3" spans="1:4" x14ac:dyDescent="0.2">
      <c r="A3" s="307" t="s">
        <v>257</v>
      </c>
    </row>
    <row r="5" spans="1:4" x14ac:dyDescent="0.2">
      <c r="A5" s="848">
        <v>1</v>
      </c>
      <c r="B5" s="307" t="s">
        <v>2075</v>
      </c>
    </row>
    <row r="6" spans="1:4" x14ac:dyDescent="0.2">
      <c r="A6" s="848">
        <v>2</v>
      </c>
      <c r="B6" s="307" t="s">
        <v>2076</v>
      </c>
      <c r="D6" s="175"/>
    </row>
    <row r="7" spans="1:4" x14ac:dyDescent="0.2">
      <c r="A7" s="848">
        <v>3</v>
      </c>
      <c r="B7" s="307" t="s">
        <v>2077</v>
      </c>
    </row>
    <row r="8" spans="1:4" x14ac:dyDescent="0.2">
      <c r="A8" s="848"/>
    </row>
    <row r="9" spans="1:4" x14ac:dyDescent="0.2">
      <c r="A9" s="847"/>
    </row>
    <row r="10" spans="1:4" x14ac:dyDescent="0.2">
      <c r="A10" s="848"/>
    </row>
    <row r="11" spans="1:4" x14ac:dyDescent="0.2">
      <c r="A11" s="848"/>
    </row>
    <row r="12" spans="1:4" x14ac:dyDescent="0.2">
      <c r="A12" s="848"/>
    </row>
    <row r="13" spans="1:4" x14ac:dyDescent="0.2">
      <c r="A13" s="848"/>
    </row>
    <row r="14" spans="1:4" x14ac:dyDescent="0.2">
      <c r="A14" s="848"/>
    </row>
    <row r="15" spans="1:4" x14ac:dyDescent="0.2">
      <c r="A15" s="848"/>
    </row>
    <row r="16" spans="1:4"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Lincolnland Technical Ed Ctr</v>
      </c>
    </row>
    <row r="66" spans="1:2" x14ac:dyDescent="0.2">
      <c r="B66" s="849">
        <f>COVER!A13</f>
        <v>17054404041</v>
      </c>
    </row>
  </sheetData>
  <phoneticPr fontId="16" type="noConversion"/>
  <pageMargins left="0.6" right="0.25" top="0.75" bottom="0.75" header="0.3" footer="0.3"/>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3" sqref="A3:F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3" sqref="B23"/>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5" t="s">
        <v>1665</v>
      </c>
      <c r="B18" s="2465"/>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6330" r:id="rId4">
          <objectPr defaultSize="0" r:id="rId5">
            <anchor moveWithCells="1">
              <from>
                <xdr:col>1</xdr:col>
                <xdr:colOff>28575</xdr:colOff>
                <xdr:row>6</xdr:row>
                <xdr:rowOff>76200</xdr:rowOff>
              </from>
              <to>
                <xdr:col>1</xdr:col>
                <xdr:colOff>942975</xdr:colOff>
                <xdr:row>10</xdr:row>
                <xdr:rowOff>114300</xdr:rowOff>
              </to>
            </anchor>
          </objectPr>
        </oleObject>
      </mc:Choice>
      <mc:Fallback>
        <oleObject progId="Acrobat Document" dvAspect="DVASPECT_ICON" shapeId="56330" r:id="rId4"/>
      </mc:Fallback>
    </mc:AlternateContent>
    <mc:AlternateContent xmlns:mc="http://schemas.openxmlformats.org/markup-compatibility/2006">
      <mc:Choice Requires="x14">
        <oleObject progId="Acrobat Document" dvAspect="DVASPECT_ICON" shapeId="56331" r:id="rId6">
          <objectPr defaultSize="0" r:id="rId7">
            <anchor moveWithCells="1">
              <from>
                <xdr:col>1</xdr:col>
                <xdr:colOff>1209675</xdr:colOff>
                <xdr:row>6</xdr:row>
                <xdr:rowOff>85725</xdr:rowOff>
              </from>
              <to>
                <xdr:col>1</xdr:col>
                <xdr:colOff>2124075</xdr:colOff>
                <xdr:row>10</xdr:row>
                <xdr:rowOff>123825</xdr:rowOff>
              </to>
            </anchor>
          </objectPr>
        </oleObject>
      </mc:Choice>
      <mc:Fallback>
        <oleObject progId="Acrobat Document" dvAspect="DVASPECT_ICON" shapeId="56331" r:id="rId6"/>
      </mc:Fallback>
    </mc:AlternateContent>
    <mc:AlternateContent xmlns:mc="http://schemas.openxmlformats.org/markup-compatibility/2006">
      <mc:Choice Requires="x14">
        <oleObject progId="Acrobat Document" dvAspect="DVASPECT_ICON" shapeId="56332" r:id="rId8">
          <objectPr defaultSize="0" r:id="rId9">
            <anchor moveWithCells="1">
              <from>
                <xdr:col>1</xdr:col>
                <xdr:colOff>57150</xdr:colOff>
                <xdr:row>1</xdr:row>
                <xdr:rowOff>28575</xdr:rowOff>
              </from>
              <to>
                <xdr:col>1</xdr:col>
                <xdr:colOff>971550</xdr:colOff>
                <xdr:row>5</xdr:row>
                <xdr:rowOff>66675</xdr:rowOff>
              </to>
            </anchor>
          </objectPr>
        </oleObject>
      </mc:Choice>
      <mc:Fallback>
        <oleObject progId="Acrobat Document" dvAspect="DVASPECT_ICON" shapeId="56332" r:id="rId8"/>
      </mc:Fallback>
    </mc:AlternateContent>
    <mc:AlternateContent xmlns:mc="http://schemas.openxmlformats.org/markup-compatibility/2006">
      <mc:Choice Requires="x14">
        <oleObject progId="Acrobat Document" dvAspect="DVASPECT_ICON" shapeId="56333" r:id="rId10">
          <objectPr defaultSize="0" r:id="rId11">
            <anchor moveWithCells="1">
              <from>
                <xdr:col>1</xdr:col>
                <xdr:colOff>1228725</xdr:colOff>
                <xdr:row>1</xdr:row>
                <xdr:rowOff>47625</xdr:rowOff>
              </from>
              <to>
                <xdr:col>1</xdr:col>
                <xdr:colOff>2143125</xdr:colOff>
                <xdr:row>5</xdr:row>
                <xdr:rowOff>85725</xdr:rowOff>
              </to>
            </anchor>
          </objectPr>
        </oleObject>
      </mc:Choice>
      <mc:Fallback>
        <oleObject progId="Acrobat Document" dvAspect="DVASPECT_ICON" shapeId="56333"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3" sqref="A3:F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6" t="s">
        <v>1669</v>
      </c>
      <c r="B1" s="2467"/>
      <c r="C1" s="2467"/>
      <c r="D1" s="2467"/>
      <c r="E1" s="2467"/>
      <c r="F1" s="2468"/>
    </row>
    <row r="2" spans="1:8" ht="45" customHeight="1" x14ac:dyDescent="0.2">
      <c r="A2" s="247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7"/>
      <c r="C2" s="2477"/>
      <c r="D2" s="2477"/>
      <c r="E2" s="2477"/>
      <c r="F2" s="2478"/>
      <c r="G2" s="853"/>
      <c r="H2" s="853"/>
    </row>
    <row r="3" spans="1:8" ht="57" customHeight="1" x14ac:dyDescent="0.2">
      <c r="A3" s="2479" t="s">
        <v>1972</v>
      </c>
      <c r="B3" s="2480"/>
      <c r="C3" s="2480"/>
      <c r="D3" s="2480"/>
      <c r="E3" s="2480"/>
      <c r="F3" s="2481"/>
      <c r="G3" s="853"/>
      <c r="H3" s="853"/>
    </row>
    <row r="4" spans="1:8" ht="14.25" customHeight="1" x14ac:dyDescent="0.2">
      <c r="A4" s="248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6"/>
      <c r="C4" s="2486"/>
      <c r="D4" s="2486"/>
      <c r="E4" s="2486"/>
      <c r="F4" s="2487"/>
      <c r="G4" s="853"/>
      <c r="H4" s="853"/>
    </row>
    <row r="5" spans="1:8" ht="14.25" customHeight="1" x14ac:dyDescent="0.2">
      <c r="A5" s="248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9"/>
      <c r="C5" s="2489"/>
      <c r="D5" s="2489"/>
      <c r="E5" s="2489"/>
      <c r="F5" s="2490"/>
      <c r="G5" s="853"/>
      <c r="H5" s="853"/>
    </row>
    <row r="6" spans="1:8" s="854" customFormat="1" ht="41.25" customHeight="1" x14ac:dyDescent="0.2">
      <c r="A6" s="2482" t="s">
        <v>1670</v>
      </c>
      <c r="B6" s="2483"/>
      <c r="C6" s="2483"/>
      <c r="D6" s="2483"/>
      <c r="E6" s="2483"/>
      <c r="F6" s="2484"/>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569774</v>
      </c>
      <c r="C8" s="1813">
        <f>'Acct Summary 7-8'!D8</f>
        <v>0</v>
      </c>
      <c r="D8" s="1813">
        <f>'Acct Summary 7-8'!F8</f>
        <v>0</v>
      </c>
      <c r="E8" s="1813">
        <f>'Acct Summary 7-8'!I8</f>
        <v>0</v>
      </c>
      <c r="F8" s="1813">
        <f>SUM(B8:E8)</f>
        <v>569774</v>
      </c>
    </row>
    <row r="9" spans="1:8" s="858" customFormat="1" ht="14.25" customHeight="1" thickBot="1" x14ac:dyDescent="0.25">
      <c r="A9" s="857" t="s">
        <v>1353</v>
      </c>
      <c r="B9" s="1814">
        <f>'Acct Summary 7-8'!C17</f>
        <v>473610</v>
      </c>
      <c r="C9" s="1814">
        <f>'Acct Summary 7-8'!D17</f>
        <v>0</v>
      </c>
      <c r="D9" s="1814">
        <f>'Acct Summary 7-8'!F17</f>
        <v>0</v>
      </c>
      <c r="E9" s="1813"/>
      <c r="F9" s="1813">
        <f>SUM(B9:E9)</f>
        <v>473610</v>
      </c>
    </row>
    <row r="10" spans="1:8" s="858" customFormat="1" ht="14.25" thickTop="1" thickBot="1" x14ac:dyDescent="0.25">
      <c r="A10" s="859" t="s">
        <v>1354</v>
      </c>
      <c r="B10" s="1815">
        <f>(B8-B9)</f>
        <v>96164</v>
      </c>
      <c r="C10" s="1815">
        <f>(C8-C9)</f>
        <v>0</v>
      </c>
      <c r="D10" s="1815">
        <f>(D8-D9)</f>
        <v>0</v>
      </c>
      <c r="E10" s="1814">
        <f>(E8-E9)</f>
        <v>0</v>
      </c>
      <c r="F10" s="1816">
        <f>SUM(F8-F9)</f>
        <v>96164</v>
      </c>
    </row>
    <row r="11" spans="1:8" s="858" customFormat="1" ht="14.25" thickTop="1" thickBot="1" x14ac:dyDescent="0.25">
      <c r="A11" s="860" t="s">
        <v>1903</v>
      </c>
      <c r="B11" s="1817">
        <f>'Acct Summary 7-8'!C81</f>
        <v>258686</v>
      </c>
      <c r="C11" s="1817">
        <f>'Acct Summary 7-8'!D81</f>
        <v>0</v>
      </c>
      <c r="D11" s="1817">
        <f>'Acct Summary 7-8'!F81</f>
        <v>0</v>
      </c>
      <c r="E11" s="1817">
        <f>'Acct Summary 7-8'!I81</f>
        <v>0</v>
      </c>
      <c r="F11" s="1818">
        <f>SUM(B11:E11)</f>
        <v>258686</v>
      </c>
    </row>
    <row r="12" spans="1:8" ht="16.5" customHeight="1" thickTop="1" x14ac:dyDescent="0.2">
      <c r="A12" s="861"/>
      <c r="B12" s="862"/>
      <c r="C12" s="2470" t="str">
        <f>IF(AND(F10&lt;0,F11&gt;=0,ABS(F10*3)&gt;ABS(F11)),A16,IF(AND(F10&lt;0,F11&gt;0,ABS(F10*3)&lt;=ABS(F11)),A17,IF(AND(F10&lt;0,F11&lt;0),A16,IF(F11=0,A19,A18))))</f>
        <v>Balanced - no deficit reduction plan is required.</v>
      </c>
      <c r="D12" s="2471"/>
      <c r="E12" s="2471"/>
      <c r="F12" s="2472"/>
    </row>
    <row r="13" spans="1:8" ht="19.5" customHeight="1" x14ac:dyDescent="0.2">
      <c r="A13" s="863"/>
      <c r="B13" s="864"/>
      <c r="C13" s="2470"/>
      <c r="D13" s="2471"/>
      <c r="E13" s="2471"/>
      <c r="F13" s="2472"/>
      <c r="H13" s="853"/>
    </row>
    <row r="14" spans="1:8" ht="19.5" customHeight="1" x14ac:dyDescent="0.2">
      <c r="A14" s="863"/>
      <c r="B14" s="864"/>
      <c r="C14" s="2470"/>
      <c r="D14" s="2471"/>
      <c r="E14" s="2471"/>
      <c r="F14" s="2472"/>
      <c r="H14" s="853"/>
    </row>
    <row r="15" spans="1:8" ht="17.25" customHeight="1" x14ac:dyDescent="0.2">
      <c r="A15" s="863"/>
      <c r="B15" s="864"/>
      <c r="C15" s="2473"/>
      <c r="D15" s="2474"/>
      <c r="E15" s="2474"/>
      <c r="F15" s="2475"/>
      <c r="H15" s="853"/>
    </row>
    <row r="16" spans="1:8" s="288" customFormat="1" ht="51.75" hidden="1" customHeight="1" x14ac:dyDescent="0.2">
      <c r="A16" s="2469" t="s">
        <v>1666</v>
      </c>
      <c r="B16" s="2469"/>
      <c r="C16" s="2469"/>
      <c r="D16" s="2469"/>
      <c r="E16" s="2469"/>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A3" sqref="A3:D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1" t="s">
        <v>660</v>
      </c>
      <c r="B3" s="2492"/>
      <c r="C3" s="2492"/>
      <c r="D3" s="2493"/>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2" t="s">
        <v>1487</v>
      </c>
      <c r="D7" s="2503"/>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4" t="s">
        <v>1001</v>
      </c>
      <c r="B15" s="2495"/>
      <c r="C15" s="2495"/>
      <c r="D15" s="2496"/>
    </row>
    <row r="16" spans="1:4" s="542" customFormat="1" ht="24" customHeight="1" x14ac:dyDescent="0.2">
      <c r="A16" s="2497" t="s">
        <v>658</v>
      </c>
      <c r="B16" s="2498"/>
      <c r="C16" s="2498"/>
      <c r="D16" s="2499"/>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6" t="s">
        <v>311</v>
      </c>
      <c r="D21" s="2507"/>
    </row>
    <row r="22" spans="1:10" ht="12.75" x14ac:dyDescent="0.2">
      <c r="A22" s="918"/>
      <c r="B22" s="919">
        <v>2</v>
      </c>
      <c r="C22" s="2504" t="s">
        <v>1507</v>
      </c>
      <c r="D22" s="2505"/>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8" t="s">
        <v>533</v>
      </c>
      <c r="D43" s="2509"/>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0" t="s">
        <v>779</v>
      </c>
      <c r="D56" s="2501"/>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0" t="s">
        <v>1674</v>
      </c>
      <c r="D70" s="2501"/>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ENTRY IS REQUIRED!</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0" t="str">
        <f>IF('Contracts Paid in CY 29'!$D$25&gt;0,"OK","PLEASE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IF(COVER!B5="X",IF(#REF!=0,"ENTER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899" t="s">
        <v>1978</v>
      </c>
    </row>
    <row r="2" spans="1:7" ht="15.75" x14ac:dyDescent="0.25">
      <c r="A2" t="s">
        <v>260</v>
      </c>
      <c r="B2" s="135">
        <f>COVER!A13</f>
        <v>17054404041</v>
      </c>
      <c r="E2" s="1542">
        <v>2020</v>
      </c>
      <c r="F2" s="1542">
        <v>1</v>
      </c>
      <c r="G2" s="1898">
        <v>101000300</v>
      </c>
    </row>
    <row r="3" spans="1:7" ht="15" x14ac:dyDescent="0.25">
      <c r="A3" t="s">
        <v>950</v>
      </c>
      <c r="B3" s="135" t="str">
        <f>COVER!A15</f>
        <v>LOGAN</v>
      </c>
      <c r="E3" s="1830" t="s">
        <v>1971</v>
      </c>
      <c r="F3" s="1830" t="s">
        <v>1970</v>
      </c>
      <c r="G3" s="1898">
        <v>101000400</v>
      </c>
    </row>
    <row r="4" spans="1:7" ht="15" x14ac:dyDescent="0.25">
      <c r="A4" t="s">
        <v>1000</v>
      </c>
      <c r="B4" s="135" t="str">
        <f>COVER!A17</f>
        <v xml:space="preserve">   Lincolnland Technical Ed Ctr</v>
      </c>
      <c r="E4" s="1828">
        <v>44119</v>
      </c>
      <c r="F4" s="1829">
        <v>44151</v>
      </c>
      <c r="G4" s="1898">
        <v>101000600</v>
      </c>
    </row>
    <row r="5" spans="1:7" ht="15" x14ac:dyDescent="0.25">
      <c r="A5" t="s">
        <v>699</v>
      </c>
      <c r="B5" s="135" t="str">
        <f>COVER!A38</f>
        <v>R. MATTHEW PUCKETT</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t="str">
        <f>COVER!T38</f>
        <v>MARK JONTRY</v>
      </c>
      <c r="G8" s="1898">
        <v>102100600</v>
      </c>
    </row>
    <row r="9" spans="1:7" ht="15" x14ac:dyDescent="0.25">
      <c r="A9" s="3" t="s">
        <v>951</v>
      </c>
      <c r="B9" s="153" t="str">
        <f>AUDITCHECK!D23</f>
        <v>CASH</v>
      </c>
      <c r="G9" s="1898">
        <v>102100800</v>
      </c>
    </row>
    <row r="10" spans="1:7" ht="15" x14ac:dyDescent="0.25">
      <c r="A10" t="s">
        <v>970</v>
      </c>
      <c r="B10" s="135">
        <f>COVER!B5</f>
        <v>0</v>
      </c>
      <c r="G10" s="1898">
        <v>202100300</v>
      </c>
    </row>
    <row r="11" spans="1:7" ht="15" x14ac:dyDescent="0.25">
      <c r="A11" t="s">
        <v>971</v>
      </c>
      <c r="B11" s="135" t="str">
        <f>COVER!B6</f>
        <v>x</v>
      </c>
      <c r="G11" s="1898">
        <v>202100400</v>
      </c>
    </row>
    <row r="12" spans="1:7" ht="15" x14ac:dyDescent="0.25">
      <c r="A12" s="1" t="s">
        <v>1526</v>
      </c>
      <c r="B12" s="135" t="str">
        <f>IF(COVER!J29="x","Yes",IF(COVER!L29="X","No",0))</f>
        <v>No</v>
      </c>
      <c r="G12" s="1898">
        <v>202100600</v>
      </c>
    </row>
    <row r="13" spans="1:7" ht="15" x14ac:dyDescent="0.25">
      <c r="A13" s="1" t="s">
        <v>1527</v>
      </c>
      <c r="B13" s="135" t="str">
        <f>IF(COVER!J30="x","Yes",IF(COVER!L30="x","No",0))</f>
        <v>No</v>
      </c>
      <c r="G13" s="1898">
        <v>202100800</v>
      </c>
    </row>
    <row r="14" spans="1:7" ht="15" x14ac:dyDescent="0.25">
      <c r="A14" t="s">
        <v>473</v>
      </c>
      <c r="B14" s="135" t="str">
        <f>IF(COVER!J31="x","Yes",IF(COVER!L31="x","No",0))</f>
        <v>No</v>
      </c>
      <c r="G14" s="1898">
        <v>402100300</v>
      </c>
    </row>
    <row r="15" spans="1:7" ht="15" x14ac:dyDescent="0.25">
      <c r="A15" t="s">
        <v>573</v>
      </c>
      <c r="B15" s="135" t="str">
        <f>COVER!T23</f>
        <v>066-005243</v>
      </c>
      <c r="G15" s="1898">
        <v>402100400</v>
      </c>
    </row>
    <row r="16" spans="1:7" ht="15" x14ac:dyDescent="0.25">
      <c r="A16" t="s">
        <v>419</v>
      </c>
      <c r="B16" s="135" t="str">
        <f>COVER!T13</f>
        <v>J.M. ABBOTT &amp; ASSOCIATES, LTD</v>
      </c>
      <c r="G16" s="1898">
        <v>402100600</v>
      </c>
    </row>
    <row r="17" spans="1:7" ht="15" x14ac:dyDescent="0.25">
      <c r="A17" t="s">
        <v>878</v>
      </c>
      <c r="B17" s="135" t="str">
        <f>COVER!T15</f>
        <v>DEBRA LAST</v>
      </c>
      <c r="G17" s="1898">
        <v>402100800</v>
      </c>
    </row>
    <row r="18" spans="1:7" ht="15" x14ac:dyDescent="0.25">
      <c r="A18" t="s">
        <v>1140</v>
      </c>
      <c r="B18" s="135" t="str">
        <f>COVER!T17</f>
        <v>207 S. MCLEAN ST</v>
      </c>
      <c r="G18" s="1898">
        <v>102200300</v>
      </c>
    </row>
    <row r="19" spans="1:7" ht="15" x14ac:dyDescent="0.25">
      <c r="A19" t="s">
        <v>880</v>
      </c>
      <c r="B19" s="135" t="str">
        <f>COVER!T25</f>
        <v>debbie@jmabbott.com</v>
      </c>
      <c r="G19" s="1898">
        <v>102200400</v>
      </c>
    </row>
    <row r="20" spans="1:7" ht="15" x14ac:dyDescent="0.25">
      <c r="A20" t="s">
        <v>881</v>
      </c>
      <c r="B20" s="135" t="str">
        <f>COVER!T19</f>
        <v>LINCOLN</v>
      </c>
      <c r="G20" s="1898">
        <v>102200600</v>
      </c>
    </row>
    <row r="21" spans="1:7" ht="15" x14ac:dyDescent="0.25">
      <c r="A21" t="s">
        <v>476</v>
      </c>
      <c r="B21" s="135" t="str">
        <f>COVER!X19</f>
        <v>IL</v>
      </c>
      <c r="G21" s="1898">
        <v>102200800</v>
      </c>
    </row>
    <row r="22" spans="1:7" ht="15" x14ac:dyDescent="0.25">
      <c r="A22" t="s">
        <v>882</v>
      </c>
      <c r="B22" s="135">
        <f>COVER!Z19</f>
        <v>62656</v>
      </c>
      <c r="G22" s="1898">
        <v>102300300</v>
      </c>
    </row>
    <row r="23" spans="1:7" ht="15" x14ac:dyDescent="0.25">
      <c r="A23" t="s">
        <v>1142</v>
      </c>
      <c r="B23" s="135" t="str">
        <f>COVER!T21</f>
        <v>217-735-1576</v>
      </c>
      <c r="G23" s="1898">
        <v>102300400</v>
      </c>
    </row>
    <row r="24" spans="1:7" ht="15" x14ac:dyDescent="0.25">
      <c r="A24" t="s">
        <v>1141</v>
      </c>
      <c r="B24" s="135">
        <f>COVER!Y21</f>
        <v>0</v>
      </c>
      <c r="G24" s="1898">
        <v>102300600</v>
      </c>
    </row>
    <row r="25" spans="1:7" ht="15" x14ac:dyDescent="0.25">
      <c r="A25" t="s">
        <v>756</v>
      </c>
      <c r="B25" s="135" t="str">
        <f>COVER!B34</f>
        <v>X</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Yes</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0</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281483</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122</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22797</v>
      </c>
      <c r="C91" s="2" t="s">
        <v>569</v>
      </c>
      <c r="D91" s="2" t="str">
        <f t="shared" si="0"/>
        <v>Error?</v>
      </c>
      <c r="G91" s="1898">
        <v>102640400</v>
      </c>
    </row>
    <row r="92" spans="1:7" ht="15" x14ac:dyDescent="0.25">
      <c r="A92" s="5">
        <v>31</v>
      </c>
      <c r="B92" s="1832">
        <f>'Assets-Liab 5-6'!C39</f>
        <v>258686</v>
      </c>
      <c r="D92" s="2" t="str">
        <f t="shared" si="0"/>
        <v>Error?</v>
      </c>
      <c r="G92" s="1898">
        <v>102640600</v>
      </c>
    </row>
    <row r="93" spans="1:7" ht="15" x14ac:dyDescent="0.25">
      <c r="A93" s="5">
        <v>32</v>
      </c>
      <c r="B93" s="1832">
        <f>'Assets-Liab 5-6'!C41</f>
        <v>281483</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0</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0</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0</v>
      </c>
      <c r="D123" s="2" t="str">
        <f t="shared" si="0"/>
        <v>Error?</v>
      </c>
      <c r="G123" s="1898">
        <v>203000400</v>
      </c>
    </row>
    <row r="124" spans="1:7" ht="15" x14ac:dyDescent="0.25">
      <c r="A124" s="5">
        <v>63</v>
      </c>
      <c r="B124" s="1832">
        <f>'Assets-Liab 5-6'!D41</f>
        <v>0</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0</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15589</v>
      </c>
      <c r="D274" s="2" t="str">
        <f t="shared" si="3"/>
        <v>Error?</v>
      </c>
    </row>
    <row r="275" spans="1:4" x14ac:dyDescent="0.2">
      <c r="A275" s="5">
        <v>214</v>
      </c>
      <c r="B275" s="1832">
        <f>'Assets-Liab 5-6'!M18</f>
        <v>0</v>
      </c>
      <c r="D275" s="2" t="str">
        <f t="shared" si="3"/>
        <v>Error?</v>
      </c>
    </row>
    <row r="276" spans="1:4" x14ac:dyDescent="0.2">
      <c r="A276" s="5">
        <v>215</v>
      </c>
      <c r="B276" s="1832">
        <f>'Assets-Liab 5-6'!M19</f>
        <v>364093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379682</v>
      </c>
      <c r="C279" s="2" t="s">
        <v>569</v>
      </c>
      <c r="D279" s="2" t="str">
        <f t="shared" si="3"/>
        <v>Error?</v>
      </c>
    </row>
    <row r="280" spans="1:4" x14ac:dyDescent="0.2">
      <c r="A280" s="5">
        <v>219</v>
      </c>
      <c r="B280" s="1832">
        <f>'Assets-Liab 5-6'!M40</f>
        <v>379682</v>
      </c>
      <c r="D280" s="2" t="str">
        <f t="shared" si="3"/>
        <v>Error?</v>
      </c>
    </row>
    <row r="281" spans="1:4" x14ac:dyDescent="0.2">
      <c r="A281" s="5">
        <v>220</v>
      </c>
      <c r="B281" s="1832">
        <f>'Assets-Liab 5-6'!M41</f>
        <v>379682</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177474</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177474</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46244</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13012</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13012</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59256</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236730</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23399</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23399</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10783</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10783</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34182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22127</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22127</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3222</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7824</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409</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409</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8233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30360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168251</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168251</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46</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3991</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3991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4037</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172288</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50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50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50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391251</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391251</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0</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0</v>
      </c>
      <c r="C1119" s="2" t="s">
        <v>569</v>
      </c>
      <c r="D1119" s="2" t="str">
        <f t="shared" si="16"/>
        <v>Error?</v>
      </c>
    </row>
    <row r="1120" spans="1:4" x14ac:dyDescent="0.2">
      <c r="A1120" s="5">
        <v>1059</v>
      </c>
      <c r="B1120" s="1832">
        <f>'Expenditures 15-22'!K49</f>
        <v>3222</v>
      </c>
      <c r="C1120" s="2" t="s">
        <v>569</v>
      </c>
      <c r="D1120" s="2" t="str">
        <f t="shared" si="16"/>
        <v>Error?</v>
      </c>
    </row>
    <row r="1121" spans="1:4" x14ac:dyDescent="0.2">
      <c r="A1121" s="5">
        <v>1060</v>
      </c>
      <c r="B1121" s="1832">
        <f>'Expenditures 15-22'!K50</f>
        <v>0</v>
      </c>
      <c r="C1121" s="2" t="s">
        <v>569</v>
      </c>
      <c r="D1121" s="2" t="str">
        <f t="shared" si="16"/>
        <v>Error?</v>
      </c>
    </row>
    <row r="1122" spans="1:4" x14ac:dyDescent="0.2">
      <c r="A1122" s="5">
        <v>1061</v>
      </c>
      <c r="B1122" s="1832">
        <f>'Expenditures 15-22'!K53</f>
        <v>64947</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0</v>
      </c>
      <c r="C1127" s="2" t="s">
        <v>569</v>
      </c>
      <c r="D1127" s="2" t="str">
        <f t="shared" si="16"/>
        <v>Error?</v>
      </c>
    </row>
    <row r="1128" spans="1:4" x14ac:dyDescent="0.2">
      <c r="A1128" s="5">
        <v>1067</v>
      </c>
      <c r="B1128" s="1832">
        <f>'Expenditures 15-22'!K61</f>
        <v>3991</v>
      </c>
      <c r="C1128" s="2" t="s">
        <v>569</v>
      </c>
      <c r="D1128" s="2" t="str">
        <f t="shared" si="16"/>
        <v>Error?</v>
      </c>
    </row>
    <row r="1129" spans="1:4" x14ac:dyDescent="0.2">
      <c r="A1129" s="5">
        <v>1068</v>
      </c>
      <c r="B1129" s="1832">
        <f>'Expenditures 15-22'!K62</f>
        <v>409</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4400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13012</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13012</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82359</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473610</v>
      </c>
      <c r="C1152" s="2" t="s">
        <v>569</v>
      </c>
      <c r="D1152" s="2" t="str">
        <f t="shared" si="17"/>
        <v>Error?</v>
      </c>
    </row>
    <row r="1153" spans="1:4" x14ac:dyDescent="0.2">
      <c r="A1153" s="5">
        <v>1092</v>
      </c>
      <c r="B1153" s="1832">
        <f>'Expenditures 15-22'!K115</f>
        <v>96164</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150904</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258686</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15589</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375711</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391300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11618</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11618</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15589</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364093</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379682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13096</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341880</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354976</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312</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3845</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4157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1162</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1162</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13408</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344563</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357971</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2181</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19530</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21711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415030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154744</v>
      </c>
      <c r="C2553" s="2" t="s">
        <v>569</v>
      </c>
      <c r="D2553" s="2" t="str">
        <f t="shared" si="38"/>
        <v>Error?</v>
      </c>
    </row>
    <row r="2554" spans="1:4" x14ac:dyDescent="0.2">
      <c r="A2554" s="5">
        <v>2493</v>
      </c>
      <c r="B2554" s="1832">
        <f>'Acct Summary 7-8'!C7</f>
        <v>0</v>
      </c>
      <c r="C2554" s="2" t="s">
        <v>569</v>
      </c>
      <c r="D2554" s="2" t="str">
        <f t="shared" si="38"/>
        <v>Error?</v>
      </c>
    </row>
    <row r="2555" spans="1:4" x14ac:dyDescent="0.2">
      <c r="A2555" s="5">
        <v>2494</v>
      </c>
      <c r="B2555" s="1832">
        <f>'Acct Summary 7-8'!C8</f>
        <v>569774</v>
      </c>
      <c r="C2555" s="2" t="s">
        <v>569</v>
      </c>
      <c r="D2555" s="2" t="str">
        <f t="shared" si="38"/>
        <v>Error?</v>
      </c>
    </row>
    <row r="2556" spans="1:4" x14ac:dyDescent="0.2">
      <c r="A2556" s="5">
        <v>2495</v>
      </c>
      <c r="B2556" s="1832">
        <f>'Acct Summary 7-8'!C12</f>
        <v>391251</v>
      </c>
      <c r="C2556" s="2" t="s">
        <v>569</v>
      </c>
      <c r="D2556" s="2" t="str">
        <f t="shared" si="38"/>
        <v>Error?</v>
      </c>
    </row>
    <row r="2557" spans="1:4" x14ac:dyDescent="0.2">
      <c r="A2557" s="5">
        <v>2496</v>
      </c>
      <c r="B2557" s="1832">
        <f>'Acct Summary 7-8'!C13</f>
        <v>82359</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473610</v>
      </c>
      <c r="C2561" s="2" t="s">
        <v>569</v>
      </c>
      <c r="D2561" s="2" t="str">
        <f t="shared" si="39"/>
        <v>Error?</v>
      </c>
    </row>
    <row r="2562" spans="1:4" x14ac:dyDescent="0.2">
      <c r="A2562" s="5">
        <v>2501</v>
      </c>
      <c r="B2562" s="1832">
        <f>'Acct Summary 7-8'!C20</f>
        <v>96164</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46244</v>
      </c>
      <c r="D2718" s="2" t="str">
        <f t="shared" si="41"/>
        <v>Error?</v>
      </c>
    </row>
    <row r="2719" spans="1:4" x14ac:dyDescent="0.2">
      <c r="A2719" s="5">
        <v>2658</v>
      </c>
      <c r="B2719" s="1832">
        <f>'Expenditures 15-22'!D51</f>
        <v>10783</v>
      </c>
      <c r="D2719" s="2" t="str">
        <f t="shared" si="41"/>
        <v>Error?</v>
      </c>
    </row>
    <row r="2720" spans="1:4" x14ac:dyDescent="0.2">
      <c r="A2720" s="5">
        <v>2659</v>
      </c>
      <c r="B2720" s="1832">
        <f>'Expenditures 15-22'!E51</f>
        <v>4602</v>
      </c>
      <c r="D2720" s="2" t="str">
        <f t="shared" si="41"/>
        <v>Error?</v>
      </c>
    </row>
    <row r="2721" spans="1:4" x14ac:dyDescent="0.2">
      <c r="A2721" s="5">
        <v>2660</v>
      </c>
      <c r="B2721" s="1832">
        <f>'Expenditures 15-22'!F51</f>
        <v>46</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50</v>
      </c>
      <c r="D2723" s="2" t="str">
        <f t="shared" si="41"/>
        <v>Error?</v>
      </c>
    </row>
    <row r="2724" spans="1:4" x14ac:dyDescent="0.2">
      <c r="A2724" s="5">
        <v>2663</v>
      </c>
      <c r="B2724" s="1832">
        <f>'Expenditures 15-22'!K51</f>
        <v>61725</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11618</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11618</v>
      </c>
      <c r="C3232" s="2" t="s">
        <v>569</v>
      </c>
      <c r="D3232" s="2" t="str">
        <f t="shared" si="49"/>
        <v>Error?</v>
      </c>
    </row>
    <row r="3233" spans="1:4" x14ac:dyDescent="0.2">
      <c r="A3233" s="5">
        <v>3172</v>
      </c>
      <c r="B3233" s="1832">
        <f>'Acct Summary 7-8'!C78</f>
        <v>107782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281483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11618</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569774</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473610</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258686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250245</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250245</v>
      </c>
      <c r="C5087" s="2" t="s">
        <v>569</v>
      </c>
      <c r="D5087" s="2" t="str">
        <f t="shared" si="78"/>
        <v>Error?</v>
      </c>
    </row>
    <row r="5088" spans="1:4" x14ac:dyDescent="0.2">
      <c r="A5088" s="5">
        <v>5027</v>
      </c>
      <c r="B5088" s="1832">
        <f>'Revenues 9-14'!C65</f>
        <v>140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140</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640</v>
      </c>
      <c r="D5101" s="2" t="str">
        <f t="shared" si="78"/>
        <v>Error?</v>
      </c>
    </row>
    <row r="5102" spans="1:4" x14ac:dyDescent="0.2">
      <c r="A5102" s="5">
        <v>5041</v>
      </c>
      <c r="B5102" s="1832">
        <f>'Revenues 9-14'!C82</f>
        <v>640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75</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163930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164005</v>
      </c>
      <c r="C5120" s="2" t="s">
        <v>569</v>
      </c>
      <c r="D5120" s="2" t="str">
        <f t="shared" si="79"/>
        <v>Error?</v>
      </c>
    </row>
    <row r="5121" spans="1:4" x14ac:dyDescent="0.2">
      <c r="A5121" s="5">
        <v>5060</v>
      </c>
      <c r="B5121" s="1832">
        <f>'Revenues 9-14'!C109</f>
        <v>415030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154731</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154731</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13</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13</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154744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154744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0</v>
      </c>
      <c r="C5326" s="2" t="s">
        <v>569</v>
      </c>
      <c r="D5326" s="2" t="str">
        <f t="shared" si="82"/>
        <v>Error?</v>
      </c>
    </row>
    <row r="5327" spans="1:5" x14ac:dyDescent="0.2">
      <c r="A5327" s="5">
        <v>5266</v>
      </c>
      <c r="B5327" s="1832">
        <f>'Revenues 9-14'!C268</f>
        <v>569774</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22675</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107782</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0.41665184818660461</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4157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473610</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0</v>
      </c>
      <c r="D7834" s="2" t="str">
        <f t="shared" si="129"/>
        <v>Error?</v>
      </c>
      <c r="E7834" s="4" t="s">
        <v>1998</v>
      </c>
    </row>
    <row r="7835" spans="1:5" x14ac:dyDescent="0.2">
      <c r="A7835">
        <v>7774</v>
      </c>
      <c r="B7835" s="1832">
        <f>'PCTC-OEPP 27-28'!F78</f>
        <v>473610</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t="str">
        <f>'PCTC-OEPP 27-28'!F80</f>
        <v xml:space="preserve"> Complete Line 79</v>
      </c>
      <c r="D7837" s="2" t="e">
        <f t="shared" si="129"/>
        <v>#VALUE!</v>
      </c>
      <c r="E7837" s="4" t="s">
        <v>1998</v>
      </c>
    </row>
    <row r="7838" spans="1:5" x14ac:dyDescent="0.2">
      <c r="A7838">
        <v>7777</v>
      </c>
      <c r="B7838" s="1832">
        <f>'PCTC-OEPP 27-28'!F96</f>
        <v>640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154731</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13</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155384</v>
      </c>
      <c r="D7877" s="2" t="str">
        <f t="shared" si="129"/>
        <v>Error?</v>
      </c>
      <c r="E7877" s="4" t="s">
        <v>1998</v>
      </c>
    </row>
    <row r="7878" spans="1:5" x14ac:dyDescent="0.2">
      <c r="A7878">
        <v>7817</v>
      </c>
      <c r="B7878" s="1832">
        <f>'PCTC-OEPP 27-28'!F176</f>
        <v>318226</v>
      </c>
      <c r="D7878" s="2" t="str">
        <f t="shared" si="129"/>
        <v>Error?</v>
      </c>
      <c r="E7878" s="4" t="s">
        <v>1998</v>
      </c>
    </row>
    <row r="7879" spans="1:5" x14ac:dyDescent="0.2">
      <c r="A7879">
        <v>7818</v>
      </c>
      <c r="B7879" s="1832">
        <f>'PCTC-OEPP 27-28'!F178</f>
        <v>322383</v>
      </c>
      <c r="D7879" s="2" t="str">
        <f t="shared" si="129"/>
        <v>Error?</v>
      </c>
      <c r="E7879" s="4" t="s">
        <v>1998</v>
      </c>
    </row>
    <row r="7880" spans="1:5" x14ac:dyDescent="0.2">
      <c r="A7880">
        <v>7819</v>
      </c>
      <c r="B7880" s="1832"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0" t="s">
        <v>1181</v>
      </c>
      <c r="B2" s="2510"/>
      <c r="C2" s="2510"/>
      <c r="D2" s="2510"/>
      <c r="E2" s="2510"/>
      <c r="F2" s="2510"/>
      <c r="G2" s="2510"/>
      <c r="H2" s="2510"/>
      <c r="I2" s="2510"/>
      <c r="J2" s="2510"/>
      <c r="K2" s="2510"/>
      <c r="L2" s="2510"/>
    </row>
    <row r="3" spans="1:29" ht="13.5" customHeight="1" x14ac:dyDescent="0.2">
      <c r="A3" s="2542" t="s">
        <v>1180</v>
      </c>
      <c r="B3" s="2542"/>
      <c r="C3" s="2542"/>
      <c r="D3" s="2542"/>
      <c r="E3" s="2542"/>
      <c r="F3" s="2542"/>
      <c r="G3" s="2542"/>
      <c r="H3" s="2542"/>
      <c r="I3" s="2542"/>
      <c r="J3" s="2542"/>
      <c r="K3" s="2542"/>
      <c r="L3" s="2542"/>
    </row>
    <row r="4" spans="1:29" ht="13.5" customHeight="1" x14ac:dyDescent="0.2">
      <c r="A4" s="2531" t="str">
        <f>"Year Ending June 30, "&amp;'AFR20'!E2</f>
        <v>Year Ending June 30, 2020</v>
      </c>
      <c r="B4" s="2532"/>
      <c r="C4" s="2532"/>
      <c r="D4" s="2532"/>
      <c r="E4" s="2532"/>
      <c r="F4" s="2532"/>
      <c r="G4" s="2532"/>
      <c r="H4" s="2532"/>
      <c r="I4" s="2532"/>
      <c r="J4" s="2532"/>
      <c r="K4" s="2532"/>
      <c r="L4" s="253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3" t="str">
        <f>COVER!A17</f>
        <v xml:space="preserve">   Lincolnland Technical Ed Ctr</v>
      </c>
      <c r="B7" s="2534"/>
      <c r="C7" s="2534"/>
      <c r="D7" s="2535"/>
      <c r="E7" s="2536">
        <f>COVER!A13</f>
        <v>17054404041</v>
      </c>
      <c r="F7" s="2537"/>
      <c r="G7" s="2543" t="str">
        <f>COVER!T23</f>
        <v>066-005243</v>
      </c>
      <c r="H7" s="2544"/>
      <c r="I7" s="2544"/>
      <c r="J7" s="2544"/>
      <c r="K7" s="2544"/>
      <c r="L7" s="254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6"/>
      <c r="B9" s="2547"/>
      <c r="C9" s="2547"/>
      <c r="D9" s="2547"/>
      <c r="E9" s="2547"/>
      <c r="F9" s="2548"/>
      <c r="G9" s="2516" t="str">
        <f>COVER!T13</f>
        <v>J.M. ABBOTT &amp; ASSOCIATES, LTD</v>
      </c>
      <c r="H9" s="2549"/>
      <c r="I9" s="2549"/>
      <c r="J9" s="2549"/>
      <c r="K9" s="2549"/>
      <c r="L9" s="2550"/>
    </row>
    <row r="10" spans="1:29" ht="13.5" customHeight="1" x14ac:dyDescent="0.2">
      <c r="A10" s="2522" t="str">
        <f>COVER!A38</f>
        <v>R. MATTHEW PUCKETT</v>
      </c>
      <c r="B10" s="2523"/>
      <c r="C10" s="2523"/>
      <c r="D10" s="2523"/>
      <c r="E10" s="2523"/>
      <c r="F10" s="2524"/>
      <c r="G10" s="2516" t="str">
        <f>COVER!T17</f>
        <v>207 S. MCLEAN ST</v>
      </c>
      <c r="H10" s="2517"/>
      <c r="I10" s="2517"/>
      <c r="J10" s="2517"/>
      <c r="K10" s="2517"/>
      <c r="L10" s="2518"/>
    </row>
    <row r="11" spans="1:29" ht="13.5" customHeight="1" x14ac:dyDescent="0.2">
      <c r="A11" s="963" t="s">
        <v>1502</v>
      </c>
      <c r="B11" s="964"/>
      <c r="C11" s="965"/>
      <c r="D11" s="970"/>
      <c r="E11" s="965"/>
      <c r="F11" s="969"/>
      <c r="G11" s="2516" t="str">
        <f>COVER!T19</f>
        <v>LINCOLN</v>
      </c>
      <c r="H11" s="2517"/>
      <c r="I11" s="2517"/>
      <c r="J11" s="2517"/>
      <c r="K11" s="2517"/>
      <c r="L11" s="2518"/>
    </row>
    <row r="12" spans="1:29" ht="13.5" customHeight="1" x14ac:dyDescent="0.2">
      <c r="A12" s="2525" t="s">
        <v>1501</v>
      </c>
      <c r="B12" s="2526"/>
      <c r="C12" s="2526"/>
      <c r="D12" s="2526"/>
      <c r="E12" s="2526"/>
      <c r="F12" s="2527"/>
      <c r="G12" s="2519"/>
      <c r="H12" s="2520"/>
      <c r="I12" s="2520"/>
      <c r="J12" s="2520"/>
      <c r="K12" s="2520"/>
      <c r="L12" s="2521"/>
    </row>
    <row r="13" spans="1:29" ht="13.5" customHeight="1" x14ac:dyDescent="0.2">
      <c r="A13" s="2516"/>
      <c r="B13" s="2517"/>
      <c r="C13" s="2517"/>
      <c r="D13" s="2517"/>
      <c r="E13" s="2517"/>
      <c r="F13" s="2518"/>
      <c r="G13" s="2511" t="s">
        <v>1503</v>
      </c>
      <c r="H13" s="2512"/>
      <c r="I13" s="2528" t="str">
        <f>COVER!T25</f>
        <v>debbie@jmabbott.com</v>
      </c>
      <c r="J13" s="2529"/>
      <c r="K13" s="2529"/>
      <c r="L13" s="2530"/>
    </row>
    <row r="14" spans="1:29" ht="13.5" customHeight="1" x14ac:dyDescent="0.2">
      <c r="A14" s="2516" t="str">
        <f>COVER!A19</f>
        <v>1000 RAILER WAY</v>
      </c>
      <c r="B14" s="2517"/>
      <c r="C14" s="2517"/>
      <c r="D14" s="2517"/>
      <c r="E14" s="2517"/>
      <c r="F14" s="2518"/>
      <c r="G14" s="974" t="s">
        <v>1175</v>
      </c>
      <c r="H14" s="972"/>
      <c r="I14" s="972"/>
      <c r="J14" s="972"/>
      <c r="K14" s="972"/>
      <c r="L14" s="973"/>
    </row>
    <row r="15" spans="1:29" ht="13.5" customHeight="1" x14ac:dyDescent="0.2">
      <c r="A15" s="2516" t="str">
        <f>COVER!A21</f>
        <v xml:space="preserve">LINCOLN </v>
      </c>
      <c r="B15" s="2517"/>
      <c r="C15" s="2517"/>
      <c r="D15" s="2517"/>
      <c r="E15" s="2517"/>
      <c r="F15" s="2518"/>
      <c r="G15" s="2513" t="str">
        <f>COVER!T15</f>
        <v>DEBRA LAST</v>
      </c>
      <c r="H15" s="2514"/>
      <c r="I15" s="2514"/>
      <c r="J15" s="2514"/>
      <c r="K15" s="2514"/>
      <c r="L15" s="2515"/>
    </row>
    <row r="16" spans="1:29" ht="12.2" customHeight="1" x14ac:dyDescent="0.2">
      <c r="A16" s="2539">
        <f>COVER!A25</f>
        <v>0</v>
      </c>
      <c r="B16" s="2540"/>
      <c r="C16" s="2540"/>
      <c r="D16" s="2540"/>
      <c r="E16" s="2540"/>
      <c r="F16" s="2541"/>
      <c r="G16" s="2551"/>
      <c r="H16" s="2552"/>
      <c r="I16" s="2552"/>
      <c r="J16" s="2552"/>
      <c r="K16" s="2552"/>
      <c r="L16" s="2553"/>
    </row>
    <row r="17" spans="1:13" ht="12.2" customHeight="1" x14ac:dyDescent="0.2">
      <c r="A17" s="2554"/>
      <c r="B17" s="2540"/>
      <c r="C17" s="2540"/>
      <c r="D17" s="2540"/>
      <c r="E17" s="2540"/>
      <c r="F17" s="2541"/>
      <c r="G17" s="974" t="s">
        <v>1174</v>
      </c>
      <c r="H17" s="972"/>
      <c r="I17" s="972"/>
      <c r="J17" s="972"/>
      <c r="K17" s="976" t="s">
        <v>1173</v>
      </c>
      <c r="L17" s="969"/>
      <c r="M17" s="962"/>
    </row>
    <row r="18" spans="1:13" ht="12.2" customHeight="1" x14ac:dyDescent="0.2">
      <c r="A18" s="2522"/>
      <c r="B18" s="2523"/>
      <c r="C18" s="2523"/>
      <c r="D18" s="2523"/>
      <c r="E18" s="2523"/>
      <c r="F18" s="2524"/>
      <c r="G18" s="2533" t="str">
        <f>COVER!T21</f>
        <v>217-735-1576</v>
      </c>
      <c r="H18" s="2534"/>
      <c r="I18" s="2534"/>
      <c r="J18" s="2534"/>
      <c r="K18" s="2533" t="str">
        <f>COVER!X21</f>
        <v>217-735-5866</v>
      </c>
      <c r="L18" s="253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27" top="0.68" bottom="1" header="0.26" footer="0.5"/>
  <pageSetup scale="99"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5" t="str">
        <f>'Single Audit Cover'!A7</f>
        <v xml:space="preserve">   Lincolnland Technical Ed Ctr</v>
      </c>
      <c r="B1" s="2556"/>
      <c r="C1" s="2556"/>
      <c r="D1" s="2556"/>
    </row>
    <row r="2" spans="1:11" s="991" customFormat="1" ht="12.75" x14ac:dyDescent="0.2">
      <c r="A2" s="2557">
        <f>'Single Audit Cover'!E7</f>
        <v>17054404041</v>
      </c>
      <c r="B2" s="2558"/>
      <c r="C2" s="2558"/>
      <c r="D2" s="2558"/>
    </row>
    <row r="3" spans="1:11" s="991" customFormat="1" ht="12.75" x14ac:dyDescent="0.2">
      <c r="A3" s="2555" t="s">
        <v>1496</v>
      </c>
      <c r="B3" s="2556"/>
      <c r="C3" s="2556"/>
      <c r="D3" s="2556"/>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5" right="0" top="0.5" bottom="0.15" header="0.3" footer="0.3"/>
  <pageSetup scale="71" firstPageNumber="36"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0" t="str">
        <f>'Single Audit Cover'!A7</f>
        <v xml:space="preserve">   Lincolnland Technical Ed Ctr</v>
      </c>
      <c r="B1" s="2560"/>
      <c r="C1" s="2560"/>
      <c r="D1" s="2560"/>
      <c r="E1" s="2560"/>
    </row>
    <row r="2" spans="1:5" x14ac:dyDescent="0.2">
      <c r="A2" s="2561">
        <f>'Single Audit Cover'!E7</f>
        <v>17054404041</v>
      </c>
      <c r="B2" s="2561"/>
      <c r="C2" s="2561"/>
      <c r="D2" s="2561"/>
      <c r="E2" s="2561"/>
    </row>
    <row r="3" spans="1:5" ht="4.5" customHeight="1" x14ac:dyDescent="0.2"/>
    <row r="4" spans="1:5" x14ac:dyDescent="0.2">
      <c r="A4" s="2560" t="s">
        <v>1234</v>
      </c>
      <c r="B4" s="2560"/>
      <c r="C4" s="2560"/>
      <c r="D4" s="2560"/>
      <c r="E4" s="2560"/>
    </row>
    <row r="5" spans="1:5" x14ac:dyDescent="0.2">
      <c r="A5" s="2563" t="str">
        <f>'Single Audit Cover'!A4</f>
        <v>Year Ending June 30, 2020</v>
      </c>
      <c r="B5" s="2563"/>
      <c r="C5" s="2563"/>
      <c r="D5" s="2563"/>
      <c r="E5" s="2563"/>
    </row>
    <row r="6" spans="1:5" x14ac:dyDescent="0.2">
      <c r="A6" s="2560" t="s">
        <v>1233</v>
      </c>
      <c r="B6" s="2560"/>
      <c r="C6" s="2560"/>
      <c r="D6" s="2560"/>
      <c r="E6" s="2560"/>
    </row>
    <row r="8" spans="1:5" x14ac:dyDescent="0.2">
      <c r="A8" s="1036" t="s">
        <v>1232</v>
      </c>
    </row>
    <row r="10" spans="1:5" x14ac:dyDescent="0.2">
      <c r="A10" s="1037" t="s">
        <v>1231</v>
      </c>
      <c r="B10" s="1038" t="s">
        <v>1230</v>
      </c>
      <c r="C10" s="1038"/>
      <c r="D10" s="1039">
        <f>SUM('Acct Summary 7-8'!C7:K7)</f>
        <v>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2"/>
      <c r="B24" s="2562"/>
      <c r="D24" s="1044"/>
    </row>
    <row r="25" spans="1:4" x14ac:dyDescent="0.2">
      <c r="A25" s="2559"/>
      <c r="B25" s="2559"/>
      <c r="D25" s="1044"/>
    </row>
    <row r="26" spans="1:4" x14ac:dyDescent="0.2">
      <c r="A26" s="2559"/>
      <c r="B26" s="2559"/>
      <c r="D26" s="1044"/>
    </row>
    <row r="27" spans="1:4" x14ac:dyDescent="0.2">
      <c r="A27" s="2559"/>
      <c r="B27" s="2559"/>
      <c r="D27" s="1044"/>
    </row>
    <row r="28" spans="1:4" x14ac:dyDescent="0.2">
      <c r="A28" s="2559"/>
      <c r="B28" s="2559"/>
      <c r="D28" s="1044"/>
    </row>
    <row r="29" spans="1:4" x14ac:dyDescent="0.2">
      <c r="A29" s="2559"/>
      <c r="B29" s="2559"/>
      <c r="D29" s="1044"/>
    </row>
    <row r="30" spans="1:4" x14ac:dyDescent="0.2">
      <c r="A30" s="2559"/>
      <c r="B30" s="2559"/>
      <c r="D30" s="1044"/>
    </row>
    <row r="32" spans="1:4" x14ac:dyDescent="0.2">
      <c r="A32" s="1036" t="s">
        <v>1222</v>
      </c>
      <c r="D32" s="1039">
        <f>SUM(D19:D30)</f>
        <v>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59"/>
      <c r="B40" s="2559"/>
      <c r="D40" s="1044"/>
    </row>
    <row r="41" spans="1:4" x14ac:dyDescent="0.2">
      <c r="A41" s="2559"/>
      <c r="B41" s="2559"/>
      <c r="D41" s="1047"/>
    </row>
    <row r="42" spans="1:4" x14ac:dyDescent="0.2">
      <c r="A42" s="2559"/>
      <c r="B42" s="2559"/>
      <c r="D42" s="1047"/>
    </row>
    <row r="43" spans="1:4" x14ac:dyDescent="0.2">
      <c r="A43" s="2559"/>
      <c r="B43" s="2559"/>
      <c r="D43" s="1047"/>
    </row>
    <row r="44" spans="1:4" x14ac:dyDescent="0.2">
      <c r="A44" s="2559"/>
      <c r="B44" s="2559"/>
      <c r="D44" s="1047"/>
    </row>
    <row r="45" spans="1:4" x14ac:dyDescent="0.2">
      <c r="A45" s="2559"/>
      <c r="B45" s="2559"/>
      <c r="D45" s="1047"/>
    </row>
    <row r="47" spans="1:4" x14ac:dyDescent="0.2">
      <c r="B47" s="1048" t="s">
        <v>1216</v>
      </c>
      <c r="C47" s="1048"/>
      <c r="D47" s="1049">
        <f>SUM(D35:D45)</f>
        <v>0</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8"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2" t="str">
        <f>'Single Audit Cover'!A7</f>
        <v xml:space="preserve">   Lincolnland Technical Ed Ctr</v>
      </c>
      <c r="C1" s="2564"/>
      <c r="D1" s="2564"/>
      <c r="E1" s="2564"/>
      <c r="F1" s="2564"/>
      <c r="G1" s="2564"/>
      <c r="H1" s="2564"/>
      <c r="I1" s="2564"/>
      <c r="J1" s="2564"/>
      <c r="K1" s="2564"/>
      <c r="L1" s="2564"/>
      <c r="M1" s="2564"/>
    </row>
    <row r="2" spans="2:14" ht="15" x14ac:dyDescent="0.2">
      <c r="B2" s="2565">
        <f>'Single Audit Cover'!E7</f>
        <v>17054404041</v>
      </c>
      <c r="C2" s="2565"/>
      <c r="D2" s="2565"/>
      <c r="E2" s="2565"/>
      <c r="F2" s="2565"/>
      <c r="G2" s="2565"/>
      <c r="H2" s="2565"/>
      <c r="I2" s="2565"/>
      <c r="J2" s="2565"/>
      <c r="K2" s="2565"/>
      <c r="L2" s="2565"/>
      <c r="M2" s="2565"/>
      <c r="N2" s="1078"/>
    </row>
    <row r="3" spans="2:14" ht="15" x14ac:dyDescent="0.2">
      <c r="B3" s="2566" t="s">
        <v>1208</v>
      </c>
      <c r="C3" s="2566"/>
      <c r="D3" s="2566"/>
      <c r="E3" s="2566"/>
      <c r="F3" s="2566"/>
      <c r="G3" s="2566"/>
      <c r="H3" s="2566"/>
      <c r="I3" s="2566"/>
      <c r="J3" s="2566"/>
      <c r="K3" s="2566"/>
      <c r="L3" s="2566"/>
      <c r="M3" s="2566"/>
      <c r="N3" s="1078"/>
    </row>
    <row r="4" spans="2:14" ht="15" x14ac:dyDescent="0.2">
      <c r="B4" s="2567" t="str">
        <f>'Single Audit Cover'!A4</f>
        <v>Year Ending June 30, 2020</v>
      </c>
      <c r="C4" s="2567"/>
      <c r="D4" s="2567"/>
      <c r="E4" s="2567"/>
      <c r="F4" s="2567"/>
      <c r="G4" s="2567"/>
      <c r="H4" s="2567"/>
      <c r="I4" s="2567"/>
      <c r="J4" s="2567"/>
      <c r="K4" s="2567"/>
      <c r="L4" s="2567"/>
      <c r="M4" s="2567"/>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6" bottom="0.4" header="0.5" footer="0.25"/>
  <pageSetup scale="82"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zoomScaleNormal="100" workbookViewId="0">
      <selection activeCell="B3" sqref="B3:M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2" t="str">
        <f>'Single Audit Cover'!A7</f>
        <v xml:space="preserve">   Lincolnland Technical Ed Ctr</v>
      </c>
      <c r="C1" s="2564"/>
      <c r="D1" s="2564"/>
      <c r="E1" s="2564"/>
      <c r="F1" s="2564"/>
      <c r="G1" s="2564"/>
      <c r="H1" s="2564"/>
      <c r="I1" s="2564"/>
      <c r="J1" s="2564"/>
      <c r="K1" s="2564"/>
      <c r="L1" s="2564"/>
      <c r="M1" s="2564"/>
    </row>
    <row r="2" spans="2:14" ht="15" x14ac:dyDescent="0.2">
      <c r="B2" s="2565">
        <f>'Single Audit Cover'!E7</f>
        <v>17054404041</v>
      </c>
      <c r="C2" s="2565"/>
      <c r="D2" s="2565"/>
      <c r="E2" s="2565"/>
      <c r="F2" s="2565"/>
      <c r="G2" s="2565"/>
      <c r="H2" s="2565"/>
      <c r="I2" s="2565"/>
      <c r="J2" s="2565"/>
      <c r="K2" s="2565"/>
      <c r="L2" s="2565"/>
      <c r="M2" s="2565"/>
      <c r="N2" s="1078"/>
    </row>
    <row r="3" spans="2:14" ht="15" x14ac:dyDescent="0.2">
      <c r="B3" s="2566" t="s">
        <v>1208</v>
      </c>
      <c r="C3" s="2566"/>
      <c r="D3" s="2566"/>
      <c r="E3" s="2566"/>
      <c r="F3" s="2566"/>
      <c r="G3" s="2566"/>
      <c r="H3" s="2566"/>
      <c r="I3" s="2566"/>
      <c r="J3" s="2566"/>
      <c r="K3" s="2566"/>
      <c r="L3" s="2566"/>
      <c r="M3" s="2566"/>
      <c r="N3" s="1078"/>
    </row>
    <row r="4" spans="2:14" ht="15" x14ac:dyDescent="0.2">
      <c r="B4" s="2567" t="str">
        <f>'Single Audit Cover'!A4</f>
        <v>Year Ending June 30, 2020</v>
      </c>
      <c r="C4" s="2567"/>
      <c r="D4" s="2567"/>
      <c r="E4" s="2567"/>
      <c r="F4" s="2567"/>
      <c r="G4" s="2567"/>
      <c r="H4" s="2567"/>
      <c r="I4" s="2567"/>
      <c r="J4" s="2567"/>
      <c r="K4" s="2567"/>
      <c r="L4" s="2567"/>
      <c r="M4" s="2567"/>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6" bottom="0.4" header="0.5" footer="0.25"/>
  <pageSetup scale="82" firstPageNumber="38" orientation="landscape" useFirstPageNumber="1" r:id="rId1"/>
  <headerFooter alignWithMargins="0">
    <oddHeader>&amp;R&amp;8Page 41A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2"/>
  <sheetViews>
    <sheetView showGridLines="0"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2" t="str">
        <f>'Single Audit Cover'!A7</f>
        <v xml:space="preserve">   Lincolnland Technical Ed Ctr</v>
      </c>
      <c r="C1" s="2564"/>
      <c r="D1" s="2564"/>
      <c r="E1" s="2564"/>
      <c r="F1" s="2564"/>
      <c r="G1" s="2564"/>
      <c r="H1" s="2564"/>
      <c r="I1" s="2564"/>
      <c r="J1" s="2564"/>
      <c r="K1" s="2564"/>
      <c r="L1" s="2564"/>
      <c r="M1" s="2564"/>
    </row>
    <row r="2" spans="2:14" ht="15" x14ac:dyDescent="0.2">
      <c r="B2" s="2565">
        <f>'Single Audit Cover'!E7</f>
        <v>17054404041</v>
      </c>
      <c r="C2" s="2565"/>
      <c r="D2" s="2565"/>
      <c r="E2" s="2565"/>
      <c r="F2" s="2565"/>
      <c r="G2" s="2565"/>
      <c r="H2" s="2565"/>
      <c r="I2" s="2565"/>
      <c r="J2" s="2565"/>
      <c r="K2" s="2565"/>
      <c r="L2" s="2565"/>
      <c r="M2" s="2565"/>
      <c r="N2" s="1078"/>
    </row>
    <row r="3" spans="2:14" ht="15" x14ac:dyDescent="0.2">
      <c r="B3" s="2566" t="s">
        <v>1208</v>
      </c>
      <c r="C3" s="2566"/>
      <c r="D3" s="2566"/>
      <c r="E3" s="2566"/>
      <c r="F3" s="2566"/>
      <c r="G3" s="2566"/>
      <c r="H3" s="2566"/>
      <c r="I3" s="2566"/>
      <c r="J3" s="2566"/>
      <c r="K3" s="2566"/>
      <c r="L3" s="2566"/>
      <c r="M3" s="2566"/>
      <c r="N3" s="1078"/>
    </row>
    <row r="4" spans="2:14" ht="15" x14ac:dyDescent="0.2">
      <c r="B4" s="2567" t="str">
        <f>'Single Audit Cover'!A4</f>
        <v>Year Ending June 30, 2020</v>
      </c>
      <c r="C4" s="2567"/>
      <c r="D4" s="2567"/>
      <c r="E4" s="2567"/>
      <c r="F4" s="2567"/>
      <c r="G4" s="2567"/>
      <c r="H4" s="2567"/>
      <c r="I4" s="2567"/>
      <c r="J4" s="2567"/>
      <c r="K4" s="2567"/>
      <c r="L4" s="2567"/>
      <c r="M4" s="2567"/>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6" bottom="0.4" header="0.5" footer="0.25"/>
  <pageSetup scale="82" firstPageNumber="38" orientation="landscape" useFirstPageNumber="1" r:id="rId1"/>
  <headerFooter alignWithMargins="0">
    <oddHeader>&amp;R&amp;8Page 41B</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52"/>
  <sheetViews>
    <sheetView showGridLines="0" zoomScaleNormal="100" workbookViewId="0">
      <selection activeCell="B3" sqref="B3:M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2" t="str">
        <f>'Single Audit Cover'!A7</f>
        <v xml:space="preserve">   Lincolnland Technical Ed Ctr</v>
      </c>
      <c r="C1" s="2564"/>
      <c r="D1" s="2564"/>
      <c r="E1" s="2564"/>
      <c r="F1" s="2564"/>
      <c r="G1" s="2564"/>
      <c r="H1" s="2564"/>
      <c r="I1" s="2564"/>
      <c r="J1" s="2564"/>
      <c r="K1" s="2564"/>
      <c r="L1" s="2564"/>
      <c r="M1" s="2564"/>
    </row>
    <row r="2" spans="2:14" ht="15" x14ac:dyDescent="0.2">
      <c r="B2" s="2565">
        <f>'Single Audit Cover'!E7</f>
        <v>17054404041</v>
      </c>
      <c r="C2" s="2565"/>
      <c r="D2" s="2565"/>
      <c r="E2" s="2565"/>
      <c r="F2" s="2565"/>
      <c r="G2" s="2565"/>
      <c r="H2" s="2565"/>
      <c r="I2" s="2565"/>
      <c r="J2" s="2565"/>
      <c r="K2" s="2565"/>
      <c r="L2" s="2565"/>
      <c r="M2" s="2565"/>
      <c r="N2" s="1078"/>
    </row>
    <row r="3" spans="2:14" ht="15" x14ac:dyDescent="0.2">
      <c r="B3" s="2566" t="s">
        <v>1208</v>
      </c>
      <c r="C3" s="2566"/>
      <c r="D3" s="2566"/>
      <c r="E3" s="2566"/>
      <c r="F3" s="2566"/>
      <c r="G3" s="2566"/>
      <c r="H3" s="2566"/>
      <c r="I3" s="2566"/>
      <c r="J3" s="2566"/>
      <c r="K3" s="2566"/>
      <c r="L3" s="2566"/>
      <c r="M3" s="2566"/>
      <c r="N3" s="1078"/>
    </row>
    <row r="4" spans="2:14" ht="15" x14ac:dyDescent="0.2">
      <c r="B4" s="2567" t="str">
        <f>'Single Audit Cover'!A4</f>
        <v>Year Ending June 30, 2020</v>
      </c>
      <c r="C4" s="2567"/>
      <c r="D4" s="2567"/>
      <c r="E4" s="2567"/>
      <c r="F4" s="2567"/>
      <c r="G4" s="2567"/>
      <c r="H4" s="2567"/>
      <c r="I4" s="2567"/>
      <c r="J4" s="2567"/>
      <c r="K4" s="2567"/>
      <c r="L4" s="2567"/>
      <c r="M4" s="2567"/>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6" bottom="0.4" header="0.5" footer="0.25"/>
  <pageSetup scale="82" firstPageNumber="38" orientation="landscape" useFirstPageNumber="1" r:id="rId1"/>
  <headerFooter alignWithMargins="0">
    <oddHeader>&amp;R&amp;8Page 41C</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7" t="str">
        <f>'Single Audit Cover'!A7</f>
        <v xml:space="preserve">   Lincolnland Technical Ed Ctr</v>
      </c>
      <c r="B1" s="2577"/>
      <c r="C1" s="2577"/>
      <c r="D1" s="2577"/>
      <c r="E1" s="2577"/>
      <c r="F1" s="2577"/>
    </row>
    <row r="2" spans="1:7" ht="13.5" customHeight="1" x14ac:dyDescent="0.2">
      <c r="A2" s="2565">
        <f>'Single Audit Cover'!E7</f>
        <v>17054404041</v>
      </c>
      <c r="B2" s="2565"/>
      <c r="C2" s="2565"/>
      <c r="D2" s="2565"/>
      <c r="E2" s="2565"/>
      <c r="F2" s="2565"/>
      <c r="G2" s="1051"/>
    </row>
    <row r="3" spans="1:7" ht="15.75" customHeight="1" x14ac:dyDescent="0.2">
      <c r="A3" s="2578" t="s">
        <v>1260</v>
      </c>
      <c r="B3" s="2578"/>
      <c r="C3" s="2578"/>
      <c r="D3" s="2578"/>
      <c r="E3" s="2578"/>
      <c r="F3" s="2578"/>
    </row>
    <row r="4" spans="1:7" ht="13.5" customHeight="1" x14ac:dyDescent="0.2">
      <c r="A4" s="2579" t="str">
        <f>'Single Audit Cover'!A4</f>
        <v>Year Ending June 30, 2020</v>
      </c>
      <c r="B4" s="2579"/>
      <c r="C4" s="2579"/>
      <c r="D4" s="2579"/>
      <c r="E4" s="2579"/>
      <c r="F4" s="2579"/>
    </row>
    <row r="5" spans="1:7" ht="8.25" customHeight="1" x14ac:dyDescent="0.2">
      <c r="C5" s="295"/>
      <c r="D5" s="295"/>
    </row>
    <row r="6" spans="1:7" ht="13.5" customHeight="1" x14ac:dyDescent="0.2">
      <c r="A6" s="1052" t="s">
        <v>1705</v>
      </c>
      <c r="C6" s="295"/>
      <c r="D6" s="295"/>
    </row>
    <row r="7" spans="1:7" ht="60.95" customHeight="1" x14ac:dyDescent="0.2">
      <c r="A7" s="2576" t="s">
        <v>1706</v>
      </c>
      <c r="B7" s="2576"/>
      <c r="C7" s="2576"/>
      <c r="D7" s="2576"/>
      <c r="E7" s="2576"/>
      <c r="F7" s="2576"/>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6" t="s">
        <v>1708</v>
      </c>
      <c r="B13" s="2576"/>
      <c r="C13" s="2576"/>
      <c r="D13" s="2576"/>
      <c r="E13" s="2576"/>
      <c r="F13" s="2576"/>
    </row>
    <row r="14" spans="1:7" ht="9.75" customHeight="1" x14ac:dyDescent="0.2">
      <c r="C14" s="1036"/>
      <c r="D14" s="1036"/>
    </row>
    <row r="15" spans="1:7" ht="13.5" customHeight="1" x14ac:dyDescent="0.2">
      <c r="C15" s="1476" t="s">
        <v>1259</v>
      </c>
      <c r="D15" s="2574" t="s">
        <v>1258</v>
      </c>
      <c r="E15" s="2574"/>
      <c r="F15" s="2574"/>
    </row>
    <row r="16" spans="1:7" ht="13.5" customHeight="1" x14ac:dyDescent="0.2">
      <c r="A16" s="1058"/>
      <c r="B16" s="1052" t="s">
        <v>1257</v>
      </c>
      <c r="C16" s="1476" t="s">
        <v>1256</v>
      </c>
      <c r="D16" s="2575" t="s">
        <v>1571</v>
      </c>
      <c r="E16" s="2575"/>
      <c r="F16" s="2575"/>
    </row>
    <row r="17" spans="1:6" ht="20.45" customHeight="1" x14ac:dyDescent="0.2">
      <c r="A17" s="1059"/>
      <c r="B17" s="1060"/>
      <c r="C17" s="1061"/>
      <c r="D17" s="2569"/>
      <c r="E17" s="2569"/>
      <c r="F17" s="2569"/>
    </row>
    <row r="18" spans="1:6" ht="20.65" customHeight="1" x14ac:dyDescent="0.2">
      <c r="A18" s="1059"/>
      <c r="B18" s="1060"/>
      <c r="C18" s="1061"/>
      <c r="D18" s="2569"/>
      <c r="E18" s="2569"/>
      <c r="F18" s="2569"/>
    </row>
    <row r="19" spans="1:6" ht="20.65" customHeight="1" x14ac:dyDescent="0.2">
      <c r="A19" s="1059"/>
      <c r="B19" s="1060"/>
      <c r="C19" s="1061"/>
      <c r="D19" s="2569"/>
      <c r="E19" s="2569"/>
      <c r="F19" s="2569"/>
    </row>
    <row r="20" spans="1:6" ht="20.65" customHeight="1" x14ac:dyDescent="0.2">
      <c r="A20" s="1059"/>
      <c r="B20" s="1060"/>
      <c r="C20" s="1061"/>
      <c r="D20" s="2569"/>
      <c r="E20" s="2569"/>
      <c r="F20" s="2569"/>
    </row>
    <row r="21" spans="1:6" ht="20.65" customHeight="1" x14ac:dyDescent="0.2">
      <c r="A21" s="1059"/>
      <c r="B21" s="1060"/>
      <c r="C21" s="1061"/>
      <c r="D21" s="2569"/>
      <c r="E21" s="2569"/>
      <c r="F21" s="2569"/>
    </row>
    <row r="22" spans="1:6" ht="20.65" customHeight="1" x14ac:dyDescent="0.2">
      <c r="A22" s="1059"/>
      <c r="B22" s="1060"/>
      <c r="C22" s="1061"/>
      <c r="D22" s="2569"/>
      <c r="E22" s="2569"/>
      <c r="F22" s="2569"/>
    </row>
    <row r="23" spans="1:6" ht="20.65" customHeight="1" x14ac:dyDescent="0.2">
      <c r="A23" s="1059"/>
      <c r="B23" s="1060"/>
      <c r="C23" s="1061"/>
      <c r="D23" s="2569"/>
      <c r="E23" s="2569"/>
      <c r="F23" s="2569"/>
    </row>
    <row r="24" spans="1:6" ht="20.65" customHeight="1" x14ac:dyDescent="0.2">
      <c r="A24" s="1059"/>
      <c r="B24" s="1060"/>
      <c r="C24" s="1061"/>
      <c r="D24" s="2569"/>
      <c r="E24" s="2569"/>
      <c r="F24" s="2569"/>
    </row>
    <row r="25" spans="1:6" ht="20.65" customHeight="1" x14ac:dyDescent="0.2">
      <c r="A25" s="1059"/>
      <c r="B25" s="1060"/>
      <c r="C25" s="1061"/>
      <c r="D25" s="2569"/>
      <c r="E25" s="2569"/>
      <c r="F25" s="2569"/>
    </row>
    <row r="26" spans="1:6" ht="20.65" customHeight="1" x14ac:dyDescent="0.2">
      <c r="A26" s="1059"/>
      <c r="B26" s="1060"/>
      <c r="C26" s="1061"/>
      <c r="D26" s="2569"/>
      <c r="E26" s="2569"/>
      <c r="F26" s="2569"/>
    </row>
    <row r="27" spans="1:6" ht="20.65" customHeight="1" x14ac:dyDescent="0.2">
      <c r="A27" s="1059"/>
      <c r="B27" s="1060"/>
      <c r="C27" s="1061"/>
      <c r="D27" s="2569"/>
      <c r="E27" s="2569"/>
      <c r="F27" s="2569"/>
    </row>
    <row r="28" spans="1:6" ht="20.65" customHeight="1" x14ac:dyDescent="0.2">
      <c r="A28" s="1059"/>
      <c r="B28" s="1060"/>
      <c r="C28" s="1061"/>
      <c r="D28" s="2569"/>
      <c r="E28" s="2569"/>
      <c r="F28" s="2569"/>
    </row>
    <row r="29" spans="1:6" ht="20.65" customHeight="1" x14ac:dyDescent="0.2">
      <c r="A29" s="1059"/>
      <c r="B29" s="1060"/>
      <c r="C29" s="1061"/>
      <c r="D29" s="2569"/>
      <c r="E29" s="2569"/>
      <c r="F29" s="2569"/>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0" t="s">
        <v>1709</v>
      </c>
      <c r="B32" s="2570"/>
      <c r="C32" s="2570"/>
      <c r="D32" s="2570"/>
      <c r="E32" s="2570"/>
      <c r="F32" s="2570"/>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1">
        <f>+C33+C34</f>
        <v>0</v>
      </c>
      <c r="F34" s="257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3" t="s">
        <v>1573</v>
      </c>
      <c r="C49" s="2573"/>
      <c r="D49" s="2573"/>
      <c r="E49" s="1168"/>
    </row>
    <row r="50" spans="1:5" s="1076" customFormat="1" ht="3.75" customHeight="1" x14ac:dyDescent="0.2">
      <c r="A50" s="1075"/>
      <c r="B50" s="1475"/>
      <c r="C50" s="1475"/>
      <c r="D50" s="1475"/>
      <c r="E50" s="1168"/>
    </row>
    <row r="51" spans="1:5" s="1076" customFormat="1" ht="20.25" customHeight="1" x14ac:dyDescent="0.2">
      <c r="A51" s="1077">
        <v>6</v>
      </c>
      <c r="B51" s="2568" t="s">
        <v>1534</v>
      </c>
      <c r="C51" s="2568"/>
      <c r="D51" s="2568"/>
    </row>
    <row r="52" spans="1:5" ht="14.25" customHeight="1" x14ac:dyDescent="0.2">
      <c r="A52" s="1077"/>
      <c r="B52" s="2568"/>
      <c r="C52" s="2568"/>
      <c r="D52" s="256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1" t="str">
        <f>'Single Audit Cover'!A7</f>
        <v xml:space="preserve">   Lincolnland Technical Ed Ctr</v>
      </c>
      <c r="C1" s="2592"/>
      <c r="D1" s="2592"/>
      <c r="E1" s="2592"/>
      <c r="F1" s="2592"/>
      <c r="G1" s="2592"/>
      <c r="H1" s="2592"/>
      <c r="I1" s="2592"/>
      <c r="J1" s="1178"/>
    </row>
    <row r="2" spans="2:10" s="295" customFormat="1" ht="12.75" customHeight="1" x14ac:dyDescent="0.2">
      <c r="B2" s="2593">
        <f>'Single Audit Cover'!E7</f>
        <v>17054404041</v>
      </c>
      <c r="C2" s="2594"/>
      <c r="D2" s="2594"/>
      <c r="E2" s="2594"/>
      <c r="F2" s="2594"/>
      <c r="G2" s="2594"/>
      <c r="H2" s="2594"/>
      <c r="I2" s="2594"/>
      <c r="J2" s="1178"/>
    </row>
    <row r="3" spans="2:10" s="295" customFormat="1" ht="12.75" customHeight="1" x14ac:dyDescent="0.2">
      <c r="B3" s="2595" t="s">
        <v>1274</v>
      </c>
      <c r="C3" s="2596"/>
      <c r="D3" s="2596"/>
      <c r="E3" s="2596"/>
      <c r="F3" s="2596"/>
      <c r="G3" s="2596"/>
      <c r="H3" s="2596"/>
      <c r="I3" s="2596"/>
      <c r="J3" s="1179"/>
    </row>
    <row r="4" spans="2:10" s="295" customFormat="1" ht="12.75" customHeight="1" x14ac:dyDescent="0.2">
      <c r="B4" s="2595" t="str">
        <f>'Single Audit Cover'!A4</f>
        <v>Year Ending June 30, 2020</v>
      </c>
      <c r="C4" s="2596"/>
      <c r="D4" s="2596"/>
      <c r="E4" s="2596"/>
      <c r="F4" s="2596"/>
      <c r="G4" s="2596"/>
      <c r="H4" s="2596"/>
      <c r="I4" s="2596"/>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5" t="s">
        <v>1273</v>
      </c>
      <c r="C7" s="2596"/>
      <c r="D7" s="2596"/>
      <c r="E7" s="2596"/>
      <c r="F7" s="2596"/>
      <c r="G7" s="2596"/>
      <c r="H7" s="2596"/>
      <c r="I7" s="2596"/>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7"/>
      <c r="D11" s="2597"/>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8"/>
      <c r="E29" s="2598"/>
      <c r="F29" s="2598"/>
      <c r="G29" s="2598"/>
      <c r="H29" s="2598"/>
      <c r="I29" s="2598"/>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9" t="s">
        <v>1728</v>
      </c>
      <c r="D37" s="2600"/>
      <c r="E37" s="2600"/>
      <c r="F37" s="2601"/>
      <c r="G37" s="2599" t="s">
        <v>1575</v>
      </c>
      <c r="H37" s="2600"/>
      <c r="I37" s="2601"/>
    </row>
    <row r="38" spans="2:9" ht="16.5" customHeight="1" x14ac:dyDescent="0.2">
      <c r="B38" s="1200"/>
      <c r="C38" s="2587"/>
      <c r="D38" s="2588"/>
      <c r="E38" s="2588"/>
      <c r="F38" s="2589"/>
      <c r="G38" s="2602"/>
      <c r="H38" s="2603"/>
      <c r="I38" s="2604"/>
    </row>
    <row r="39" spans="2:9" ht="16.5" customHeight="1" x14ac:dyDescent="0.2">
      <c r="B39" s="1200"/>
      <c r="C39" s="2587"/>
      <c r="D39" s="2588"/>
      <c r="E39" s="2588"/>
      <c r="F39" s="2589"/>
      <c r="G39" s="2590"/>
      <c r="H39" s="2590"/>
      <c r="I39" s="2590"/>
    </row>
    <row r="40" spans="2:9" ht="16.5" customHeight="1" x14ac:dyDescent="0.2">
      <c r="B40" s="1200"/>
      <c r="C40" s="2587"/>
      <c r="D40" s="2588"/>
      <c r="E40" s="2588"/>
      <c r="F40" s="2589"/>
      <c r="G40" s="2590"/>
      <c r="H40" s="2590"/>
      <c r="I40" s="2590"/>
    </row>
    <row r="41" spans="2:9" ht="16.5" customHeight="1" x14ac:dyDescent="0.2">
      <c r="B41" s="1200"/>
      <c r="C41" s="2587"/>
      <c r="D41" s="2588"/>
      <c r="E41" s="2588"/>
      <c r="F41" s="2589"/>
      <c r="G41" s="2590"/>
      <c r="H41" s="2590"/>
      <c r="I41" s="2590"/>
    </row>
    <row r="42" spans="2:9" ht="16.5" customHeight="1" x14ac:dyDescent="0.2">
      <c r="B42" s="1200"/>
      <c r="C42" s="2587"/>
      <c r="D42" s="2588"/>
      <c r="E42" s="2588"/>
      <c r="F42" s="2589"/>
      <c r="G42" s="2590"/>
      <c r="H42" s="2590"/>
      <c r="I42" s="2590"/>
    </row>
    <row r="43" spans="2:9" ht="16.5" customHeight="1" x14ac:dyDescent="0.2">
      <c r="B43" s="1200"/>
      <c r="C43" s="2580" t="s">
        <v>1576</v>
      </c>
      <c r="D43" s="2581"/>
      <c r="E43" s="2581"/>
      <c r="F43" s="2582"/>
      <c r="G43" s="2583">
        <f>SUM(G38:I42)</f>
        <v>0</v>
      </c>
      <c r="H43" s="2583"/>
      <c r="I43" s="2583"/>
    </row>
    <row r="44" spans="2:9" ht="12.75" customHeight="1" x14ac:dyDescent="0.2"/>
    <row r="45" spans="2:9" ht="12.75" customHeight="1" x14ac:dyDescent="0.2">
      <c r="B45" s="1916" t="str">
        <f>"Total Federal Expenditures for 7/1/"&amp;MID('AFR20'!E2,3,2)-1&amp;"-6/30/"&amp;MID('AFR20'!E2,3,2)</f>
        <v>Total Federal Expenditures for 7/1/19-6/30/20</v>
      </c>
      <c r="C45" s="1917"/>
      <c r="D45" s="2584">
        <v>0</v>
      </c>
      <c r="E45" s="258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6"/>
      <c r="F49" s="2586"/>
      <c r="G49" s="258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 right="0.2" top="0.46" bottom="0.4" header="0.25" footer="0.28999999999999998"/>
  <pageSetup firstPageNumber="40" orientation="portrait" useFirstPageNumber="1" r:id="rId1"/>
  <headerFooter alignWithMargins="0">
    <oddHeader>&amp;R&amp;8Page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 xml:space="preserve">   Lincolnland Technical Ed Ctr</v>
      </c>
      <c r="C1" s="2591"/>
      <c r="D1" s="2591"/>
      <c r="E1" s="2591"/>
      <c r="F1" s="2591"/>
      <c r="G1" s="2591"/>
      <c r="H1" s="2591"/>
      <c r="I1" s="2591"/>
      <c r="J1" s="2591"/>
      <c r="K1" s="2591"/>
      <c r="L1" s="1144"/>
      <c r="M1" s="1144"/>
    </row>
    <row r="2" spans="1:13" ht="12" customHeight="1" x14ac:dyDescent="0.2">
      <c r="B2" s="2593">
        <f>'Single Audit Cover'!E7</f>
        <v>17054404041</v>
      </c>
      <c r="C2" s="2593"/>
      <c r="D2" s="2593"/>
      <c r="E2" s="2593"/>
      <c r="F2" s="2593"/>
      <c r="G2" s="2593"/>
      <c r="H2" s="2593"/>
      <c r="I2" s="2593"/>
      <c r="J2" s="2593"/>
      <c r="K2" s="2593"/>
      <c r="L2" s="1145"/>
      <c r="M2" s="1146"/>
    </row>
    <row r="3" spans="1:13" ht="10.35" customHeight="1" x14ac:dyDescent="0.2">
      <c r="B3" s="2607" t="s">
        <v>1274</v>
      </c>
      <c r="C3" s="2607"/>
      <c r="D3" s="2607"/>
      <c r="E3" s="2607"/>
      <c r="F3" s="2607"/>
      <c r="G3" s="2607"/>
      <c r="H3" s="2607"/>
      <c r="I3" s="2607"/>
      <c r="J3" s="2607"/>
      <c r="K3" s="2607"/>
      <c r="L3" s="1147"/>
      <c r="M3" s="1147"/>
    </row>
    <row r="4" spans="1:13" ht="14.25" customHeight="1" x14ac:dyDescent="0.2">
      <c r="B4" s="2608" t="str">
        <f>'Single Audit Cover'!A4</f>
        <v>Year Ending June 30, 2020</v>
      </c>
      <c r="C4" s="2608"/>
      <c r="D4" s="2608"/>
      <c r="E4" s="2608"/>
      <c r="F4" s="2608"/>
      <c r="G4" s="2608"/>
      <c r="H4" s="2608"/>
      <c r="I4" s="2608"/>
      <c r="J4" s="2608"/>
      <c r="K4" s="2608"/>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8" t="s">
        <v>1285</v>
      </c>
      <c r="C7" s="2608"/>
      <c r="D7" s="2609"/>
      <c r="E7" s="2609"/>
      <c r="F7" s="2609"/>
      <c r="G7" s="2609"/>
      <c r="H7" s="2609"/>
      <c r="I7" s="2609"/>
      <c r="J7" s="2609"/>
      <c r="K7" s="260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8" t="str">
        <f>'AFR20'!$E$2&amp;"-"</f>
        <v>2020-</v>
      </c>
      <c r="D10" s="1155">
        <v>1</v>
      </c>
      <c r="E10" s="300"/>
      <c r="F10" s="1156" t="s">
        <v>1284</v>
      </c>
      <c r="G10" s="1157" t="s">
        <v>2051</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6" t="s">
        <v>2079</v>
      </c>
      <c r="C14" s="2606"/>
      <c r="D14" s="2606"/>
      <c r="E14" s="2606"/>
      <c r="F14" s="2606"/>
      <c r="G14" s="2606"/>
      <c r="H14" s="2606"/>
      <c r="I14" s="2606"/>
      <c r="J14" s="2606"/>
      <c r="K14" s="260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6" t="s">
        <v>2080</v>
      </c>
      <c r="C17" s="2606"/>
      <c r="D17" s="2606"/>
      <c r="E17" s="2606"/>
      <c r="F17" s="2606"/>
      <c r="G17" s="2606"/>
      <c r="H17" s="2606"/>
      <c r="I17" s="2606"/>
      <c r="J17" s="2606"/>
      <c r="K17" s="2606"/>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0" t="s">
        <v>2081</v>
      </c>
      <c r="C20" s="2610"/>
      <c r="D20" s="2606"/>
      <c r="E20" s="2606"/>
      <c r="F20" s="2606"/>
      <c r="G20" s="2606"/>
      <c r="H20" s="2606"/>
      <c r="I20" s="2606"/>
      <c r="J20" s="2606"/>
      <c r="K20" s="2606"/>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6" t="s">
        <v>2082</v>
      </c>
      <c r="C23" s="2606"/>
      <c r="D23" s="2606"/>
      <c r="E23" s="2606"/>
      <c r="F23" s="2606"/>
      <c r="G23" s="2606"/>
      <c r="H23" s="2606"/>
      <c r="I23" s="2606"/>
      <c r="J23" s="2606"/>
      <c r="K23" s="2606"/>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6" t="s">
        <v>2085</v>
      </c>
      <c r="C26" s="2606"/>
      <c r="D26" s="2606"/>
      <c r="E26" s="2606"/>
      <c r="F26" s="2606"/>
      <c r="G26" s="2606"/>
      <c r="H26" s="2606"/>
      <c r="I26" s="2606"/>
      <c r="J26" s="2606"/>
      <c r="K26" s="2606"/>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5" t="s">
        <v>2083</v>
      </c>
      <c r="C29" s="2605"/>
      <c r="D29" s="2606"/>
      <c r="E29" s="2606"/>
      <c r="F29" s="2606"/>
      <c r="G29" s="2606"/>
      <c r="H29" s="2606"/>
      <c r="I29" s="2606"/>
      <c r="J29" s="2606"/>
      <c r="K29" s="260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5" t="s">
        <v>2084</v>
      </c>
      <c r="C32" s="2605"/>
      <c r="D32" s="2606"/>
      <c r="E32" s="2606"/>
      <c r="F32" s="2606"/>
      <c r="G32" s="2606"/>
      <c r="H32" s="2606"/>
      <c r="I32" s="2606"/>
      <c r="J32" s="2606"/>
      <c r="K32" s="260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 xml:space="preserve">   Lincolnland Technical Ed Ctr</v>
      </c>
      <c r="C1" s="2614"/>
      <c r="D1" s="2614"/>
      <c r="E1" s="2614"/>
      <c r="F1" s="2614"/>
      <c r="G1" s="2614"/>
      <c r="H1" s="2614"/>
      <c r="I1" s="2614"/>
      <c r="J1" s="2614"/>
      <c r="K1" s="2614"/>
      <c r="L1" s="1221"/>
    </row>
    <row r="2" spans="1:12" ht="12.75" customHeight="1" x14ac:dyDescent="0.2">
      <c r="B2" s="2615">
        <f>'Single Audit Cover'!E7</f>
        <v>17054404041</v>
      </c>
      <c r="C2" s="2615"/>
      <c r="D2" s="2615"/>
      <c r="E2" s="2615"/>
      <c r="F2" s="2615"/>
      <c r="G2" s="2615"/>
      <c r="H2" s="2615"/>
      <c r="I2" s="2615"/>
      <c r="J2" s="2615"/>
      <c r="K2" s="2615"/>
      <c r="L2" s="1222"/>
    </row>
    <row r="3" spans="1:12" ht="12.75" customHeight="1" x14ac:dyDescent="0.2">
      <c r="B3" s="2607" t="s">
        <v>1274</v>
      </c>
      <c r="C3" s="2607"/>
      <c r="D3" s="2607"/>
      <c r="E3" s="2607"/>
      <c r="F3" s="2607"/>
      <c r="G3" s="2607"/>
      <c r="H3" s="2607"/>
      <c r="I3" s="2607"/>
      <c r="J3" s="2607"/>
      <c r="K3" s="2607"/>
      <c r="L3" s="1147"/>
    </row>
    <row r="4" spans="1:12" ht="12.75" customHeight="1" x14ac:dyDescent="0.2">
      <c r="B4" s="2607" t="str">
        <f>'Single Audit Cover'!A4</f>
        <v>Year Ending June 30, 2020</v>
      </c>
      <c r="C4" s="2607"/>
      <c r="D4" s="2607"/>
      <c r="E4" s="2607"/>
      <c r="F4" s="2607"/>
      <c r="G4" s="2607"/>
      <c r="H4" s="2607"/>
      <c r="I4" s="2607"/>
      <c r="J4" s="2607"/>
      <c r="K4" s="2607"/>
      <c r="L4" s="1147"/>
    </row>
    <row r="5" spans="1:12" ht="5.25" customHeight="1" x14ac:dyDescent="0.2">
      <c r="B5" s="1036" t="s">
        <v>1159</v>
      </c>
      <c r="C5" s="1036"/>
      <c r="L5" s="300"/>
    </row>
    <row r="6" spans="1:12" ht="30.75" customHeight="1" x14ac:dyDescent="0.2">
      <c r="A6" s="300"/>
      <c r="B6" s="2616" t="s">
        <v>1297</v>
      </c>
      <c r="C6" s="2616"/>
      <c r="D6" s="2616"/>
      <c r="E6" s="2616"/>
      <c r="F6" s="2616"/>
      <c r="G6" s="2616"/>
      <c r="H6" s="2616"/>
      <c r="I6" s="2616"/>
      <c r="J6" s="2616"/>
      <c r="K6" s="2616"/>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8"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8"/>
      <c r="G12" s="2598"/>
      <c r="H12" s="2598"/>
      <c r="I12" s="2598"/>
      <c r="J12" s="2598"/>
      <c r="K12" s="2598"/>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1"/>
      <c r="E14" s="2611"/>
      <c r="F14" s="2611"/>
      <c r="H14" s="1230" t="s">
        <v>1292</v>
      </c>
      <c r="I14" s="2612"/>
      <c r="J14" s="2612"/>
      <c r="K14" s="2612"/>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2"/>
      <c r="E16" s="2612"/>
      <c r="F16" s="2612"/>
      <c r="G16" s="2612"/>
      <c r="H16" s="2612"/>
      <c r="I16" s="2612"/>
      <c r="J16" s="2612"/>
      <c r="K16" s="2612"/>
      <c r="L16" s="300"/>
    </row>
    <row r="17" spans="2:12" ht="13.5" customHeight="1" x14ac:dyDescent="0.2">
      <c r="B17" s="1156" t="s">
        <v>1290</v>
      </c>
      <c r="C17" s="1156"/>
      <c r="D17" s="2613"/>
      <c r="E17" s="2613"/>
      <c r="F17" s="2613"/>
      <c r="G17" s="2613"/>
      <c r="H17" s="2613"/>
      <c r="I17" s="2613"/>
      <c r="J17" s="2613"/>
      <c r="K17" s="2613"/>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6"/>
      <c r="C20" s="2606"/>
      <c r="D20" s="2606"/>
      <c r="E20" s="2606"/>
      <c r="F20" s="2606"/>
      <c r="G20" s="2606"/>
      <c r="H20" s="2606"/>
      <c r="I20" s="2606"/>
      <c r="J20" s="2606"/>
      <c r="K20" s="260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6"/>
      <c r="C23" s="2606"/>
      <c r="D23" s="2606"/>
      <c r="E23" s="2606"/>
      <c r="F23" s="2606"/>
      <c r="G23" s="2606"/>
      <c r="H23" s="2606"/>
      <c r="I23" s="2606"/>
      <c r="J23" s="2606"/>
      <c r="K23" s="260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6"/>
      <c r="C26" s="2606"/>
      <c r="D26" s="2606"/>
      <c r="E26" s="2606"/>
      <c r="F26" s="2606"/>
      <c r="G26" s="2606"/>
      <c r="H26" s="2606"/>
      <c r="I26" s="2606"/>
      <c r="J26" s="2606"/>
      <c r="K26" s="260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6"/>
      <c r="C29" s="2606"/>
      <c r="D29" s="2606"/>
      <c r="E29" s="2606"/>
      <c r="F29" s="2606"/>
      <c r="G29" s="2606"/>
      <c r="H29" s="2606"/>
      <c r="I29" s="2606"/>
      <c r="J29" s="2606"/>
      <c r="K29" s="260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6"/>
      <c r="C32" s="2606"/>
      <c r="D32" s="2606"/>
      <c r="E32" s="2606"/>
      <c r="F32" s="2606"/>
      <c r="G32" s="2606"/>
      <c r="H32" s="2606"/>
      <c r="I32" s="2606"/>
      <c r="J32" s="2606"/>
      <c r="K32" s="260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6"/>
      <c r="C35" s="2606"/>
      <c r="D35" s="2606"/>
      <c r="E35" s="2606"/>
      <c r="F35" s="2606"/>
      <c r="G35" s="2606"/>
      <c r="H35" s="2606"/>
      <c r="I35" s="2606"/>
      <c r="J35" s="2606"/>
      <c r="K35" s="260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6"/>
      <c r="C38" s="2606"/>
      <c r="D38" s="2606"/>
      <c r="E38" s="2606"/>
      <c r="F38" s="2606"/>
      <c r="G38" s="2606"/>
      <c r="H38" s="2606"/>
      <c r="I38" s="2606"/>
      <c r="J38" s="2606"/>
      <c r="K38" s="260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6"/>
      <c r="C41" s="2606"/>
      <c r="D41" s="2606"/>
      <c r="E41" s="2606"/>
      <c r="F41" s="2606"/>
      <c r="G41" s="2606"/>
      <c r="H41" s="2606"/>
      <c r="I41" s="2606"/>
      <c r="J41" s="2606"/>
      <c r="K41" s="260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B3" sqref="B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1" t="str">
        <f>'Single Audit Cover'!A7</f>
        <v xml:space="preserve">   Lincolnland Technical Ed Ctr</v>
      </c>
      <c r="C1" s="2591"/>
      <c r="D1" s="2591"/>
      <c r="E1" s="1240"/>
    </row>
    <row r="2" spans="2:5" s="1058" customFormat="1" ht="12.75" customHeight="1" x14ac:dyDescent="0.2">
      <c r="B2" s="2593">
        <f>'Single Audit Cover'!E7</f>
        <v>17054404041</v>
      </c>
      <c r="C2" s="2593"/>
      <c r="D2" s="2593"/>
      <c r="E2" s="1241"/>
    </row>
    <row r="3" spans="2:5" ht="12.75" customHeight="1" x14ac:dyDescent="0.2">
      <c r="B3" s="2607" t="s">
        <v>1743</v>
      </c>
      <c r="C3" s="2607"/>
      <c r="D3" s="2607"/>
      <c r="E3" s="1050"/>
    </row>
    <row r="4" spans="2:5" s="1058" customFormat="1" ht="12.75" customHeight="1" x14ac:dyDescent="0.2">
      <c r="B4" s="2617" t="str">
        <f>'Single Audit Cover'!A4</f>
        <v>Year Ending June 30, 2020</v>
      </c>
      <c r="C4" s="2617"/>
      <c r="D4" s="2617"/>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dcmitype/"/>
    <ds:schemaRef ds:uri="http://purl.org/dc/elements/1.1/"/>
    <ds:schemaRef ds:uri="http://schemas.microsoft.com/office/2006/metadata/properties"/>
    <ds:schemaRef ds:uri="4d435f69-8686-490b-bd6d-b153bf22ab50"/>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d21dc803-237d-4c68-8692-8d731fd29118"/>
    <ds:schemaRef ds:uri="6ce3111e-7420-4802-b50a-75d4e9a0b980"/>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A</vt:lpstr>
      <vt:lpstr> SEFA B</vt:lpstr>
      <vt:lpstr> SEFA C</vt:lpstr>
      <vt:lpstr>SEFA NOTES</vt:lpstr>
      <vt:lpstr>SF&amp;QC Sec-1</vt:lpstr>
      <vt:lpstr>SF&amp;QC Sec-2</vt:lpstr>
      <vt:lpstr>SF&amp;QC Sec-3</vt:lpstr>
      <vt:lpstr>SSPAF</vt:lpstr>
      <vt:lpstr>' SEFA'!Print_Area</vt:lpstr>
      <vt:lpstr>' SEFA A'!Print_Area</vt:lpstr>
      <vt:lpstr>' SEFA B'!Print_Area</vt:lpstr>
      <vt:lpstr>' SEFA C'!Print_Area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2020-09-29T21:46:54Z</cp:lastPrinted>
  <dcterms:created xsi:type="dcterms:W3CDTF">2003-10-29T19:06:34Z</dcterms:created>
  <dcterms:modified xsi:type="dcterms:W3CDTF">2020-10-27T15:54:19Z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