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ADBF94F-AD9A-48E9-B42D-382A40A762E0}"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F&amp;QC Sec-1" sheetId="174" r:id="rId31"/>
    <sheet name="SF&amp;QC Sec-2" sheetId="175" r:id="rId32"/>
    <sheet name="SF&amp;QC Sec-2 (2)" sheetId="186"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6" l="1"/>
  <c r="J19" i="185" l="1"/>
  <c r="J21" i="185" s="1"/>
  <c r="I19" i="185"/>
  <c r="I21" i="185" s="1"/>
  <c r="H19" i="185"/>
  <c r="H21" i="185" s="1"/>
  <c r="G19" i="185"/>
  <c r="G21" i="185" s="1"/>
  <c r="L21" i="185" s="1"/>
  <c r="F19" i="185"/>
  <c r="E19" i="185"/>
  <c r="E21" i="185" s="1"/>
  <c r="I26" i="179"/>
  <c r="G26" i="179"/>
  <c r="F26" i="179"/>
  <c r="E26" i="179"/>
  <c r="I21" i="179"/>
  <c r="G21" i="179"/>
  <c r="F21" i="179"/>
  <c r="F21" i="185" s="1"/>
  <c r="E21" i="179"/>
  <c r="G15" i="179"/>
  <c r="E15" i="179"/>
  <c r="L18" i="185"/>
  <c r="L17" i="185"/>
  <c r="L14" i="185"/>
  <c r="L13" i="185"/>
  <c r="I9" i="185"/>
  <c r="G9" i="185"/>
  <c r="F9" i="185"/>
  <c r="E9" i="185"/>
  <c r="J8" i="185"/>
  <c r="H8" i="185"/>
  <c r="L19" i="185" l="1"/>
  <c r="J24" i="24"/>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D7883" i="106" s="1"/>
  <c r="B7882" i="106"/>
  <c r="D7884"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342" i="29" l="1"/>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G33" i="108"/>
  <c r="E17" i="184"/>
  <c r="H17" i="184" s="1"/>
  <c r="D31" i="108"/>
  <c r="E16" i="184"/>
  <c r="H16" i="184" s="1"/>
  <c r="G30" i="108"/>
  <c r="E19" i="184"/>
  <c r="H12" i="184"/>
  <c r="H19" i="184" s="1"/>
  <c r="L20"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2031" i="106"/>
  <c r="D2031" i="106" s="1"/>
  <c r="L16" i="11"/>
  <c r="B2061" i="106" s="1"/>
  <c r="D206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7220" i="106"/>
  <c r="D7220" i="106" s="1"/>
  <c r="F75" i="34"/>
  <c r="B7886" i="106" s="1"/>
  <c r="D7886" i="106" s="1"/>
  <c r="B7222" i="106"/>
  <c r="D7222" i="106" s="1"/>
  <c r="F76" i="34"/>
  <c r="B7887" i="106" s="1"/>
  <c r="D7887" i="106" s="1"/>
  <c r="N57" i="184"/>
  <c r="N68" i="184" s="1"/>
  <c r="E68" i="184"/>
  <c r="D44" i="36"/>
  <c r="F41" i="108"/>
  <c r="G43" i="108" s="1"/>
  <c r="B7827" i="106"/>
  <c r="D78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7834" i="106" l="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<sst xmlns="http://schemas.openxmlformats.org/spreadsheetml/2006/main" count="5296" uniqueCount="2131">
  <si>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</si>
  <si>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</si>
  <si>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</si>
  <si>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</si>
  <si>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</si>
  <si>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</si>
  <si>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</si>
  <si>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</si>
  <si>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</si>
  <si>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</si>
  <si>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</si>
  <si>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</si>
  <si>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</si>
  <si>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</si>
  <si>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</si>
  <si>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</si>
  <si>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</si>
  <si>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</si>
  <si>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</si>
  <si>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</si>
  <si>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</si>
  <si>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</si>
  <si>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</si>
  <si>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</si>
  <si>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</si>
  <si>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</si>
  <si>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</si>
  <si>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</si>
  <si>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</si>
  <si>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</si>
  <si>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</si>
  <si>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</si>
  <si>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</si>
  <si>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</si>
  <si>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</si>
  <si>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</si>
  <si>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</si>
  <si>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</si>
  <si>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</si>
  <si>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</si>
  <si>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</si>
  <si>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</si>
  <si>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</si>
  <si>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</si>
  <si>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</si>
  <si>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</si>
  <si>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</si>
  <si>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</si>
  <si>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</si>
  <si>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</si>
  <si>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</si>
  <si>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</si>
  <si>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</si>
  <si>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</si>
  <si>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</si>
  <si>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</si>
  <si>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</si>
  <si>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</si>
  <si>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</si>
  <si>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</si>
  <si>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</si>
  <si>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</si>
  <si>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</si>
  <si>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</si>
  <si>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</si>
  <si>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</si>
  <si>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</si>
  <si>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</si>
  <si>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</si>
  <si>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</si>
  <si>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</si>
  <si>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</si>
  <si>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</si>
  <si>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</si>
  <si>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</si>
  <si>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</si>
  <si>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</si>
  <si>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</si>
  <si>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</si>
  <si>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</si>
  <si>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</si>
  <si>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</si>
  <si>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</si>
  <si>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</si>
  <si>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</si>
  <si>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</si>
  <si>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</si>
  <si>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</si>
  <si>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</si>
  <si>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</si>
  <si>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</si>
  <si>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</si>
  <si>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</si>
  <si>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</si>
  <si>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</si>
  <si>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</si>
  <si>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</si>
  <si>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</si>
  <si>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</si>
  <si>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</si>
  <si>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</si>
  <si>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</si>
  <si>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</si>
  <si>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</si>
  <si>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</si>
  <si>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</si>
  <si>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</si>
  <si>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</si>
  <si>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</si>
  <si>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</si>
  <si>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</si>
  <si>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</si>
  <si>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</si>
  <si>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</si>
  <si>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</si>
  <si>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</si>
  <si>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</si>
  <si>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</si>
  <si>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</si>
  <si>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</si>
  <si>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</si>
  <si>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</si>
  <si>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</si>
  <si>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</si>
  <si>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</si>
  <si>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</si>
  <si>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</si>
  <si>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</si>
  <si>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</si>
  <si>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</si>
  <si>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</si>
  <si>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</si>
  <si>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</si>
  <si>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</si>
  <si>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</si>
  <si>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</si>
  <si>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</si>
  <si>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</si>
  <si>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</si>
  <si>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</si>
  <si>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</si>
  <si>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</si>
  <si>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</si>
  <si>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</si>
  <si>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</si>
  <si>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</si>
  <si>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</si>
  <si>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</si>
  <si>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</si>
  <si>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</si>
  <si>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</si>
  <si>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</si>
  <si>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</si>
  <si>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</si>
  <si>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</si>
  <si>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</si>
  <si>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</si>
  <si>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</si>
  <si>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</si>
  <si>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</si>
  <si>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</si>
  <si>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</si>
  <si>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</si>
  <si>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</si>
  <si>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</si>
  <si>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</si>
  <si>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</si>
  <si>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</si>
  <si>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</si>
  <si>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</si>
  <si>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</si>
  <si>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</si>
  <si>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</si>
  <si>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</si>
  <si>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</si>
  <si>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</si>
  <si>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</si>
  <si>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</si>
  <si>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</si>
  <si>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</si>
  <si>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</si>
  <si>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</si>
  <si>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</si>
  <si>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</si>
  <si>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</si>
  <si>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</si>
  <si>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</si>
  <si>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</si>
  <si>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</si>
  <si>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</si>
  <si>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</si>
  <si>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</si>
  <si>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</si>
  <si>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</si>
  <si>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</si>
  <si>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</si>
  <si>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</si>
  <si>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</si>
  <si>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</si>
  <si>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</si>
  <si>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</si>
  <si>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</si>
  <si>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</si>
  <si>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</si>
  <si>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</si>
  <si>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</si>
  <si>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</si>
  <si>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</si>
  <si>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</si>
  <si>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</si>
  <si>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</si>
  <si>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</si>
  <si>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</si>
  <si>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</si>
  <si>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</si>
  <si>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</si>
  <si>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</si>
  <si>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</si>
  <si>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</si>
  <si>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</si>
  <si>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</si>
  <si>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</si>
  <si>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</si>
  <si>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</si>
  <si>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</si>
  <si>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</si>
  <si>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</si>
  <si>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</si>
  <si>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</si>
  <si>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</si>
  <si>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</si>
  <si>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</si>
  <si>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</si>
  <si>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</si>
  <si>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</si>
  <si>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</si>
  <si>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</si>
  <si>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</si>
  <si>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</si>
  <si>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</si>
  <si>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</si>
  <si>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</si>
  <si>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</si>
  <si>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</si>
  <si>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</si>
  <si>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</si>
  <si>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</si>
  <si>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</si>
  <si>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</si>
  <si>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</si>
  <si>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</si>
  <si>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</si>
  <si>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</si>
  <si>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</si>
  <si>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</si>
  <si>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</si>
  <si>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</si>
  <si>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</si>
  <si>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</si>
  <si>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</si>
  <si>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</si>
  <si>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</si>
  <si>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</si>
  <si>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</si>
  <si>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</si>
  <si>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</si>
  <si>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</si>
  <si>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</si>
  <si>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</si>
  <si>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</si>
  <si>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</si>
  <si>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</si>
  <si>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</si>
  <si>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</si>
  <si>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</si>
  <si>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</si>
  <si>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</si>
  <si>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</si>
  <si>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</si>
  <si>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</si>
  <si>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</si>
  <si>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</si>
  <si>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</si>
  <si>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</si>
  <si>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</si>
  <si>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</si>
  <si>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</si>
  <si>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</si>
  <si>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</si>
  <si>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</si>
  <si>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</si>
  <si>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</si>
  <si>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</si>
  <si>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</si>
  <si>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</si>
  <si>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</si>
  <si>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</si>
  <si>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</si>
  <si>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</si>
  <si>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</si>
  <si>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</si>
  <si>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</si>
  <si>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</si>
  <si>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</si>
  <si>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</si>
  <si>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</si>
  <si>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</si>
  <si>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</si>
  <si>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</si>
  <si>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</si>
  <si>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</si>
  <si>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</si>
  <si>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</si>
  <si>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</si>
  <si>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</si>
  <si>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</si>
  <si>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</si>
  <si>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</si>
  <si>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</si>
  <si>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</si>
  <si>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</si>
  <si>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</si>
  <si>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</si>
  <si>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</si>
  <si>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</si>
  <si>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</si>
  <si>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</si>
  <si>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</si>
  <si>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</si>
  <si>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</si>
  <si>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</si>
  <si>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</si>
  <si>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</si>
  <si>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</si>
  <si>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</si>
  <si>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</si>
  <si>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</si>
  <si>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</si>
  <si>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</si>
  <si>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</si>
  <si>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</si>
  <si>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</si>
  <si>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</si>
  <si>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</si>
  <si>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</si>
  <si>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</si>
  <si>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</si>
  <si>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</si>
  <si>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</si>
  <si>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</si>
  <si>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</si>
  <si>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</si>
  <si>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</si>
  <si>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</si>
  <si>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</si>
  <si>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</si>
  <si>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</si>
  <si>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</si>
  <si>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</si>
  <si>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</si>
  <si>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</si>
  <si>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</si>
  <si>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</si>
  <si>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</si>
  <si>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</si>
  <si>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</si>
  <si>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</si>
  <si>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</si>
  <si>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</si>
  <si>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</si>
  <si>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</si>
  <si>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</si>
  <si>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</si>
  <si>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</si>
  <si>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</si>
  <si>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</si>
  <si>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</si>
  <si>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</si>
  <si>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</si>
  <si>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</si>
  <si>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</si>
  <si>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</si>
  <si>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</si>
  <si>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</si>
  <si>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</si>
  <si>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</si>
  <si>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</si>
  <si>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</si>
  <si>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</si>
  <si>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</si>
  <si>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</si>
  <si>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</si>
  <si>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</si>
  <si>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</si>
  <si>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</si>
  <si>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</si>
  <si>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</si>
  <si>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</si>
  <si>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</si>
  <si>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</si>
  <si>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</si>
  <si>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</si>
  <si>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</si>
  <si>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</si>
  <si>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</si>
  <si>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</si>
  <si>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</si>
  <si>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</si>
  <si>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</si>
  <si>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</si>
  <si>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</si>
  <si>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</si>
  <si>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</si>
  <si>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</si>
  <si>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</si>
  <si>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</si>
  <si>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</si>
  <si>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</si>
  <si>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</si>
  <si>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</si>
  <si>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</si>
  <si>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</si>
  <si>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</si>
  <si>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</si>
  <si>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</si>
  <si>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</si>
  <si>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</si>
  <si>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</si>
  <si>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</si>
  <si>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</si>
  <si>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</si>
  <si>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</si>
  <si>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</si>
  <si>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</si>
  <si>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</si>
  <si>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</si>
  <si>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</si>
  <si>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</si>
  <si>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</si>
  <si>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</si>
  <si>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</si>
  <si>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</si>
  <si>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</si>
  <si>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</si>
  <si>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</si>
  <si>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</si>
  <si>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</si>
  <si>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</si>
  <si>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</si>
  <si>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</si>
  <si>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</si>
  <si>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</si>
  <si>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</si>
  <si>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</si>
  <si>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</si>
  <si>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</si>
  <si>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</si>
  <si>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</si>
  <si>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</si>
  <si>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</si>
  <si>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</si>
  <si>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</si>
  <si>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</si>
  <si>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</si>
  <si>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</si>
  <si>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</si>
  <si>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</si>
  <si>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</si>
  <si>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</si>
  <si>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</si>
  <si>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</si>
  <si>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</si>
  <si>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</si>
  <si>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</si>
  <si>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</si>
  <si>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</si>
  <si>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</si>
  <si>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</si>
  <si>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</si>
  <si>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</si>
  <si>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</si>
  <si>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</si>
  <si>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</si>
  <si>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</si>
  <si>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</si>
  <si>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</si>
  <si>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</si>
  <si>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</si>
  <si>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</si>
  <si>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</si>
  <si>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</si>
  <si>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</si>
  <si>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</si>
  <si>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</si>
  <si>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</si>
  <si>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</si>
  <si>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</si>
  <si>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</si>
  <si>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</si>
  <si>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</si>
  <si>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</si>
  <si>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</si>
  <si>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</si>
  <si>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</si>
  <si>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</si>
  <si>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</si>
  <si>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</si>
  <si>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</si>
  <si>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</si>
  <si>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</si>
  <si>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</si>
  <si>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</si>
  <si>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</si>
  <si>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</si>
  <si>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</si>
  <si>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</si>
  <si>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</si>
  <si>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</si>
  <si>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</si>
  <si>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</si>
  <si>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</si>
  <si>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</si>
  <si>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</si>
  <si>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</si>
  <si>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</si>
  <si>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</si>
  <si>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</si>
  <si>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</si>
  <si>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</si>
  <si>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</si>
  <si>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</si>
  <si>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</si>
  <si>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</si>
  <si>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</si>
  <si>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</si>
  <si>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</si>
  <si>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</si>
  <si>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</si>
  <si>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</si>
  <si>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</si>
  <si>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</si>
  <si>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</si>
  <si>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</si>
  <si>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</si>
  <si>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</si>
  <si>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</si>
  <si>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</si>
  <si>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</si>
  <si>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</si>
  <si>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</si>
  <si>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</si>
  <si>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</si>
  <si>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</si>
  <si>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</si>
  <si>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</si>
  <si>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</si>
  <si>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</si>
  <si>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</si>
  <si>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</si>
  <si>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</si>
  <si>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</si>
  <si>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</si>
  <si>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</si>
  <si>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</si>
  <si>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</si>
  <si>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</si>
  <si>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</si>
  <si>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</si>
  <si>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</si>
  <si>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</si>
  <si>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</si>
  <si>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</si>
  <si>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</si>
  <si>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</si>
  <si>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</si>
  <si>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</si>
  <si>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</si>
  <si>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</si>
  <si>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</si>
  <si>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</si>
  <si>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</si>
  <si>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</si>
  <si>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</si>
  <si>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</si>
  <si>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</si>
  <si>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</si>
  <si>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</si>
  <si>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</si>
  <si>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</si>
  <si>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</si>
  <si>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</si>
  <si>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</si>
  <si>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</si>
  <si>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</si>
  <si>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</si>
  <si>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</si>
  <si>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</si>
  <si>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</si>
  <si>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</si>
  <si>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</si>
  <si>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</si>
  <si>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</si>
  <si>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</si>
  <si>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</si>
  <si>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</si>
  <si>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</si>
  <si>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</si>
  <si>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</si>
  <si>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</si>
  <si>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</si>
  <si>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</si>
  <si>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</si>
  <si>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</si>
  <si>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</si>
  <si>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</si>
  <si>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</si>
  <si>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</si>
  <si>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</si>
  <si>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</si>
  <si>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</si>
  <si>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</si>
  <si>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</si>
  <si>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</si>
  <si>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</si>
  <si>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</si>
  <si>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</si>
  <si>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</si>
  <si>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</si>
  <si>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</si>
  <si>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</si>
  <si>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</si>
  <si>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</si>
  <si>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</si>
  <si>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</si>
  <si>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</si>
  <si>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</si>
  <si>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</si>
  <si>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</si>
  <si>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</si>
  <si>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</si>
  <si>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</si>
  <si>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</si>
  <si>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</si>
  <si>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</si>
  <si>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</si>
  <si>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</si>
  <si>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</si>
  <si>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</si>
  <si>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</si>
  <si>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</si>
  <si>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</si>
  <si>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</si>
  <si>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</si>
  <si>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</si>
  <si>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</si>
  <si>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</si>
  <si>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</si>
  <si>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</si>
  <si>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</si>
  <si>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</si>
  <si>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</si>
  <si>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</si>
  <si>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</si>
  <si>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</si>
  <si>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</si>
  <si>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</si>
  <si>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</si>
  <si>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</si>
  <si>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</si>
  <si>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</si>
  <si>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</si>
  <si>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</si>
  <si>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</si>
  <si>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</si>
  <si>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</si>
  <si>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</si>
  <si>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</si>
  <si>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</si>
  <si>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</si>
  <si>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</si>
  <si>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</si>
  <si>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</si>
  <si>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</si>
  <si>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</si>
  <si>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</si>
  <si>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</si>
  <si>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</si>
  <si>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</si>
  <si>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</si>
  <si>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</si>
  <si>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</si>
  <si>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</si>
  <si>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</si>
  <si>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</si>
  <si>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</si>
  <si>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</si>
  <si>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</si>
  <si>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</si>
  <si>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</si>
  <si>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</si>
  <si>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</si>
  <si>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</si>
  <si>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</si>
  <si>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</si>
  <si>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</si>
  <si>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</si>
  <si>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</si>
  <si>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</si>
  <si>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</si>
  <si>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</si>
  <si>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</si>
  <si>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</si>
  <si>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</si>
  <si>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</si>
  <si>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</si>
  <si>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</si>
  <si>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</si>
  <si>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</si>
  <si>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</si>
  <si>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</si>
  <si>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</si>
  <si>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</si>
  <si>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</si>
  <si>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</si>
  <si>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</si>
  <si>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</si>
  <si>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</si>
  <si>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</si>
  <si>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</si>
  <si>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</si>
  <si>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</si>
  <si>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</si>
  <si>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</si>
  <si>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</si>
  <si>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</si>
  <si>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</si>
  <si>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</si>
  <si>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</si>
  <si>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</si>
  <si>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</si>
  <si>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</si>
  <si>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</si>
  <si>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</si>
  <si>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</si>
  <si>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</si>
  <si>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</si>
  <si>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</si>
  <si>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</si>
  <si>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</si>
  <si>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</si>
  <si>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</si>
  <si>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</si>
  <si>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</si>
  <si>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</si>
  <si>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</si>
  <si>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</si>
  <si>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</si>
  <si>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</si>
  <si>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</si>
  <si>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</si>
  <si>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</si>
  <si>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</si>
  <si>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</si>
  <si>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</si>
  <si>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</si>
  <si>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</si>
  <si>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</si>
  <si>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</si>
  <si>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</si>
  <si>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</si>
  <si>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</si>
  <si>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</si>
  <si>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</si>
  <si>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</si>
  <si>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</si>
  <si>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</si>
  <si>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</si>
  <si>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</si>
  <si>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</si>
  <si>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</si>
  <si>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</si>
  <si>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</si>
  <si>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</si>
  <si>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</si>
  <si>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</si>
  <si>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</si>
  <si>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</si>
  <si>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</si>
  <si>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</si>
  <si>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</si>
  <si>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</si>
  <si>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</si>
  <si>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</si>
  <si>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</si>
  <si>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</si>
  <si>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</si>
  <si>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</si>
  <si>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</si>
  <si>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</si>
  <si>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</si>
  <si>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</si>
  <si>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</si>
  <si>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</si>
  <si>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</si>
  <si>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</si>
  <si>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</si>
  <si>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</si>
  <si>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</si>
  <si>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</si>
  <si>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</si>
  <si>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</si>
  <si>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</si>
  <si>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</si>
  <si>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</si>
  <si>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</si>
  <si>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</si>
  <si>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</si>
  <si>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</si>
  <si>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</si>
  <si>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</si>
  <si>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</si>
  <si>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</si>
  <si>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</si>
  <si>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</si>
  <si>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</si>
  <si>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</si>
  <si>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</si>
  <si>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</si>
  <si>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</si>
  <si>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</si>
  <si>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</si>
  <si>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</si>
  <si>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</si>
  <si>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</si>
  <si>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</si>
  <si>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</si>
  <si>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</si>
  <si>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</si>
  <si>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</si>
  <si>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</si>
  <si>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</si>
  <si>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</si>
  <si>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</si>
  <si>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</si>
  <si>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</si>
  <si>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</si>
  <si>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</si>
  <si>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</si>
  <si>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</si>
  <si>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</si>
  <si>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</si>
  <si>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</si>
  <si>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</si>
  <si>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</si>
  <si>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</si>
  <si>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</si>
  <si>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</si>
  <si>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</si>
  <si>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</si>
  <si>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</si>
  <si>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</si>
  <si>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</si>
  <si>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</si>
  <si>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</si>
  <si>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</si>
  <si>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</si>
  <si>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</si>
  <si>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</si>
  <si>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</si>
  <si>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</si>
  <si>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</si>
  <si>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</si>
  <si>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</si>
  <si>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</si>
  <si>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</si>
  <si>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</si>
  <si>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</si>
  <si>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</si>
  <si>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</si>
  <si>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</si>
  <si>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</si>
  <si>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</si>
  <si>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</si>
  <si>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</si>
  <si>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</si>
  <si>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</si>
  <si>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</si>
  <si>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</si>
  <si>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</si>
  <si>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</si>
  <si>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</si>
  <si>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</si>
  <si>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</si>
  <si>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</si>
  <si>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</si>
  <si>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</si>
  <si>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</si>
  <si>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</si>
  <si>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</si>
  <si>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</si>
  <si>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</si>
  <si>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</si>
  <si>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</si>
  <si>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</si>
  <si>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</si>
  <si>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</si>
  <si>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</si>
  <si>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</si>
  <si>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</si>
  <si>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</si>
  <si>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</si>
  <si>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</si>
  <si>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</si>
  <si>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</si>
  <si>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</si>
  <si>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</si>
  <si>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</si>
  <si>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</si>
  <si>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</si>
  <si>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</si>
  <si>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</si>
  <si>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</si>
  <si>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</si>
  <si>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</si>
  <si>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</si>
  <si>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</si>
  <si>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</si>
  <si>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</si>
  <si>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</si>
  <si>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</si>
  <si>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</si>
  <si>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</si>
  <si>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</si>
  <si>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</si>
  <si>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</si>
  <si>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</si>
  <si>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</si>
  <si>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</si>
  <si>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</si>
  <si>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</si>
  <si>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</si>
  <si>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</si>
  <si>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</si>
  <si>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</si>
  <si>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</si>
  <si>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</si>
  <si>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</si>
  <si>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</si>
  <si>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</si>
  <si>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</si>
  <si>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</si>
  <si>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</si>
  <si>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</si>
  <si>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</si>
  <si>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</si>
  <si>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</si>
  <si>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</si>
  <si>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</si>
  <si>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</si>
  <si>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</si>
  <si>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</si>
  <si>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</si>
  <si>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</si>
  <si>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</si>
  <si>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</si>
  <si>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</si>
  <si>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</si>
  <si>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</si>
  <si>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</si>
  <si>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</si>
  <si>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</si>
  <si>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</si>
  <si>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</si>
  <si>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</si>
  <si>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</si>
  <si>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</si>
  <si>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</si>
  <si>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</si>
  <si>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</si>
  <si>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</si>
  <si>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</si>
  <si>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</si>
  <si>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</si>
  <si>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</si>
  <si>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</si>
  <si>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</si>
  <si>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</si>
  <si>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</si>
  <si>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</si>
  <si>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</si>
  <si>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</si>
  <si>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</si>
  <si>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</si>
  <si>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</si>
  <si>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</si>
  <si>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</si>
  <si>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</si>
  <si>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</si>
  <si>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</si>
  <si>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</si>
  <si>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</si>
  <si>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</si>
  <si>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</si>
  <si>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</si>
  <si>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</si>
  <si>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</si>
  <si>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</si>
  <si>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</si>
  <si>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</si>
  <si>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</si>
  <si>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</si>
  <si>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</si>
  <si>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</si>
  <si>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</si>
  <si>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</si>
  <si>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</si>
  <si>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</si>
  <si>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</si>
  <si>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</si>
  <si>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</si>
  <si>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</si>
  <si>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</si>
  <si>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</si>
  <si>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</si>
  <si>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</si>
  <si>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</si>
  <si>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</si>
  <si>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</si>
  <si>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</si>
  <si>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</si>
  <si>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</si>
  <si>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</si>
  <si>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</si>
  <si>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</si>
  <si>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</si>
  <si>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</si>
  <si>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</si>
  <si>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</si>
  <si>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</si>
  <si>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</si>
  <si>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</si>
  <si>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</si>
  <si>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</si>
  <si>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</si>
  <si>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</si>
  <si>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</si>
  <si>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</si>
  <si>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</si>
  <si>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</si>
  <si>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</si>
  <si>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</si>
  <si>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</si>
  <si>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</si>
  <si>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</si>
  <si>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</si>
  <si>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</si>
  <si>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</si>
  <si>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</si>
  <si>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</si>
  <si>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</si>
  <si>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</si>
  <si>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</si>
  <si>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</si>
  <si>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</si>
  <si>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</si>
  <si>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</si>
  <si>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</si>
  <si>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</si>
  <si>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</si>
  <si>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</si>
  <si>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</si>
  <si>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</si>
  <si>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</si>
  <si>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</si>
  <si>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</si>
  <si>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</si>
  <si>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</si>
  <si>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</si>
  <si>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</si>
  <si>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</si>
  <si>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</si>
  <si>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</si>
  <si>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</si>
  <si>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</si>
  <si>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</si>
  <si>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</si>
  <si>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</si>
  <si>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</si>
  <si>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</si>
  <si>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</si>
  <si>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</si>
  <si>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</si>
  <si>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</si>
  <si>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</si>
  <si>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</si>
  <si>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</si>
  <si>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</si>
  <si>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</si>
  <si>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</si>
  <si>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</si>
  <si>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</si>
  <si>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</si>
  <si>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</si>
  <si>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</si>
  <si>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</si>
  <si>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</si>
  <si>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</si>
  <si>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</si>
  <si>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</si>
  <si>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</si>
  <si>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</si>
  <si>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</si>
  <si>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</si>
  <si>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</si>
  <si>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</si>
  <si>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</si>
  <si>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</si>
  <si>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</si>
  <si>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</si>
  <si>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</si>
  <si>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</si>
  <si>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</si>
  <si>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</si>
  <si>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</si>
  <si>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</si>
  <si>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</si>
  <si>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</si>
  <si>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</si>
  <si>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</si>
  <si>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</si>
  <si>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</si>
  <si>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</si>
  <si>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</si>
  <si>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</si>
  <si>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</si>
  <si>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</si>
  <si>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</si>
  <si>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</si>
  <si>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</si>
  <si>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</si>
  <si>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</si>
  <si>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</si>
  <si>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</si>
  <si>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</si>
  <si>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</si>
  <si>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</si>
  <si>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</si>
  <si>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</si>
  <si>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</si>
  <si>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</si>
  <si>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</si>
  <si>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</si>
  <si>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</si>
  <si>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</si>
  <si>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</si>
  <si>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</si>
  <si>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</si>
  <si>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</si>
  <si>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</si>
  <si>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</si>
  <si>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</si>
  <si>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</si>
  <si>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</si>
  <si>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</si>
  <si>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</si>
  <si>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</si>
  <si>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</si>
  <si>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</si>
  <si>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</si>
  <si>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</si>
  <si>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</si>
  <si>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</si>
  <si>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</si>
  <si>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</si>
  <si>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</si>
  <si>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</si>
  <si>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</si>
  <si>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</si>
  <si>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</si>
  <si>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</si>
  <si>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</si>
  <si>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</si>
  <si>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</si>
  <si>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</si>
  <si>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</si>
  <si>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</si>
  <si>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</si>
  <si>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</si>
  <si>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</si>
  <si>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</si>
  <si>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</si>
  <si>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</si>
  <si>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</si>
  <si>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</si>
  <si>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</si>
  <si>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</si>
  <si>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</si>
  <si>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</si>
  <si>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</si>
  <si>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</si>
  <si>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</si>
  <si>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</si>
  <si>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</si>
  <si>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</si>
  <si>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</si>
  <si>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</si>
  <si>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</si>
  <si>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</si>
  <si>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</si>
  <si>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</si>
  <si>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</si>
  <si>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</si>
  <si>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</si>
  <si>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</si>
  <si>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</si>
  <si>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</si>
  <si>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</si>
  <si>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</si>
  <si>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</si>
  <si>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</si>
  <si>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</si>
  <si>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</si>
  <si>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</si>
  <si>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</si>
  <si>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</si>
  <si>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</si>
  <si>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</si>
  <si>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</si>
  <si>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</si>
  <si>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</si>
  <si>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</si>
  <si>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</si>
  <si>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</si>
  <si>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</si>
  <si>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</si>
  <si>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</si>
  <si>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</si>
  <si>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</si>
  <si>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</si>
  <si>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</si>
  <si>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</si>
  <si>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</si>
  <si>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</si>
  <si>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</si>
  <si>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</si>
  <si>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</si>
  <si>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</si>
  <si>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</si>
  <si>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</si>
  <si>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</si>
  <si>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</si>
  <si>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</si>
  <si>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</si>
  <si>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</si>
  <si>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</si>
  <si>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</si>
  <si>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</si>
  <si>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</si>
  <si>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</si>
  <si>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</si>
  <si>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</si>
  <si>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</si>
  <si>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</si>
  <si>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</si>
  <si>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</si>
  <si>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</si>
  <si>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</si>
  <si>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</si>
  <si>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</si>
  <si>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</si>
  <si>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</si>
  <si>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</si>
  <si>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</si>
  <si>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</si>
  <si>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</si>
  <si>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</si>
  <si>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</si>
  <si>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</si>
  <si>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</si>
  <si>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</si>
  <si>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</si>
  <si>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</si>
  <si>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</si>
  <si>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</si>
  <si>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</si>
  <si>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</si>
  <si>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</si>
  <si>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</si>
  <si>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</si>
  <si>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</si>
  <si>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</si>
  <si>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</si>
  <si>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</si>
  <si>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</si>
  <si>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</si>
  <si>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</si>
  <si>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</si>
  <si>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</si>
  <si>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</si>
  <si>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</si>
  <si>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</si>
  <si>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</si>
  <si>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</si>
  <si>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</si>
  <si>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</si>
  <si>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</si>
  <si>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</si>
  <si>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</si>
  <si>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</si>
  <si>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</si>
  <si>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</si>
  <si>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</si>
  <si>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</si>
  <si>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</si>
  <si>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</si>
  <si>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</si>
  <si>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</si>
  <si>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</si>
  <si>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</si>
  <si>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</si>
  <si>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</si>
  <si>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</si>
  <si>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</si>
  <si>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</si>
  <si>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</si>
  <si>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</si>
  <si>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</si>
  <si>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</si>
  <si>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</si>
  <si>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</si>
  <si>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</si>
  <si>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</si>
  <si>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</si>
  <si>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</si>
  <si>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</si>
  <si>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</si>
  <si>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</si>
  <si>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</si>
  <si>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</si>
  <si>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</si>
  <si>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</si>
  <si>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</si>
  <si>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</si>
  <si>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</si>
  <si>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</si>
  <si>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</si>
  <si>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</si>
  <si>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</si>
  <si>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</si>
  <si>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</si>
  <si>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</si>
  <si>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</si>
  <si>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</si>
  <si>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</si>
  <si>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</si>
  <si>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</si>
  <si>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</si>
  <si>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</si>
  <si>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</si>
  <si>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</si>
  <si>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</si>
  <si>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</si>
  <si>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</si>
  <si>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</si>
  <si>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</si>
  <si>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</si>
  <si>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</si>
  <si>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</si>
  <si>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</si>
  <si>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</si>
  <si>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</si>
  <si>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</si>
  <si>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</si>
  <si>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</si>
  <si>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</si>
  <si>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</si>
  <si>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</si>
  <si>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</si>
  <si>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</si>
  <si>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</si>
  <si>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</si>
  <si>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</si>
  <si>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</si>
  <si>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</si>
  <si>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</si>
  <si>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</si>
  <si>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</si>
  <si>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</si>
  <si>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</si>
  <si>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</si>
  <si>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</si>
  <si>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</si>
  <si>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</si>
  <si>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</si>
  <si>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</si>
  <si>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</si>
  <si>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</si>
  <si>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</si>
  <si>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</si>
  <si>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</si>
  <si>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</si>
  <si>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</si>
  <si>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</si>
  <si>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</si>
  <si>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</si>
  <si>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</si>
  <si>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</si>
  <si>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</si>
  <si>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</si>
  <si>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</si>
  <si>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</si>
  <si>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</si>
  <si>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</si>
  <si>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</si>
  <si>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</si>
  <si>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</si>
  <si>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</si>
  <si>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</si>
  <si>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</si>
  <si>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</si>
  <si>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</si>
  <si>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</si>
  <si>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</si>
  <si>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</si>
  <si>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</si>
  <si>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</si>
  <si>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</si>
  <si>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</si>
  <si>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</si>
  <si>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</si>
  <si>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</si>
  <si>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</si>
  <si>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</si>
  <si>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</si>
  <si>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</si>
  <si>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</si>
  <si>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</si>
  <si>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</si>
  <si>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</si>
  <si>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</si>
  <si>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</si>
  <si>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</si>
  <si>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</si>
  <si>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</si>
  <si>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</si>
  <si>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</si>
  <si>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</si>
  <si>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</si>
  <si>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</si>
  <si>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</si>
  <si>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</si>
  <si>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</si>
  <si>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</si>
  <si>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</si>
  <si>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</si>
  <si>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</si>
  <si>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</si>
  <si>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</si>
  <si>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</si>
  <si>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</si>
  <si>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</si>
  <si>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</si>
  <si>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</si>
  <si>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</si>
  <si>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</si>
  <si>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</si>
  <si>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</si>
  <si>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</si>
  <si>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</si>
  <si>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</si>
  <si>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</si>
  <si>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</si>
  <si>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</si>
  <si>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</si>
  <si>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</si>
  <si>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</si>
  <si>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</si>
  <si>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</si>
  <si>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</si>
  <si>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</si>
  <si>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</si>
  <si>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</si>
  <si>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</si>
  <si>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</si>
  <si>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</si>
  <si>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</si>
  <si>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</si>
  <si>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</si>
  <si>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</si>
  <si>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</si>
  <si>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</si>
  <si>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</si>
  <si>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</si>
  <si>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</si>
  <si>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</si>
  <si>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</si>
  <si>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</si>
  <si>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</si>
  <si>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</si>
  <si>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</si>
  <si>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</si>
  <si>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</si>
  <si>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</si>
  <si>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</si>
  <si>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</si>
  <si>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</si>
  <si>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</si>
  <si>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</si>
  <si>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</si>
  <si>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</si>
  <si>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</si>
  <si>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</si>
  <si>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</si>
  <si>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</si>
  <si>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</si>
  <si>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</si>
  <si>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</si>
  <si>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</si>
  <si>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</si>
  <si>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</si>
  <si>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</si>
  <si>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</si>
  <si>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</si>
  <si>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</si>
  <si>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</si>
  <si>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</si>
  <si>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</si>
  <si>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</si>
  <si>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</si>
  <si>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</si>
  <si>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</si>
  <si>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</si>
  <si>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</si>
  <si>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</si>
  <si>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</si>
  <si>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</si>
  <si>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</si>
  <si>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</si>
  <si>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</si>
  <si>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</si>
  <si>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</si>
  <si>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</si>
  <si>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</si>
  <si>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</si>
  <si>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</si>
  <si>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</si>
  <si>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</si>
  <si>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</si>
  <si>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</si>
  <si>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</si>
  <si>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</si>
  <si>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</si>
  <si>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</si>
  <si>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</si>
  <si>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</si>
  <si>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</si>
  <si>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</si>
  <si>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</si>
  <si>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</si>
  <si>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</si>
  <si>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</si>
  <si>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</si>
  <si>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</si>
  <si>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</si>
  <si>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</si>
  <si>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</si>
  <si>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</si>
  <si>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</si>
  <si>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</si>
  <si>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</si>
  <si>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</si>
  <si>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</si>
  <si>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</si>
  <si>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</si>
  <si>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</si>
  <si>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</si>
  <si>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</si>
  <si>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</si>
  <si>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</si>
  <si>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</si>
  <si>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</si>
  <si>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</si>
  <si>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</si>
  <si>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</si>
  <si>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</si>
  <si>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</si>
  <si>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</si>
  <si>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</si>
  <si>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</si>
  <si>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</si>
  <si>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</si>
  <si>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</si>
  <si>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</si>
  <si>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</si>
  <si>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</si>
  <si>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</si>
  <si>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</si>
  <si>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</si>
  <si>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</si>
  <si>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</si>
  <si>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</si>
  <si>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</si>
  <si>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</si>
  <si>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</si>
  <si>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</si>
  <si>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</si>
  <si>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</si>
  <si>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</si>
  <si>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</si>
  <si>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</si>
  <si>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</si>
  <si>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</si>
  <si>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</si>
  <si>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</si>
  <si>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</si>
  <si>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</si>
  <si>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</si>
  <si>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</si>
  <si>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</si>
  <si>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</si>
  <si>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</si>
  <si>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</si>
  <si>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</si>
  <si>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</si>
  <si>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</si>
  <si>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</si>
  <si>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</si>
  <si>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</si>
  <si>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</si>
  <si>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</si>
  <si>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</si>
  <si>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</si>
  <si>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</si>
  <si>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</si>
  <si>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</si>
  <si>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</si>
  <si>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</si>
  <si>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</si>
  <si>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</si>
  <si>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</si>
  <si>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</si>
  <si>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</si>
  <si>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</si>
  <si>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</si>
  <si>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</si>
  <si>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</si>
  <si>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</si>
  <si>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</si>
  <si>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</si>
  <si>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</si>
  <si>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</si>
  <si>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</si>
  <si>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</si>
  <si>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</si>
  <si>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</si>
  <si>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</si>
  <si>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</si>
  <si>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</si>
  <si>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</si>
  <si>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</si>
  <si>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</si>
  <si>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</si>
  <si>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</si>
  <si>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</si>
  <si>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</si>
  <si>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</si>
  <si>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</si>
  <si>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</si>
  <si>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</si>
  <si>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</si>
  <si>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</si>
  <si>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</si>
  <si>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</si>
  <si>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</si>
  <si>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</si>
  <si>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</si>
  <si>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</si>
  <si>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</si>
  <si>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</si>
  <si>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</si>
  <si>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</si>
  <si>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</si>
  <si>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</si>
  <si>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</si>
  <si>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</si>
  <si>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</si>
  <si>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</si>
  <si>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</si>
  <si>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</si>
  <si>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</si>
  <si>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</si>
  <si>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</si>
  <si>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</si>
  <si>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</si>
  <si>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</si>
  <si>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</si>
  <si>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</si>
  <si>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</si>
  <si>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</si>
  <si>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</si>
  <si>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</si>
  <si>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</si>
  <si>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</si>
  <si>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</si>
  <si>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</si>
  <si>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</si>
  <si>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</si>
  <si>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</si>
  <si>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</si>
  <si>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</si>
  <si>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</si>
  <si>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</si>
  <si>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</si>
  <si>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</si>
  <si>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</si>
  <si>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</si>
  <si>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</si>
  <si>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</si>
  <si>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</si>
  <si>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</si>
  <si>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</si>
  <si>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</si>
  <si>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</si>
  <si>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</si>
  <si>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</si>
  <si>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</si>
  <si>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</si>
  <si>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</si>
  <si>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</si>
  <si>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</si>
  <si>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</si>
  <si>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</si>
  <si>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</si>
  <si>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</si>
  <si>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</si>
  <si>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</si>
  <si>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</si>
  <si>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</si>
  <si>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</si>
  <si>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</si>
  <si>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</si>
  <si>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</si>
  <si>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</si>
  <si>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</si>
  <si>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</si>
  <si>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</si>
  <si>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</si>
  <si>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</si>
  <si>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</si>
  <si>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</si>
  <si>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</si>
  <si>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</si>
  <si>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</si>
  <si>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</si>
  <si>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</si>
  <si>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</si>
  <si>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</si>
  <si>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</si>
  <si>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</si>
  <si>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</si>
  <si>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</si>
  <si>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</si>
  <si>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</si>
  <si>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</si>
  <si>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</si>
  <si>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</si>
  <si>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</si>
  <si>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</si>
  <si>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</si>
  <si>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</si>
  <si>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</si>
  <si>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</si>
  <si>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</si>
  <si>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</si>
  <si>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</si>
  <si>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</si>
  <si>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</si>
  <si>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</si>
  <si>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</si>
  <si>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</si>
  <si>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</si>
  <si>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</si>
  <si>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</si>
  <si>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</si>
  <si>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</si>
  <si>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</si>
  <si>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</si>
  <si>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</si>
  <si>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</si>
  <si>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</si>
  <si>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</si>
  <si>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</si>
  <si>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</si>
  <si>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</si>
  <si>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</si>
  <si>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</si>
  <si>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</si>
  <si>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</si>
  <si>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</si>
  <si>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</si>
  <si>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</si>
  <si>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</si>
  <si>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</si>
  <si>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</si>
  <si>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</si>
  <si>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</si>
  <si>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</si>
  <si>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</si>
  <si>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</si>
  <si>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</si>
  <si>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</si>
  <si>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</si>
  <si>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</si>
  <si>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</si>
  <si>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</si>
  <si>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</si>
  <si>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</si>
  <si>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</si>
  <si>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</si>
  <si>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</si>
  <si>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</si>
  <si>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</si>
  <si>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</si>
  <si>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</si>
  <si>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</si>
  <si>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</si>
  <si>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</si>
  <si>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</si>
  <si>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</si>
  <si>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</si>
  <si>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</si>
  <si>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</si>
  <si>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</si>
  <si>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</si>
  <si>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</si>
  <si>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</si>
  <si>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</si>
  <si>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</si>
  <si>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</si>
  <si>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</si>
  <si>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</si>
  <si>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</si>
  <si>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</si>
  <si>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</si>
  <si>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</si>
  <si>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</si>
  <si>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</si>
  <si>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</si>
  <si>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</si>
  <si>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</si>
  <si>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</si>
  <si>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</si>
  <si>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</si>
  <si>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</si>
  <si>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</si>
  <si>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</si>
  <si>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</si>
  <si>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</si>
  <si>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</si>
  <si>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</si>
  <si>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</si>
  <si>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</si>
  <si>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</si>
  <si>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</si>
  <si>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</si>
  <si>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</si>
  <si>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</si>
  <si>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</si>
  <si>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</si>
  <si>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</si>
  <si>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</si>
  <si>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</si>
  <si>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</si>
  <si>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</si>
  <si>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</si>
  <si>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</si>
  <si>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</si>
  <si>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</si>
  <si>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</si>
  <si>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</si>
  <si>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</si>
  <si>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</si>
  <si>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</si>
  <si>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</si>
  <si>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</si>
  <si>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</si>
  <si>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</si>
  <si>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</si>
  <si>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</si>
  <si>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</si>
  <si>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</si>
  <si>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</si>
  <si>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</si>
  <si>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</si>
  <si>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</si>
  <si>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</si>
  <si>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</si>
  <si>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</si>
  <si>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</si>
  <si>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</si>
  <si>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</si>
  <si>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</si>
  <si>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</si>
  <si>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</si>
  <si>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</si>
  <si>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</si>
  <si>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</si>
  <si>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</si>
  <si>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</si>
  <si>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</si>
  <si>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</si>
  <si>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</si>
  <si>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</si>
  <si>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</si>
  <si>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</si>
  <si>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</si>
  <si>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</si>
  <si>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</si>
  <si>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</si>
  <si>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</si>
  <si>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</si>
  <si>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</si>
  <si>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</si>
  <si>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</si>
  <si>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</si>
  <si>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</si>
  <si>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</si>
  <si>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</si>
  <si>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</si>
  <si>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</si>
  <si>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</si>
  <si>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</si>
  <si>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</si>
  <si>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</si>
  <si>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</si>
  <si>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</si>
  <si>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</si>
  <si>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</si>
  <si>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</si>
  <si>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</si>
  <si>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</si>
  <si>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</si>
  <si>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</si>
  <si>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</si>
  <si>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</si>
  <si>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</si>
  <si>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</si>
  <si>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</si>
  <si>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</si>
  <si>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</si>
  <si>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</si>
  <si>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</si>
  <si>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</si>
  <si>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</si>
  <si>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</si>
  <si>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</si>
  <si>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</si>
  <si>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</si>
  <si>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</si>
  <si>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</si>
  <si>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</si>
  <si>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</si>
  <si>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</si>
  <si>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</si>
  <si>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</si>
  <si>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</si>
  <si>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</si>
  <si>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</si>
  <si>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</si>
  <si>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</si>
  <si>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</si>
  <si>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</si>
  <si>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</si>
  <si>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</si>
  <si>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</si>
  <si>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</si>
  <si>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</si>
  <si>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</si>
  <si>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</si>
  <si>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</si>
  <si>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</si>
  <si>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</si>
  <si>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</si>
  <si>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</si>
  <si>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</si>
  <si>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</si>
  <si>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</si>
  <si>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</si>
  <si>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</si>
  <si>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</si>
  <si>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</si>
  <si>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</si>
  <si>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</si>
  <si>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</si>
  <si>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</si>
  <si>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</si>
  <si>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</si>
  <si>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</si>
  <si>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</si>
  <si>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</si>
  <si>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</si>
  <si>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</si>
  <si>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</si>
  <si>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</si>
  <si>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</si>
  <si>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</si>
  <si>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</si>
  <si>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</si>
  <si>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</si>
  <si>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</si>
  <si>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</si>
  <si>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</si>
  <si>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</si>
  <si>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</si>
  <si>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</si>
  <si>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</si>
  <si>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</si>
  <si>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</si>
  <si>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</si>
  <si>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</si>
  <si>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</si>
  <si>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</si>
  <si>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</si>
  <si>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</si>
  <si>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</si>
  <si>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</si>
  <si>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</si>
  <si>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</si>
  <si>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</si>
  <si>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</si>
  <si>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</si>
  <si>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</si>
  <si>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</si>
  <si>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</si>
  <si>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</si>
  <si>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</si>
  <si>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</si>
  <si>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</si>
  <si>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</si>
  <si>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</si>
  <si>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</si>
  <si>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</si>
  <si>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</si>
  <si>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</si>
  <si>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</si>
  <si>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</si>
  <si>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</si>
  <si>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</si>
  <si>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</si>
  <si>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Livingston</t>
  </si>
  <si>
    <t>205 N Adams St</t>
  </si>
  <si>
    <t>Flanagan</t>
  </si>
  <si>
    <t>jolsen@lcssu.org</t>
  </si>
  <si>
    <t>Joshua Olsen</t>
  </si>
  <si>
    <t>MCK, CPAs &amp; Advisors</t>
  </si>
  <si>
    <t>Dawn M Carlson</t>
  </si>
  <si>
    <t>207 W Jefferson St</t>
  </si>
  <si>
    <t>Bloomington</t>
  </si>
  <si>
    <t>IL</t>
  </si>
  <si>
    <t>066-005232</t>
  </si>
  <si>
    <t>dcarlson@mckcpa.com</t>
  </si>
  <si>
    <t xml:space="preserve">Livingston County Special Services Unit did not record fixed assets in the financial statements, and accordingly, has not considered the effects of depreciation. The amount by which this departure would affect the assets, fund balances, net position, and expenditures of the financial statements is not reasonable determined. </t>
  </si>
  <si>
    <t>Pg 11, Account 1993, Education Fund - $1,278,730 from speech pathology, occupational and physical therapy, and special education services.</t>
  </si>
  <si>
    <t>Pg 11, Account 1999, Education Fund - $40,916 from a mental health grant and local community grants.</t>
  </si>
  <si>
    <t>Pg 14, Account 4998, Education Fund - $82,872 from the Department of Rehabilitiation Services.</t>
  </si>
  <si>
    <t>Pg 16, Account 2900, Education Fund - $22,707 from medicaid related expenses and other technical services.</t>
  </si>
  <si>
    <t>Operation and Maintenance of Plant Services</t>
  </si>
  <si>
    <t>Trust #1961</t>
  </si>
  <si>
    <t>U.S. DEPARTMENT OF AGRICULTURE</t>
  </si>
  <si>
    <t>TOTAL U.S. DEPT. OF AGRICULTURE</t>
  </si>
  <si>
    <t>U.S. DEPARTMENT OF HEALTH AND HUMAN SERVICES</t>
  </si>
  <si>
    <t>Passed Through Illinois State Board of Education</t>
  </si>
  <si>
    <t>Department of Rehabilitation Services</t>
  </si>
  <si>
    <t>TOTAL U.S. DEPT. OF HEALTH AND HUMAN SERVICES</t>
  </si>
  <si>
    <t>ILLINOIS DEPT. OF HEALTHCARE AND FAMILY SERVICES</t>
  </si>
  <si>
    <t>Medicaid Administrative Outreach</t>
  </si>
  <si>
    <t>TOTAL ILLINOIS DEPT. OF HEALTHCARE AND FAMILY SERVICES</t>
  </si>
  <si>
    <t>2019-4210</t>
  </si>
  <si>
    <t>2019-4220</t>
  </si>
  <si>
    <t>2020-4900</t>
  </si>
  <si>
    <t>2019-4900</t>
  </si>
  <si>
    <t>U.S. DEPARTMENT OF EDUCATION</t>
  </si>
  <si>
    <t>Special Ed Pre-School Flow Through (M)</t>
  </si>
  <si>
    <t>2020-4600</t>
  </si>
  <si>
    <t>2019-4600</t>
  </si>
  <si>
    <t>Special Ed IDEA Flow Through (M)</t>
  </si>
  <si>
    <t>2020-4620</t>
  </si>
  <si>
    <t>2019-4620</t>
  </si>
  <si>
    <t>TOTAL U.S. DEPARTMENT OF EDUCATION</t>
  </si>
  <si>
    <t>TOTAL FEDERAL AWARDS</t>
  </si>
  <si>
    <t>X</t>
  </si>
  <si>
    <t>Prairie Central C.U. School District #8</t>
  </si>
  <si>
    <t>84.027A</t>
  </si>
  <si>
    <t>Pontiac Township High School #90</t>
  </si>
  <si>
    <t>yes</t>
  </si>
  <si>
    <t>no</t>
  </si>
  <si>
    <t>Unmodified</t>
  </si>
  <si>
    <t>Special Ed Pre-School Flow Through - Special Education Cluster</t>
  </si>
  <si>
    <t>Special Ed IDEA Flow Through - Special Education Cluster</t>
  </si>
  <si>
    <t>Livingston County Special Services Unit is required to maintain a system of controls over the preparation of financial statements, including disclosures.</t>
  </si>
  <si>
    <t>The Unit does not have sufficient internal controls over the financial reporting process. The Unit maintains their accounting records on the cash basis of accounting. While the Unit did not record modified accrual entries, they provided the information for the entries.</t>
  </si>
  <si>
    <t>See Condition and Effect.</t>
  </si>
  <si>
    <t>Management or employees in the normal course of performing their assigned functions may not prevent or detect financial statement misstatements and disclosure omissions in a timely manner.</t>
  </si>
  <si>
    <t>According to management, they did not have the adequate funding to hire and/or train their accounting personnel in order to maintain a system of internal control over the preparation of financial statements in accordance with the modified accrual basis.</t>
  </si>
  <si>
    <t>As part of its internal control over the preparation of its financial statements, including disclosures, the Unit should implement a comprehensive preparation and/or review procedure to ensure that they are complete and accurate. In addition, management should pursue additional training when timing and funding allows.</t>
  </si>
  <si>
    <t>The Unit is currently confident with the abilities of the accounting staff to prepare cash basis financial information as needed throughout the year. Management will review year end reporting controls annually and investigate the cost of training staff to reach appropriate levels of expertise. Management will pursue additional training when it is considered cost beneficial.</t>
  </si>
  <si>
    <t>Livingston County Special Services Unit is required to accurately withhold federal and state income tax as requested by the employees.</t>
  </si>
  <si>
    <t xml:space="preserve">Livingston County Special Services Unit changed accounting software at the beginning of the fiscal year.  The Unit had to enter all employee information into the new software for payroll processing, including information regarding the employees’ withholdings.  The information was not reviewed for accuracy after it was entered into the new accounting software.  </t>
  </si>
  <si>
    <t xml:space="preserve">A Livingston County Special Services Unit employee should double check all of the withholding exemptions entered into the payroll software against the completed Form W-4 in the employee personnel file.  The Unit should check with the employees to verify that the amount of withholding preferences has not changed. </t>
  </si>
  <si>
    <t>Livingston County Special Services Unit has completed a review of withholding, as well as W-4’s for all employees at our annual “Back to School” meeting on August 17th to ensure all withholdings were aligned with the employees’ request and documentation.  All errors have been corrected.</t>
  </si>
  <si>
    <t>2019-001</t>
  </si>
  <si>
    <t>2019-002</t>
  </si>
  <si>
    <t>Repeated</t>
  </si>
  <si>
    <t>over the financial reporting process</t>
  </si>
  <si>
    <t>The Unit did not have sufficient internal controls</t>
  </si>
  <si>
    <t>The Unit recorded one grant expenditure twice</t>
  </si>
  <si>
    <t>Not Repeated</t>
  </si>
  <si>
    <t>SEFA includes revenue collected in FY20 that was receivable</t>
  </si>
  <si>
    <t>for FY19 on the AFR for the following programs:</t>
  </si>
  <si>
    <t xml:space="preserve">   Special Ed Pre-School Flow Through</t>
  </si>
  <si>
    <t xml:space="preserve">   Special Ed IDEA Flow Through</t>
  </si>
  <si>
    <t>AFR includes revenue receivable in FY20 that was not</t>
  </si>
  <si>
    <t>collected in FY20 for the following programs:</t>
  </si>
  <si>
    <t xml:space="preserve">   Department of Rehabilitation Services</t>
  </si>
  <si>
    <r>
      <t>The accompanying Schedule of Expenditures of Federal Awards includes the federal grant activity of Livingston County Special Services Unit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</si>
  <si>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The following amounts were expended in the form of non-cash assistance by Livingston County Special Services Unit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</si>
  <si>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Livingston County Special Services Unit under-withheld or over-withheld federal or state income taxes on three employees’ pay for the entire year.  Failure to have updated forms in employee files caused improper withholding and incomplete employee files.</t>
  </si>
  <si>
    <r>
      <t>Of the federal expenditures presented in the schedule, Livingston County Special Services Unit</t>
    </r>
    <r>
      <rPr>
        <sz val="9"/>
        <rFont val="Calibri"/>
        <family val="2"/>
        <scheme val="minor"/>
      </rPr>
      <t xml:space="preserve"> provided federal awards to subrecipients as follows:</t>
    </r>
  </si>
  <si>
    <t>For one employee, The Unit did not have an updated Form W-4 or IL-W-4 on file.  We tested 16 out of 65 employees, and 3 of the 16 employees federal or Illinois withholding did not match the requested exemption or withholding specified on their W-4 or IL-W-4.</t>
  </si>
  <si>
    <t xml:space="preserve">Livingston County Special Services Unit’s employee files and withholding amounts via their payroll software did not agree with three employees tested.  For two of the employees, The Unit withheld payroll taxes at amounts different than the employees’ correctly completed Form W-4 and IL-W-4 on file.  </t>
  </si>
  <si>
    <t xml:space="preserve">  Livingston Co Spec Services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</si>
</sst>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4" fillId="0" borderId="0" xfId="3" applyFont="1" applyAlignment="1" applyProtection="1">
      <alignment horizontal="center"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040">
        <f>+'AFR20'!F4</f>
        <v>44151</v>
      </c>
      <c r="C2" s="2040"/>
      <c r="D2" s="2041"/>
      <c r="I2" s="2119" t="s">
        <v>2000</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c r="C5" s="26" t="s">
        <v>904</v>
      </c>
      <c r="D5" s="81"/>
      <c r="E5" s="81"/>
      <c r="H5" s="38"/>
      <c r="I5" s="2126" t="s">
        <v>675</v>
      </c>
      <c r="J5" s="2071"/>
      <c r="K5" s="2071"/>
      <c r="L5" s="2071"/>
      <c r="M5" s="2071"/>
      <c r="N5" s="2071"/>
      <c r="O5" s="2071"/>
      <c r="P5" s="2071"/>
      <c r="Q5" s="2071"/>
      <c r="R5" s="2071"/>
      <c r="S5" s="2071"/>
      <c r="AF5" s="1827"/>
    </row>
    <row r="6" spans="1:32" ht="14.1" customHeight="1" x14ac:dyDescent="0.2">
      <c r="B6" s="101" t="s">
        <v>2048</v>
      </c>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4"/>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5" t="s">
        <v>2048</v>
      </c>
      <c r="P12" s="97" t="s">
        <v>200</v>
      </c>
      <c r="Q12" s="71"/>
      <c r="R12" s="30"/>
      <c r="S12" s="30"/>
      <c r="T12" s="82" t="s">
        <v>263</v>
      </c>
      <c r="U12" s="48"/>
      <c r="V12" s="48"/>
      <c r="W12" s="48"/>
      <c r="X12" s="48"/>
      <c r="Y12" s="43"/>
      <c r="Z12" s="43"/>
      <c r="AA12" s="44"/>
    </row>
    <row r="13" spans="1:32" ht="13.5" customHeight="1" x14ac:dyDescent="0.2">
      <c r="A13" s="2087">
        <v>17053000061</v>
      </c>
      <c r="B13" s="2088"/>
      <c r="C13" s="2088"/>
      <c r="D13" s="2088"/>
      <c r="E13" s="2088"/>
      <c r="F13" s="2088"/>
      <c r="G13" s="2088"/>
      <c r="H13" s="2089"/>
      <c r="I13" s="31"/>
      <c r="J13" s="30"/>
      <c r="K13" s="28"/>
      <c r="L13" s="30"/>
      <c r="M13" s="30"/>
      <c r="N13" s="30"/>
      <c r="O13" s="30"/>
      <c r="P13" s="30"/>
      <c r="Q13" s="30"/>
      <c r="R13" s="30"/>
      <c r="S13" s="30"/>
      <c r="T13" s="2092" t="s">
        <v>2054</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5" t="s">
        <v>2049</v>
      </c>
      <c r="B15" s="2090"/>
      <c r="C15" s="2090"/>
      <c r="D15" s="2090"/>
      <c r="E15" s="2090"/>
      <c r="F15" s="2090"/>
      <c r="G15" s="2090"/>
      <c r="H15" s="2091"/>
      <c r="T15" s="2053" t="s">
        <v>2055</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2130</v>
      </c>
      <c r="B17" s="2115"/>
      <c r="C17" s="2115"/>
      <c r="D17" s="2115"/>
      <c r="E17" s="2115"/>
      <c r="F17" s="2115"/>
      <c r="G17" s="2115"/>
      <c r="H17" s="2116"/>
      <c r="T17" s="2102" t="s">
        <v>2056</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4" t="s">
        <v>672</v>
      </c>
      <c r="AA18" s="44"/>
    </row>
    <row r="19" spans="1:27" ht="13.5" customHeight="1" x14ac:dyDescent="0.2">
      <c r="A19" s="2085" t="s">
        <v>2050</v>
      </c>
      <c r="B19" s="2086"/>
      <c r="C19" s="2086"/>
      <c r="D19" s="2086"/>
      <c r="E19" s="2086"/>
      <c r="F19" s="2086"/>
      <c r="G19" s="2086"/>
      <c r="H19" s="2084"/>
      <c r="I19" s="30"/>
      <c r="J19" s="96"/>
      <c r="K19" s="40"/>
      <c r="L19" s="38"/>
      <c r="M19" s="109" t="s">
        <v>312</v>
      </c>
      <c r="P19" s="27"/>
      <c r="Q19" s="27"/>
      <c r="R19" s="27"/>
      <c r="S19" s="31"/>
      <c r="T19" s="2085" t="s">
        <v>2057</v>
      </c>
      <c r="U19" s="2083"/>
      <c r="V19" s="2083"/>
      <c r="W19" s="2084"/>
      <c r="X19" s="2100" t="s">
        <v>2058</v>
      </c>
      <c r="Y19" s="2101"/>
      <c r="Z19" s="2098">
        <v>61701</v>
      </c>
      <c r="AA19" s="209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2" t="s">
        <v>2051</v>
      </c>
      <c r="B21" s="2083"/>
      <c r="C21" s="2083"/>
      <c r="D21" s="2083"/>
      <c r="E21" s="2083"/>
      <c r="F21" s="2083"/>
      <c r="G21" s="2083"/>
      <c r="H21" s="2084"/>
      <c r="I21" s="2108" t="s">
        <v>673</v>
      </c>
      <c r="J21" s="2071"/>
      <c r="K21" s="2071"/>
      <c r="L21" s="2071"/>
      <c r="M21" s="2071"/>
      <c r="N21" s="2071"/>
      <c r="O21" s="2071"/>
      <c r="P21" s="2071"/>
      <c r="Q21" s="2071"/>
      <c r="R21" s="2071"/>
      <c r="S21" s="2072"/>
      <c r="T21" s="2050">
        <v>3098286071</v>
      </c>
      <c r="U21" s="2051"/>
      <c r="V21" s="2051"/>
      <c r="W21" s="2051"/>
      <c r="X21" s="2064">
        <v>3098272465</v>
      </c>
      <c r="Y21" s="2065"/>
      <c r="Z21" s="2065"/>
      <c r="AA21" s="2066"/>
    </row>
    <row r="22" spans="1:27" ht="13.5" customHeight="1" x14ac:dyDescent="0.2">
      <c r="A22" s="84" t="s">
        <v>528</v>
      </c>
      <c r="B22" s="56"/>
      <c r="C22" s="56"/>
      <c r="D22" s="56"/>
      <c r="E22" s="56"/>
      <c r="F22" s="56"/>
      <c r="G22" s="56"/>
      <c r="H22" s="57"/>
      <c r="I22" s="2109" t="s">
        <v>1412</v>
      </c>
      <c r="J22" s="2110"/>
      <c r="K22" s="2110"/>
      <c r="L22" s="2110"/>
      <c r="M22" s="2110"/>
      <c r="N22" s="2110"/>
      <c r="O22" s="2110"/>
      <c r="P22" s="2110"/>
      <c r="Q22" s="2110"/>
      <c r="R22" s="2110"/>
      <c r="S22" s="2111"/>
      <c r="T22" s="82" t="s">
        <v>1499</v>
      </c>
      <c r="U22" s="48"/>
      <c r="V22" s="69"/>
      <c r="W22" s="48"/>
      <c r="X22" s="155" t="s">
        <v>1307</v>
      </c>
      <c r="Z22" s="43"/>
      <c r="AA22" s="44"/>
    </row>
    <row r="23" spans="1:27" ht="13.5" customHeight="1" x14ac:dyDescent="0.2">
      <c r="A23" s="2105" t="s">
        <v>2052</v>
      </c>
      <c r="B23" s="2106"/>
      <c r="C23" s="2106"/>
      <c r="D23" s="2106"/>
      <c r="E23" s="2106"/>
      <c r="F23" s="2106"/>
      <c r="G23" s="2106"/>
      <c r="H23" s="2107"/>
      <c r="T23" s="2045" t="s">
        <v>2059</v>
      </c>
      <c r="U23" s="2046"/>
      <c r="V23" s="2046"/>
      <c r="W23" s="2046"/>
      <c r="X23" s="2061">
        <v>44530</v>
      </c>
      <c r="Y23" s="2062"/>
      <c r="Z23" s="2062"/>
      <c r="AA23" s="2063"/>
    </row>
    <row r="24" spans="1:27" ht="14.1" customHeight="1" x14ac:dyDescent="0.2">
      <c r="A24" s="85" t="s">
        <v>672</v>
      </c>
      <c r="B24" s="46"/>
      <c r="C24" s="46"/>
      <c r="D24" s="46"/>
      <c r="E24" s="46"/>
      <c r="F24" s="46"/>
      <c r="G24" s="46"/>
      <c r="H24" s="58"/>
      <c r="J24" s="2147" t="str">
        <f>IF(B5="x",IF(AUDITCHECK!D29="AFR form Incomplete.","",IF(AUDITCHECK!D29="Deficit reduction plan is required.","School District must complete a deficit reduction plan in the 2020-2021 Budget",)),"")</f>
        <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61740</v>
      </c>
      <c r="B25" s="2083"/>
      <c r="C25" s="2083"/>
      <c r="D25" s="2083"/>
      <c r="E25" s="2083"/>
      <c r="F25" s="2083"/>
      <c r="G25" s="2083"/>
      <c r="H25" s="2084"/>
      <c r="I25" s="110"/>
      <c r="J25" s="2149"/>
      <c r="K25" s="2149"/>
      <c r="L25" s="2149"/>
      <c r="M25" s="2149"/>
      <c r="N25" s="2149"/>
      <c r="O25" s="2149"/>
      <c r="P25" s="2149"/>
      <c r="Q25" s="2149"/>
      <c r="R25" s="2149"/>
      <c r="S25" s="2150"/>
      <c r="T25" s="2042" t="s">
        <v>2060</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0" t="s">
        <v>1494</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t="s">
        <v>2048</v>
      </c>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2048</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2053</v>
      </c>
      <c r="B38" s="2115"/>
      <c r="C38" s="2115"/>
      <c r="D38" s="2115"/>
      <c r="E38" s="2115"/>
      <c r="F38" s="2083"/>
      <c r="G38" s="2083"/>
      <c r="H38" s="2084"/>
      <c r="I38" s="2134"/>
      <c r="J38" s="2054"/>
      <c r="K38" s="2054"/>
      <c r="L38" s="2054"/>
      <c r="M38" s="2054"/>
      <c r="N38" s="2054"/>
      <c r="O38" s="2054"/>
      <c r="P38" s="2055"/>
      <c r="Q38" s="2055"/>
      <c r="R38" s="2055"/>
      <c r="S38" s="2056"/>
      <c r="T38" s="2053"/>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2052</v>
      </c>
      <c r="B40" s="2142"/>
      <c r="C40" s="2143"/>
      <c r="D40" s="2143"/>
      <c r="E40" s="2143"/>
      <c r="F40" s="2144"/>
      <c r="G40" s="2144"/>
      <c r="H40" s="2145"/>
      <c r="I40" s="2057"/>
      <c r="J40" s="2059"/>
      <c r="K40" s="2059"/>
      <c r="L40" s="2059"/>
      <c r="M40" s="2059"/>
      <c r="N40" s="2059"/>
      <c r="O40" s="2059"/>
      <c r="P40" s="2059"/>
      <c r="Q40" s="2059"/>
      <c r="R40" s="2059"/>
      <c r="S40" s="2060"/>
      <c r="T40" s="2057"/>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v>8158447115</v>
      </c>
      <c r="B42" s="2132"/>
      <c r="C42" s="2133"/>
      <c r="D42" s="2146">
        <v>8158443170</v>
      </c>
      <c r="E42" s="2132"/>
      <c r="F42" s="2132"/>
      <c r="G42" s="2132"/>
      <c r="H42" s="2133"/>
      <c r="I42" s="2052"/>
      <c r="J42" s="2048"/>
      <c r="K42" s="2048"/>
      <c r="L42" s="2048"/>
      <c r="M42" s="2048"/>
      <c r="N42" s="2048"/>
      <c r="O42" s="2049"/>
      <c r="P42" s="2047"/>
      <c r="Q42" s="2048"/>
      <c r="R42" s="2048"/>
      <c r="S42" s="2049"/>
      <c r="T42" s="2052"/>
      <c r="U42" s="2048"/>
      <c r="V42" s="2048"/>
      <c r="W42" s="2049"/>
      <c r="X42" s="2047"/>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68" colorId="8" zoomScaleNormal="100" workbookViewId="0">
      <selection activeCell="A88" sqref="A88:D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2048</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2048</v>
      </c>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t="s">
        <v>2061</v>
      </c>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1986</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1986</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6" colorId="8" zoomScale="110" zoomScaleNormal="110" workbookViewId="0">
      <selection activeCell="H10" sqref="H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4710889</v>
      </c>
      <c r="E16" s="1547"/>
      <c r="F16" s="1546">
        <f>SUM('Acct Summary 7-8'!C17,'Acct Summary 7-8'!D17,'Acct Summary 7-8'!F17)</f>
        <v>4794370</v>
      </c>
      <c r="G16" s="1547"/>
      <c r="H16" s="1546">
        <f>SUM(D16-F16)</f>
        <v>-83481</v>
      </c>
      <c r="I16" s="1548"/>
      <c r="J16" s="1546">
        <f>SUM('Acct Summary 7-8'!C81,'Acct Summary 7-8'!D81,'Acct Summary 7-8'!F81,'Acct Summary 7-8'!I81)</f>
        <v>357910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0</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3" zoomScale="110" zoomScaleNormal="110" workbookViewId="0">
      <selection activeCell="H29" sqref="H2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Livingston Co Spec Services Unit</v>
      </c>
      <c r="E7" s="368"/>
      <c r="G7" s="247"/>
      <c r="H7" s="364"/>
      <c r="I7" s="364"/>
      <c r="J7" s="364"/>
      <c r="K7" s="364"/>
      <c r="L7" s="307"/>
      <c r="M7" s="307"/>
      <c r="N7" s="307"/>
      <c r="O7" s="307"/>
      <c r="P7" s="307"/>
    </row>
    <row r="8" spans="1:18" ht="12.75" x14ac:dyDescent="0.2">
      <c r="A8" s="307"/>
      <c r="B8" s="307"/>
      <c r="C8" s="366" t="s">
        <v>1115</v>
      </c>
      <c r="D8" s="369">
        <f>COVER!A13</f>
        <v>17053000061</v>
      </c>
      <c r="E8" s="370"/>
      <c r="G8" s="307"/>
      <c r="H8" s="307"/>
      <c r="I8" s="307"/>
      <c r="J8" s="307"/>
      <c r="K8" s="307"/>
      <c r="L8" s="307"/>
      <c r="M8" s="307"/>
      <c r="N8" s="307"/>
      <c r="O8" s="307"/>
      <c r="P8" s="307"/>
    </row>
    <row r="9" spans="1:18" ht="12.75" x14ac:dyDescent="0.2">
      <c r="A9" s="307"/>
      <c r="B9" s="307"/>
      <c r="C9" s="366" t="s">
        <v>708</v>
      </c>
      <c r="D9" s="371" t="str">
        <f>COVER!A15</f>
        <v>Livingston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2</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357910</v>
      </c>
      <c r="I12" s="380"/>
      <c r="J12" s="380"/>
      <c r="K12" s="1559">
        <f>TRUNC((H12/H13*100000),5)/100000</f>
        <v>7.5975044200000008E-2</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4710889</v>
      </c>
      <c r="I13" s="380"/>
      <c r="J13" s="380"/>
      <c r="K13" s="1558"/>
      <c r="L13" s="213"/>
      <c r="M13" s="337" t="s">
        <v>1135</v>
      </c>
      <c r="N13" s="337"/>
      <c r="O13" s="1563">
        <f>(O11*O12)</f>
        <v>0.7</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4794370</v>
      </c>
      <c r="I17" s="380"/>
      <c r="J17" s="389"/>
      <c r="K17" s="1559">
        <f>TRUNC((H17/H18*100000),5)/100000</f>
        <v>1.017720859</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4710889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-1.3557444000000001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2</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561994</v>
      </c>
      <c r="I24" s="394"/>
      <c r="J24" s="394"/>
      <c r="K24" s="1555">
        <f>TRUNC(((H24/H25*100000)/100000),2)</f>
        <v>42.19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13317.694439999999</v>
      </c>
      <c r="I25" s="396"/>
      <c r="J25" s="396"/>
      <c r="K25" s="1558"/>
      <c r="L25" s="213"/>
      <c r="M25" s="337" t="s">
        <v>1135</v>
      </c>
      <c r="N25" s="337"/>
      <c r="O25" s="1563">
        <f>O23*O24</f>
        <v>0.2</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#DIV/0!</v>
      </c>
      <c r="P31" s="211"/>
    </row>
    <row r="32" spans="1:18" s="382" customFormat="1" ht="11.25" x14ac:dyDescent="0.2">
      <c r="A32" s="213"/>
      <c r="B32" s="377"/>
      <c r="C32" s="213" t="s">
        <v>842</v>
      </c>
      <c r="D32" s="213"/>
      <c r="E32" s="213"/>
      <c r="F32" s="213"/>
      <c r="G32" s="378"/>
      <c r="H32" s="1551">
        <f>'FP Info 3'!H37</f>
        <v>0</v>
      </c>
      <c r="I32" s="392"/>
      <c r="J32" s="392"/>
      <c r="K32" s="1555" t="e">
        <f>TRUNC(100-((((H32/H33*100))*100)/100),2)</f>
        <v>#DIV/0!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0</v>
      </c>
      <c r="I33" s="392"/>
      <c r="J33" s="392"/>
      <c r="K33" s="379"/>
      <c r="L33" s="213"/>
      <c r="M33" s="401" t="s">
        <v>1135</v>
      </c>
      <c r="N33" s="401"/>
      <c r="O33" s="1568" t="e">
        <f>(O31*O32)</f>
        <v>#DIV/0!</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8" activePane="bottomLeft" state="frozen"/>
      <selection pane="bottomLeft" activeCell="C10" sqref="C1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404868</v>
      </c>
      <c r="D4" s="1573"/>
      <c r="E4" s="1573"/>
      <c r="F4" s="1573"/>
      <c r="G4" s="1573"/>
      <c r="H4" s="1573"/>
      <c r="I4" s="1573"/>
      <c r="J4" s="1574"/>
      <c r="K4" s="1573"/>
      <c r="L4" s="1573"/>
      <c r="M4" s="1575"/>
      <c r="N4" s="1576"/>
    </row>
    <row r="5" spans="1:14" x14ac:dyDescent="0.2">
      <c r="A5" s="427" t="s">
        <v>985</v>
      </c>
      <c r="B5" s="429">
        <v>120</v>
      </c>
      <c r="C5" s="1572">
        <v>157126</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v>190247</v>
      </c>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v>175004</v>
      </c>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v>40413</v>
      </c>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777411</v>
      </c>
      <c r="D13" s="1587">
        <f t="shared" ref="D13:L13" si="0">SUM(D4:D12)</f>
        <v>0</v>
      </c>
      <c r="E13" s="1587">
        <f t="shared" si="0"/>
        <v>0</v>
      </c>
      <c r="F13" s="1587">
        <f t="shared" si="0"/>
        <v>0</v>
      </c>
      <c r="G13" s="1587">
        <f t="shared" si="0"/>
        <v>0</v>
      </c>
      <c r="H13" s="1587">
        <f t="shared" si="0"/>
        <v>190247</v>
      </c>
      <c r="I13" s="1587">
        <f t="shared" si="0"/>
        <v>0</v>
      </c>
      <c r="J13" s="1587">
        <f t="shared" si="0"/>
        <v>0</v>
      </c>
      <c r="K13" s="1587">
        <f t="shared" si="0"/>
        <v>0</v>
      </c>
      <c r="L13" s="1587">
        <f t="shared" si="0"/>
        <v>0</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0</v>
      </c>
      <c r="N23" s="1594">
        <f>SUM(N21:N22)</f>
        <v>0</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v>190247</v>
      </c>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v>229254</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419501</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357910</v>
      </c>
      <c r="D39" s="1573"/>
      <c r="E39" s="1573"/>
      <c r="F39" s="1573"/>
      <c r="G39" s="1573"/>
      <c r="H39" s="1573">
        <v>190247</v>
      </c>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c r="N40" s="1604"/>
    </row>
    <row r="41" spans="1:14" ht="13.5" customHeight="1" thickBot="1" x14ac:dyDescent="0.25">
      <c r="A41" s="1426" t="s">
        <v>650</v>
      </c>
      <c r="B41" s="1405"/>
      <c r="C41" s="1594">
        <f>(SUM(C34,C37,C38,C39))</f>
        <v>777411</v>
      </c>
      <c r="D41" s="1594">
        <f t="shared" ref="D41:L41" si="2">SUM(D34,D37,D38:D39)</f>
        <v>0</v>
      </c>
      <c r="E41" s="1594">
        <f t="shared" si="2"/>
        <v>0</v>
      </c>
      <c r="F41" s="1594">
        <f t="shared" si="2"/>
        <v>0</v>
      </c>
      <c r="G41" s="1594">
        <f t="shared" si="2"/>
        <v>0</v>
      </c>
      <c r="H41" s="1594">
        <f t="shared" si="2"/>
        <v>190247</v>
      </c>
      <c r="I41" s="1594">
        <f t="shared" si="2"/>
        <v>0</v>
      </c>
      <c r="J41" s="1594">
        <f t="shared" si="2"/>
        <v>0</v>
      </c>
      <c r="K41" s="1594">
        <f t="shared" si="2"/>
        <v>0</v>
      </c>
      <c r="L41" s="1594">
        <f t="shared" si="2"/>
        <v>0</v>
      </c>
      <c r="M41" s="1594">
        <f>SUM(M40)</f>
        <v>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6" activePane="bottomLeft" state="frozen"/>
      <selection pane="bottomLeft" activeCell="C81" sqref="C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2775238</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360655</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1574996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4710889</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29980</v>
      </c>
      <c r="D9" s="1613"/>
      <c r="E9" s="1586"/>
      <c r="F9" s="1586"/>
      <c r="G9" s="1614"/>
      <c r="H9" s="1586"/>
      <c r="I9" s="1609" t="s">
        <v>1159</v>
      </c>
      <c r="J9" s="1583"/>
      <c r="K9" s="1586"/>
      <c r="L9" s="325"/>
    </row>
    <row r="10" spans="1:13" s="452" customFormat="1" ht="13.5" thickBot="1" x14ac:dyDescent="0.25">
      <c r="A10" s="1426" t="s">
        <v>1163</v>
      </c>
      <c r="B10" s="1407"/>
      <c r="C10" s="1594">
        <f>SUM(C8:C9)</f>
        <v>4740869</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1000760</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3512334</v>
      </c>
      <c r="D13" s="1607">
        <f>'Expenditures 15-22'!K129</f>
        <v>0</v>
      </c>
      <c r="E13" s="1576" t="s">
        <v>1159</v>
      </c>
      <c r="F13" s="1607">
        <f>'Expenditures 15-22'!K184</f>
        <v>0</v>
      </c>
      <c r="G13" s="1607">
        <f>'Expenditures 15-22'!K279</f>
        <v>0</v>
      </c>
      <c r="H13" s="1607">
        <f>'Expenditures 15-22'!K303</f>
        <v>364433</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280000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1276</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4794370</v>
      </c>
      <c r="D17" s="1594">
        <f t="shared" si="2"/>
        <v>0</v>
      </c>
      <c r="E17" s="1594">
        <f t="shared" si="2"/>
        <v>0</v>
      </c>
      <c r="F17" s="1594">
        <f t="shared" si="2"/>
        <v>0</v>
      </c>
      <c r="G17" s="1594">
        <f t="shared" si="2"/>
        <v>0</v>
      </c>
      <c r="H17" s="1594">
        <f t="shared" si="2"/>
        <v>364433</v>
      </c>
      <c r="I17" s="1575"/>
      <c r="J17" s="1594">
        <f>SUM(J12:J16)</f>
        <v>0</v>
      </c>
      <c r="K17" s="1594">
        <f>SUM(K12:K16)</f>
        <v>0</v>
      </c>
      <c r="L17" s="325"/>
    </row>
    <row r="18" spans="1:12" ht="15" customHeight="1" thickTop="1" x14ac:dyDescent="0.2">
      <c r="A18" s="1430" t="s">
        <v>1635</v>
      </c>
      <c r="B18" s="1431">
        <v>4180</v>
      </c>
      <c r="C18" s="1606">
        <f t="shared" ref="C18:H18" si="3">C9</f>
        <v>29980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4824350</v>
      </c>
      <c r="D19" s="1594">
        <f t="shared" si="4"/>
        <v>0</v>
      </c>
      <c r="E19" s="1594">
        <f t="shared" si="4"/>
        <v>0</v>
      </c>
      <c r="F19" s="1594">
        <f t="shared" si="4"/>
        <v>0</v>
      </c>
      <c r="G19" s="1594">
        <f t="shared" si="4"/>
        <v>0</v>
      </c>
      <c r="H19" s="1594">
        <f t="shared" si="4"/>
        <v>364433</v>
      </c>
      <c r="I19" s="1575"/>
      <c r="J19" s="1594">
        <f>SUM(J17:J18)</f>
        <v>0</v>
      </c>
      <c r="K19" s="1594">
        <f>SUM(K17:K18)</f>
        <v>0</v>
      </c>
      <c r="L19" s="325"/>
    </row>
    <row r="20" spans="1:12" ht="16.5" thickTop="1" thickBot="1" x14ac:dyDescent="0.25">
      <c r="A20" s="2232" t="s">
        <v>1636</v>
      </c>
      <c r="B20" s="2233"/>
      <c r="C20" s="1622">
        <f>C8-C17</f>
        <v>-83481</v>
      </c>
      <c r="D20" s="1622">
        <f t="shared" ref="D20:K20" si="5">D8-D17</f>
        <v>0</v>
      </c>
      <c r="E20" s="1622">
        <f t="shared" si="5"/>
        <v>0</v>
      </c>
      <c r="F20" s="1622">
        <f t="shared" si="5"/>
        <v>0</v>
      </c>
      <c r="G20" s="1622">
        <f t="shared" si="5"/>
        <v>0</v>
      </c>
      <c r="H20" s="1622">
        <f t="shared" si="5"/>
        <v>-364433</v>
      </c>
      <c r="I20" s="1622">
        <f t="shared" si="5"/>
        <v>0</v>
      </c>
      <c r="J20" s="1622">
        <f t="shared" si="5"/>
        <v>0</v>
      </c>
      <c r="K20" s="1622">
        <f t="shared" si="5"/>
        <v>0</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-83481</v>
      </c>
      <c r="D78" s="1629">
        <f t="shared" si="9"/>
        <v>0</v>
      </c>
      <c r="E78" s="1629">
        <f t="shared" si="9"/>
        <v>0</v>
      </c>
      <c r="F78" s="1629">
        <f t="shared" si="9"/>
        <v>0</v>
      </c>
      <c r="G78" s="1629">
        <f t="shared" si="9"/>
        <v>0</v>
      </c>
      <c r="H78" s="1629">
        <f t="shared" si="9"/>
        <v>-364433</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441391</v>
      </c>
      <c r="D79" s="1630"/>
      <c r="E79" s="1630"/>
      <c r="F79" s="1630"/>
      <c r="G79" s="1630"/>
      <c r="H79" s="1630">
        <v>554680</v>
      </c>
      <c r="I79" s="1630"/>
      <c r="J79" s="1630"/>
      <c r="K79" s="1630"/>
      <c r="L79" s="325"/>
    </row>
    <row r="80" spans="1:12" x14ac:dyDescent="0.2">
      <c r="A80" s="2234" t="s">
        <v>1769</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357910</v>
      </c>
      <c r="D81" s="1594">
        <f>SUM(D78:D80)</f>
        <v>0</v>
      </c>
      <c r="E81" s="1594">
        <f t="shared" ref="E81:K81" si="10">SUM(E78:E80)</f>
        <v>0</v>
      </c>
      <c r="F81" s="1594">
        <f t="shared" si="10"/>
        <v>0</v>
      </c>
      <c r="G81" s="1594">
        <f t="shared" si="10"/>
        <v>0</v>
      </c>
      <c r="H81" s="1594">
        <f t="shared" si="10"/>
        <v>190247</v>
      </c>
      <c r="I81" s="1594">
        <f t="shared" si="10"/>
        <v>0</v>
      </c>
      <c r="J81" s="1594">
        <f t="shared" si="10"/>
        <v>0</v>
      </c>
      <c r="K81" s="1594">
        <f t="shared" si="10"/>
        <v>0</v>
      </c>
      <c r="L81" s="325"/>
    </row>
    <row r="82" spans="1:12" ht="0.75" customHeight="1" thickTop="1" thickBot="1" x14ac:dyDescent="0.25">
      <c r="A82" s="459" t="s">
        <v>340</v>
      </c>
      <c r="B82" s="460"/>
      <c r="C82" s="461">
        <f>(C81-C79)</f>
        <v>-83481</v>
      </c>
      <c r="D82" s="461">
        <f t="shared" ref="D82:K82" si="11">(D81-D79)</f>
        <v>0</v>
      </c>
      <c r="E82" s="461">
        <f t="shared" si="11"/>
        <v>0</v>
      </c>
      <c r="F82" s="461">
        <f t="shared" si="11"/>
        <v>0</v>
      </c>
      <c r="G82" s="461">
        <f t="shared" si="11"/>
        <v>0</v>
      </c>
      <c r="H82" s="461">
        <f t="shared" si="11"/>
        <v>-364433</v>
      </c>
      <c r="I82" s="461">
        <f t="shared" si="11"/>
        <v>0</v>
      </c>
      <c r="J82" s="461">
        <f t="shared" si="11"/>
        <v>0</v>
      </c>
      <c r="K82" s="461">
        <f t="shared" si="11"/>
        <v>0</v>
      </c>
    </row>
    <row r="83" spans="1:12" ht="14.25" hidden="1" thickTop="1" thickBot="1" x14ac:dyDescent="0.25">
      <c r="A83" s="462" t="s">
        <v>341</v>
      </c>
      <c r="B83" s="428"/>
      <c r="C83" s="463">
        <f>C82/C81</f>
        <v>-0.23324578804727444</v>
      </c>
      <c r="D83" s="463" t="e">
        <f t="shared" ref="D83:K83" si="12">D82/D81</f>
        <v>#DIV/0!</v>
      </c>
      <c r="E83" s="463" t="e">
        <f t="shared" si="12"/>
        <v>#DIV/0!</v>
      </c>
      <c r="F83" s="463" t="e">
        <f t="shared" si="12"/>
        <v>#DIV/0!</v>
      </c>
      <c r="G83" s="463" t="e">
        <f t="shared" si="12"/>
        <v>#DIV/0!</v>
      </c>
      <c r="H83" s="463">
        <f t="shared" si="12"/>
        <v>-1.9155781694323695</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98" activePane="bottomLeft" state="frozen"/>
      <selection pane="bottomLeft" activeCell="C213" sqref="C21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1776</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1379603</v>
      </c>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1379603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1534</v>
      </c>
      <c r="D65" s="1573"/>
      <c r="E65" s="1573"/>
      <c r="F65" s="1574"/>
      <c r="G65" s="1573"/>
      <c r="H65" s="1573"/>
      <c r="I65" s="1573"/>
      <c r="J65" s="1574"/>
      <c r="K65" s="1573"/>
    </row>
    <row r="66" spans="1:11" ht="12.75" customHeight="1" x14ac:dyDescent="0.2">
      <c r="A66" s="427" t="s">
        <v>674</v>
      </c>
      <c r="B66" s="429">
        <v>1520</v>
      </c>
      <c r="C66" s="1573">
        <v>65000</v>
      </c>
      <c r="D66" s="1573"/>
      <c r="E66" s="1573"/>
      <c r="F66" s="1573"/>
      <c r="G66" s="1573"/>
      <c r="H66" s="1573"/>
      <c r="I66" s="1573"/>
      <c r="J66" s="1574"/>
      <c r="K66" s="1573"/>
    </row>
    <row r="67" spans="1:11" ht="12.75" customHeight="1" thickBot="1" x14ac:dyDescent="0.25">
      <c r="A67" s="1406" t="s">
        <v>483</v>
      </c>
      <c r="B67" s="1407"/>
      <c r="C67" s="1594">
        <f>SUM(C65:C66)</f>
        <v>66534</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105</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105</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9350</v>
      </c>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1278730</v>
      </c>
      <c r="D106" s="1598"/>
      <c r="E106" s="1574"/>
      <c r="F106" s="1574"/>
      <c r="G106" s="1574"/>
      <c r="H106" s="1574"/>
      <c r="I106" s="1617"/>
      <c r="J106" s="1574"/>
      <c r="K106" s="1574"/>
    </row>
    <row r="107" spans="1:12" ht="12.75" customHeight="1" x14ac:dyDescent="0.2">
      <c r="A107" s="427" t="s">
        <v>78</v>
      </c>
      <c r="B107" s="429">
        <v>1999</v>
      </c>
      <c r="C107" s="1632">
        <v>40916</v>
      </c>
      <c r="D107" s="1573"/>
      <c r="E107" s="1573"/>
      <c r="F107" s="1573"/>
      <c r="G107" s="1573"/>
      <c r="H107" s="1573"/>
      <c r="I107" s="1573"/>
      <c r="J107" s="1574"/>
      <c r="K107" s="1573"/>
    </row>
    <row r="108" spans="1:12" ht="12.75" customHeight="1" thickBot="1" x14ac:dyDescent="0.25">
      <c r="A108" s="1406" t="s">
        <v>484</v>
      </c>
      <c r="B108" s="1408"/>
      <c r="C108" s="1633">
        <f>SUM(C95:C107)</f>
        <v>1328996</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2775238</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360614</v>
      </c>
      <c r="D117" s="1586"/>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360614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41</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41</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360655</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1777</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71379</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1252267</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1323646</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58870</v>
      </c>
      <c r="D263" s="1651"/>
      <c r="E263" s="1575"/>
      <c r="F263" s="1651"/>
      <c r="G263" s="1651"/>
      <c r="H263" s="1575"/>
      <c r="I263" s="1575"/>
      <c r="J263" s="1575"/>
      <c r="K263" s="1575"/>
    </row>
    <row r="264" spans="1:11" ht="12.75" customHeight="1" thickTop="1" thickBot="1" x14ac:dyDescent="0.25">
      <c r="A264" s="427" t="s">
        <v>374</v>
      </c>
      <c r="B264" s="429">
        <v>4992</v>
      </c>
      <c r="C264" s="1650">
        <v>109908</v>
      </c>
      <c r="D264" s="1651"/>
      <c r="E264" s="1575"/>
      <c r="F264" s="1651"/>
      <c r="G264" s="1651"/>
      <c r="H264" s="1575"/>
      <c r="I264" s="1575"/>
      <c r="J264" s="1575"/>
      <c r="K264" s="1575"/>
    </row>
    <row r="265" spans="1:11" s="489" customFormat="1" ht="12.75" customHeight="1" thickTop="1" thickBot="1" x14ac:dyDescent="0.25">
      <c r="A265" s="479" t="s">
        <v>75</v>
      </c>
      <c r="B265" s="475">
        <v>4998</v>
      </c>
      <c r="C265" s="1650">
        <v>82572</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1574996</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1574996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4710889</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topLeftCell="B1" colorId="8" zoomScale="110" zoomScaleNormal="110" workbookViewId="0">
      <pane ySplit="2" topLeftCell="A3" activePane="bottomLeft" state="frozen"/>
      <selection pane="bottomLeft" activeCell="D9" sqref="D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470154</v>
      </c>
      <c r="D8" s="1573">
        <v>158113</v>
      </c>
      <c r="E8" s="1573">
        <v>208</v>
      </c>
      <c r="F8" s="1573">
        <v>8284</v>
      </c>
      <c r="G8" s="1573"/>
      <c r="H8" s="1573"/>
      <c r="I8" s="1574"/>
      <c r="J8" s="1574"/>
      <c r="K8" s="1672">
        <f t="shared" si="0"/>
        <v>636759</v>
      </c>
      <c r="L8" s="1573">
        <v>711061</v>
      </c>
    </row>
    <row r="9" spans="1:14" x14ac:dyDescent="0.2">
      <c r="A9" s="1274" t="s">
        <v>716</v>
      </c>
      <c r="B9" s="503" t="s">
        <v>962</v>
      </c>
      <c r="C9" s="1574">
        <v>122865</v>
      </c>
      <c r="D9" s="1574">
        <v>35923</v>
      </c>
      <c r="E9" s="1574">
        <v>942</v>
      </c>
      <c r="F9" s="1574">
        <v>244</v>
      </c>
      <c r="G9" s="1574"/>
      <c r="H9" s="1574"/>
      <c r="I9" s="1574"/>
      <c r="J9" s="1574"/>
      <c r="K9" s="1672">
        <f t="shared" si="0"/>
        <v>159974</v>
      </c>
      <c r="L9" s="1573">
        <v>158561</v>
      </c>
    </row>
    <row r="10" spans="1:14" x14ac:dyDescent="0.2">
      <c r="A10" s="1274" t="s">
        <v>717</v>
      </c>
      <c r="B10" s="503">
        <v>1250</v>
      </c>
      <c r="C10" s="1573">
        <v>135603</v>
      </c>
      <c r="D10" s="1573">
        <v>19974</v>
      </c>
      <c r="E10" s="1573">
        <v>3805</v>
      </c>
      <c r="F10" s="1573">
        <v>27055</v>
      </c>
      <c r="G10" s="1573"/>
      <c r="H10" s="1573">
        <v>252</v>
      </c>
      <c r="I10" s="1574"/>
      <c r="J10" s="1574"/>
      <c r="K10" s="1672">
        <f t="shared" si="0"/>
        <v>186689</v>
      </c>
      <c r="L10" s="1573">
        <v>224863</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v>16858</v>
      </c>
      <c r="D15" s="1573">
        <v>480</v>
      </c>
      <c r="E15" s="1573"/>
      <c r="F15" s="1573"/>
      <c r="G15" s="1573"/>
      <c r="H15" s="1573"/>
      <c r="I15" s="1574"/>
      <c r="J15" s="1574"/>
      <c r="K15" s="1672">
        <f t="shared" si="0"/>
        <v>17338</v>
      </c>
      <c r="L15" s="1573">
        <v>34441</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745480</v>
      </c>
      <c r="D33" s="1674">
        <f t="shared" ref="D33:L33" si="1">SUM(D5:D32)</f>
        <v>214490</v>
      </c>
      <c r="E33" s="1674">
        <f t="shared" si="1"/>
        <v>4955</v>
      </c>
      <c r="F33" s="1674">
        <f t="shared" si="1"/>
        <v>35583</v>
      </c>
      <c r="G33" s="1674">
        <f t="shared" si="1"/>
        <v>0</v>
      </c>
      <c r="H33" s="1674">
        <f t="shared" si="1"/>
        <v>252</v>
      </c>
      <c r="I33" s="1674">
        <f t="shared" si="1"/>
        <v>0</v>
      </c>
      <c r="J33" s="1674">
        <f t="shared" si="1"/>
        <v>0</v>
      </c>
      <c r="K33" s="1674">
        <f t="shared" si="1"/>
        <v>1000760</v>
      </c>
      <c r="L33" s="1674">
        <f t="shared" si="1"/>
        <v>1128926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354869</v>
      </c>
      <c r="D36" s="1586">
        <v>86759</v>
      </c>
      <c r="E36" s="1586">
        <v>42320</v>
      </c>
      <c r="F36" s="1586"/>
      <c r="G36" s="1586"/>
      <c r="H36" s="1586"/>
      <c r="I36" s="1574"/>
      <c r="J36" s="1574"/>
      <c r="K36" s="1672">
        <f t="shared" ref="K36:K41" si="2">SUM(C36:J36)</f>
        <v>483948</v>
      </c>
      <c r="L36" s="1573">
        <v>459594</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v>301300</v>
      </c>
      <c r="D38" s="1573">
        <v>88647</v>
      </c>
      <c r="E38" s="1573">
        <v>84292</v>
      </c>
      <c r="F38" s="1573"/>
      <c r="G38" s="1573"/>
      <c r="H38" s="1573"/>
      <c r="I38" s="1574"/>
      <c r="J38" s="1574"/>
      <c r="K38" s="1672">
        <f t="shared" si="2"/>
        <v>474239</v>
      </c>
      <c r="L38" s="1573">
        <v>506308</v>
      </c>
    </row>
    <row r="39" spans="1:14" x14ac:dyDescent="0.2">
      <c r="A39" s="1274" t="s">
        <v>197</v>
      </c>
      <c r="B39" s="503">
        <v>2140</v>
      </c>
      <c r="C39" s="1573">
        <v>242294</v>
      </c>
      <c r="D39" s="1573">
        <v>57149</v>
      </c>
      <c r="E39" s="1573">
        <v>22220</v>
      </c>
      <c r="F39" s="1573"/>
      <c r="G39" s="1573"/>
      <c r="H39" s="1573"/>
      <c r="I39" s="1574"/>
      <c r="J39" s="1574"/>
      <c r="K39" s="1672">
        <f t="shared" si="2"/>
        <v>321663</v>
      </c>
      <c r="L39" s="1573">
        <v>279717</v>
      </c>
    </row>
    <row r="40" spans="1:14" x14ac:dyDescent="0.2">
      <c r="A40" s="1274" t="s">
        <v>198</v>
      </c>
      <c r="B40" s="503">
        <v>2150</v>
      </c>
      <c r="C40" s="1573">
        <v>492518</v>
      </c>
      <c r="D40" s="1573">
        <v>108733</v>
      </c>
      <c r="E40" s="1573">
        <v>50070</v>
      </c>
      <c r="F40" s="1573"/>
      <c r="G40" s="1573"/>
      <c r="H40" s="1573">
        <v>180</v>
      </c>
      <c r="I40" s="1574"/>
      <c r="J40" s="1574"/>
      <c r="K40" s="1672">
        <f t="shared" si="2"/>
        <v>651501</v>
      </c>
      <c r="L40" s="1573">
        <v>678854</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1390981</v>
      </c>
      <c r="D42" s="1674">
        <f t="shared" ref="D42:L42" si="3">SUM(D36:D41)</f>
        <v>341288</v>
      </c>
      <c r="E42" s="1674">
        <f t="shared" si="3"/>
        <v>198902</v>
      </c>
      <c r="F42" s="1674">
        <f t="shared" si="3"/>
        <v>0</v>
      </c>
      <c r="G42" s="1674">
        <f t="shared" si="3"/>
        <v>0</v>
      </c>
      <c r="H42" s="1674">
        <f t="shared" si="3"/>
        <v>180</v>
      </c>
      <c r="I42" s="1674">
        <f t="shared" si="3"/>
        <v>0</v>
      </c>
      <c r="J42" s="1674">
        <f t="shared" si="3"/>
        <v>0</v>
      </c>
      <c r="K42" s="1674">
        <f t="shared" si="3"/>
        <v>1931351</v>
      </c>
      <c r="L42" s="1674">
        <f t="shared" si="3"/>
        <v>1924473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57272</v>
      </c>
      <c r="F44" s="1586">
        <v>4474</v>
      </c>
      <c r="G44" s="1586"/>
      <c r="H44" s="1586"/>
      <c r="I44" s="1574"/>
      <c r="J44" s="1574"/>
      <c r="K44" s="1678">
        <f>SUM(C44:J44)</f>
        <v>61746</v>
      </c>
      <c r="L44" s="1586">
        <v>86125</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v>57660</v>
      </c>
      <c r="F46" s="1573"/>
      <c r="G46" s="1573"/>
      <c r="H46" s="1573"/>
      <c r="I46" s="1574"/>
      <c r="J46" s="1574"/>
      <c r="K46" s="1678">
        <f>SUM(C46:J46)</f>
        <v>57660</v>
      </c>
      <c r="L46" s="1573">
        <v>46190</v>
      </c>
    </row>
    <row r="47" spans="1:14" ht="12.75" customHeight="1" thickBot="1" x14ac:dyDescent="0.25">
      <c r="A47" s="1380" t="s">
        <v>557</v>
      </c>
      <c r="B47" s="1381" t="s">
        <v>32</v>
      </c>
      <c r="C47" s="1674">
        <f>SUM(C44:C46)</f>
        <v>0</v>
      </c>
      <c r="D47" s="1674">
        <f t="shared" ref="D47:K47" si="4">SUM(D44:D46)</f>
        <v>0</v>
      </c>
      <c r="E47" s="1674">
        <f t="shared" si="4"/>
        <v>114932</v>
      </c>
      <c r="F47" s="1674">
        <f t="shared" si="4"/>
        <v>4474</v>
      </c>
      <c r="G47" s="1674">
        <f t="shared" si="4"/>
        <v>0</v>
      </c>
      <c r="H47" s="1674">
        <f t="shared" si="4"/>
        <v>0</v>
      </c>
      <c r="I47" s="1674">
        <f t="shared" si="4"/>
        <v>0</v>
      </c>
      <c r="J47" s="1674">
        <f t="shared" si="4"/>
        <v>0</v>
      </c>
      <c r="K47" s="1674">
        <f t="shared" si="4"/>
        <v>119406</v>
      </c>
      <c r="L47" s="1674">
        <f>SUM(L44:L46)</f>
        <v>132315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47696</v>
      </c>
      <c r="F49" s="1586"/>
      <c r="G49" s="1586"/>
      <c r="H49" s="1586"/>
      <c r="I49" s="1574"/>
      <c r="J49" s="1574"/>
      <c r="K49" s="1678">
        <f>SUM(C49:J49)</f>
        <v>47696</v>
      </c>
      <c r="L49" s="1586">
        <v>22778</v>
      </c>
    </row>
    <row r="50" spans="1:14" x14ac:dyDescent="0.2">
      <c r="A50" s="1274" t="s">
        <v>813</v>
      </c>
      <c r="B50" s="503">
        <v>2320</v>
      </c>
      <c r="C50" s="1573">
        <v>220039</v>
      </c>
      <c r="D50" s="1573">
        <v>38233</v>
      </c>
      <c r="E50" s="1573">
        <v>3627</v>
      </c>
      <c r="F50" s="1573">
        <v>17052</v>
      </c>
      <c r="G50" s="1573"/>
      <c r="H50" s="1573">
        <v>1894</v>
      </c>
      <c r="I50" s="1574"/>
      <c r="J50" s="1574"/>
      <c r="K50" s="1678">
        <f>SUM(C50:J50)</f>
        <v>280845</v>
      </c>
      <c r="L50" s="1573">
        <v>281017</v>
      </c>
    </row>
    <row r="51" spans="1:14" x14ac:dyDescent="0.2">
      <c r="A51" s="1274" t="s">
        <v>42</v>
      </c>
      <c r="B51" s="503">
        <v>2330</v>
      </c>
      <c r="C51" s="1573">
        <v>296729</v>
      </c>
      <c r="D51" s="1573">
        <v>75784</v>
      </c>
      <c r="E51" s="1573">
        <v>88329</v>
      </c>
      <c r="F51" s="1573"/>
      <c r="G51" s="1573"/>
      <c r="H51" s="1573">
        <v>999</v>
      </c>
      <c r="I51" s="1574"/>
      <c r="J51" s="1574"/>
      <c r="K51" s="1678">
        <f>SUM(C51:J51)</f>
        <v>461841</v>
      </c>
      <c r="L51" s="1573">
        <v>368336</v>
      </c>
    </row>
    <row r="52" spans="1:14" ht="22.5" x14ac:dyDescent="0.2">
      <c r="A52" s="1275" t="s">
        <v>295</v>
      </c>
      <c r="B52" s="511" t="s">
        <v>363</v>
      </c>
      <c r="C52" s="1579"/>
      <c r="D52" s="1579">
        <v>31182</v>
      </c>
      <c r="E52" s="1579">
        <v>34569</v>
      </c>
      <c r="F52" s="1579"/>
      <c r="G52" s="1579"/>
      <c r="H52" s="1579"/>
      <c r="I52" s="1579"/>
      <c r="J52" s="1579"/>
      <c r="K52" s="1678">
        <f>SUM(C52:J52)</f>
        <v>65751</v>
      </c>
      <c r="L52" s="1579">
        <v>43708</v>
      </c>
    </row>
    <row r="53" spans="1:14" ht="12.75" customHeight="1" thickBot="1" x14ac:dyDescent="0.25">
      <c r="A53" s="1380" t="s">
        <v>712</v>
      </c>
      <c r="B53" s="1381" t="s">
        <v>33</v>
      </c>
      <c r="C53" s="1674">
        <f>SUM(C49:C52)</f>
        <v>516768</v>
      </c>
      <c r="D53" s="1674">
        <f t="shared" ref="D53:L53" si="5">SUM(D49:D52)</f>
        <v>145199</v>
      </c>
      <c r="E53" s="1674">
        <f t="shared" si="5"/>
        <v>174221</v>
      </c>
      <c r="F53" s="1674">
        <f t="shared" si="5"/>
        <v>17052</v>
      </c>
      <c r="G53" s="1674">
        <f t="shared" si="5"/>
        <v>0</v>
      </c>
      <c r="H53" s="1674">
        <f t="shared" si="5"/>
        <v>2893</v>
      </c>
      <c r="I53" s="1674">
        <f t="shared" si="5"/>
        <v>0</v>
      </c>
      <c r="J53" s="1674">
        <f t="shared" si="5"/>
        <v>0</v>
      </c>
      <c r="K53" s="1674">
        <f t="shared" si="5"/>
        <v>856133</v>
      </c>
      <c r="L53" s="1674">
        <f t="shared" si="5"/>
        <v>715839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103159</v>
      </c>
      <c r="D55" s="1586">
        <v>32609</v>
      </c>
      <c r="E55" s="1586">
        <v>439</v>
      </c>
      <c r="F55" s="1586"/>
      <c r="G55" s="1586"/>
      <c r="H55" s="1586">
        <v>180</v>
      </c>
      <c r="I55" s="1574"/>
      <c r="J55" s="1574"/>
      <c r="K55" s="1678">
        <f>SUM(C55:J55)</f>
        <v>136387</v>
      </c>
      <c r="L55" s="1586">
        <v>126864</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103159</v>
      </c>
      <c r="D57" s="1679">
        <f t="shared" ref="D57:K57" si="6">SUM(D55:D56)</f>
        <v>32609</v>
      </c>
      <c r="E57" s="1679">
        <f t="shared" si="6"/>
        <v>439</v>
      </c>
      <c r="F57" s="1679">
        <f t="shared" si="6"/>
        <v>0</v>
      </c>
      <c r="G57" s="1679">
        <f t="shared" si="6"/>
        <v>0</v>
      </c>
      <c r="H57" s="1679">
        <f t="shared" si="6"/>
        <v>180</v>
      </c>
      <c r="I57" s="1679">
        <f t="shared" si="6"/>
        <v>0</v>
      </c>
      <c r="J57" s="1679">
        <f t="shared" si="6"/>
        <v>0</v>
      </c>
      <c r="K57" s="1679">
        <f t="shared" si="6"/>
        <v>136387</v>
      </c>
      <c r="L57" s="1674">
        <f>SUM(L55:L56)</f>
        <v>126864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52982</v>
      </c>
      <c r="D60" s="1573">
        <v>15278</v>
      </c>
      <c r="E60" s="1573">
        <v>26380</v>
      </c>
      <c r="F60" s="1573"/>
      <c r="G60" s="1573"/>
      <c r="H60" s="1573"/>
      <c r="I60" s="1574"/>
      <c r="J60" s="1574"/>
      <c r="K60" s="1678">
        <f t="shared" si="7"/>
        <v>94640</v>
      </c>
      <c r="L60" s="1573">
        <v>851669</v>
      </c>
      <c r="M60" s="501"/>
      <c r="N60" s="501"/>
    </row>
    <row r="61" spans="1:14" s="321" customFormat="1" x14ac:dyDescent="0.2">
      <c r="A61" s="1274" t="s">
        <v>195</v>
      </c>
      <c r="B61" s="503">
        <v>2540</v>
      </c>
      <c r="C61" s="1573">
        <v>51879</v>
      </c>
      <c r="D61" s="1573">
        <v>15142</v>
      </c>
      <c r="E61" s="1573">
        <v>72177</v>
      </c>
      <c r="F61" s="1573">
        <v>46558</v>
      </c>
      <c r="G61" s="1573"/>
      <c r="H61" s="1573"/>
      <c r="I61" s="1574"/>
      <c r="J61" s="1574"/>
      <c r="K61" s="1678">
        <f t="shared" si="7"/>
        <v>185756</v>
      </c>
      <c r="L61" s="1573">
        <v>118451</v>
      </c>
      <c r="M61" s="501"/>
      <c r="N61" s="501"/>
    </row>
    <row r="62" spans="1:14" s="321" customFormat="1" x14ac:dyDescent="0.2">
      <c r="A62" s="1274" t="s">
        <v>947</v>
      </c>
      <c r="B62" s="503">
        <v>2550</v>
      </c>
      <c r="C62" s="1573"/>
      <c r="D62" s="1573"/>
      <c r="E62" s="1573">
        <v>142</v>
      </c>
      <c r="F62" s="1573"/>
      <c r="G62" s="1573"/>
      <c r="H62" s="1573"/>
      <c r="I62" s="1574"/>
      <c r="J62" s="1574"/>
      <c r="K62" s="1678">
        <f t="shared" si="7"/>
        <v>142</v>
      </c>
      <c r="L62" s="1573"/>
      <c r="M62" s="501"/>
      <c r="N62" s="501"/>
    </row>
    <row r="63" spans="1:14" s="501" customFormat="1" x14ac:dyDescent="0.2">
      <c r="A63" s="1274" t="s">
        <v>100</v>
      </c>
      <c r="B63" s="503">
        <v>2560</v>
      </c>
      <c r="C63" s="1573"/>
      <c r="D63" s="1573"/>
      <c r="E63" s="1573">
        <v>313</v>
      </c>
      <c r="F63" s="1573"/>
      <c r="G63" s="1573"/>
      <c r="H63" s="1573"/>
      <c r="I63" s="1574"/>
      <c r="J63" s="1574"/>
      <c r="K63" s="1678">
        <f t="shared" si="7"/>
        <v>313</v>
      </c>
      <c r="L63" s="1573"/>
    </row>
    <row r="64" spans="1:14" s="501" customFormat="1" x14ac:dyDescent="0.2">
      <c r="A64" s="1279" t="s">
        <v>101</v>
      </c>
      <c r="B64" s="513">
        <v>2570</v>
      </c>
      <c r="C64" s="1586"/>
      <c r="D64" s="1586"/>
      <c r="E64" s="1586">
        <v>13224</v>
      </c>
      <c r="F64" s="1586"/>
      <c r="G64" s="1586"/>
      <c r="H64" s="1586"/>
      <c r="I64" s="1574"/>
      <c r="J64" s="1574"/>
      <c r="K64" s="1678">
        <f t="shared" si="7"/>
        <v>13224</v>
      </c>
      <c r="L64" s="1586">
        <v>13122</v>
      </c>
    </row>
    <row r="65" spans="1:14" s="321" customFormat="1" ht="12.75" customHeight="1" thickBot="1" x14ac:dyDescent="0.25">
      <c r="A65" s="1380" t="s">
        <v>714</v>
      </c>
      <c r="B65" s="1381" t="s">
        <v>35</v>
      </c>
      <c r="C65" s="1674">
        <f>SUM(C59:C64)</f>
        <v>104861</v>
      </c>
      <c r="D65" s="1674">
        <f t="shared" ref="D65:L65" si="8">SUM(D59:D64)</f>
        <v>30420</v>
      </c>
      <c r="E65" s="1674">
        <f t="shared" si="8"/>
        <v>112236</v>
      </c>
      <c r="F65" s="1674">
        <f t="shared" si="8"/>
        <v>46558</v>
      </c>
      <c r="G65" s="1674">
        <f t="shared" si="8"/>
        <v>0</v>
      </c>
      <c r="H65" s="1674">
        <f t="shared" si="8"/>
        <v>0</v>
      </c>
      <c r="I65" s="1674">
        <f t="shared" si="8"/>
        <v>0</v>
      </c>
      <c r="J65" s="1674">
        <f t="shared" si="8"/>
        <v>0</v>
      </c>
      <c r="K65" s="1674">
        <f t="shared" si="8"/>
        <v>294075</v>
      </c>
      <c r="L65" s="1674">
        <f t="shared" si="8"/>
        <v>983242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v>76142</v>
      </c>
      <c r="D68" s="1573">
        <v>22752</v>
      </c>
      <c r="E68" s="1573">
        <v>123</v>
      </c>
      <c r="F68" s="1573"/>
      <c r="G68" s="1573"/>
      <c r="H68" s="1573">
        <v>460</v>
      </c>
      <c r="I68" s="1574"/>
      <c r="J68" s="1574"/>
      <c r="K68" s="1678">
        <f>SUM(C68:J68)</f>
        <v>99477</v>
      </c>
      <c r="L68" s="1573">
        <v>95969</v>
      </c>
      <c r="M68" s="501"/>
      <c r="N68" s="501"/>
    </row>
    <row r="69" spans="1:14" s="321" customFormat="1" x14ac:dyDescent="0.2">
      <c r="A69" s="1274" t="s">
        <v>1052</v>
      </c>
      <c r="B69" s="503">
        <v>2630</v>
      </c>
      <c r="C69" s="1573">
        <v>27311</v>
      </c>
      <c r="D69" s="1573">
        <v>9862</v>
      </c>
      <c r="E69" s="1573">
        <v>250</v>
      </c>
      <c r="F69" s="1573"/>
      <c r="G69" s="1573"/>
      <c r="H69" s="1573"/>
      <c r="I69" s="1574"/>
      <c r="J69" s="1574"/>
      <c r="K69" s="1678">
        <f>SUM(C69:J69)</f>
        <v>37423</v>
      </c>
      <c r="L69" s="1573">
        <v>47475</v>
      </c>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v>15375</v>
      </c>
      <c r="F71" s="1573"/>
      <c r="G71" s="1573"/>
      <c r="H71" s="1573"/>
      <c r="I71" s="1574"/>
      <c r="J71" s="1574"/>
      <c r="K71" s="1678">
        <f>SUM(C71:J71)</f>
        <v>15375</v>
      </c>
      <c r="L71" s="1573">
        <v>22000</v>
      </c>
      <c r="M71" s="501"/>
      <c r="N71" s="501"/>
    </row>
    <row r="72" spans="1:14" s="321" customFormat="1" ht="12.75" customHeight="1" thickBot="1" x14ac:dyDescent="0.25">
      <c r="A72" s="1380" t="s">
        <v>37</v>
      </c>
      <c r="B72" s="1383" t="s">
        <v>36</v>
      </c>
      <c r="C72" s="1674">
        <f>SUM(C67:C71)</f>
        <v>103453</v>
      </c>
      <c r="D72" s="1674">
        <f t="shared" ref="D72:K72" si="9">SUM(D67:D71)</f>
        <v>32614</v>
      </c>
      <c r="E72" s="1674">
        <f t="shared" si="9"/>
        <v>15748</v>
      </c>
      <c r="F72" s="1674">
        <f t="shared" si="9"/>
        <v>0</v>
      </c>
      <c r="G72" s="1674">
        <f t="shared" si="9"/>
        <v>0</v>
      </c>
      <c r="H72" s="1674">
        <f t="shared" si="9"/>
        <v>460</v>
      </c>
      <c r="I72" s="1674">
        <f t="shared" si="9"/>
        <v>0</v>
      </c>
      <c r="J72" s="1674">
        <f t="shared" si="9"/>
        <v>0</v>
      </c>
      <c r="K72" s="1674">
        <f t="shared" si="9"/>
        <v>152275</v>
      </c>
      <c r="L72" s="1674">
        <f>SUM(L67:L71)</f>
        <v>165444</v>
      </c>
      <c r="M72" s="501"/>
      <c r="N72" s="501"/>
    </row>
    <row r="73" spans="1:14" s="321" customFormat="1" ht="14.25" thickTop="1" thickBot="1" x14ac:dyDescent="0.25">
      <c r="A73" s="1280" t="s">
        <v>973</v>
      </c>
      <c r="B73" s="515" t="s">
        <v>570</v>
      </c>
      <c r="C73" s="1649"/>
      <c r="D73" s="1649"/>
      <c r="E73" s="1649">
        <v>22707</v>
      </c>
      <c r="F73" s="1649"/>
      <c r="G73" s="1649"/>
      <c r="H73" s="1649"/>
      <c r="I73" s="1627"/>
      <c r="J73" s="1627"/>
      <c r="K73" s="1674">
        <f>SUM(C73:J73)</f>
        <v>22707</v>
      </c>
      <c r="L73" s="1651">
        <v>40000</v>
      </c>
      <c r="M73" s="501"/>
      <c r="N73" s="501"/>
    </row>
    <row r="74" spans="1:14" ht="12.75" customHeight="1" thickTop="1" thickBot="1" x14ac:dyDescent="0.25">
      <c r="A74" s="1380" t="s">
        <v>806</v>
      </c>
      <c r="B74" s="1384">
        <v>2000</v>
      </c>
      <c r="C74" s="1681">
        <f>SUM(C42,C47,C53,C57,C65,C72,C73)</f>
        <v>2219222</v>
      </c>
      <c r="D74" s="1681">
        <f t="shared" ref="D74:K74" si="10">SUM(D42,D47,D53,D57,D65,D72,D73)</f>
        <v>582130</v>
      </c>
      <c r="E74" s="1681">
        <f t="shared" si="10"/>
        <v>639185</v>
      </c>
      <c r="F74" s="1681">
        <f t="shared" si="10"/>
        <v>68084</v>
      </c>
      <c r="G74" s="1681">
        <f t="shared" si="10"/>
        <v>0</v>
      </c>
      <c r="H74" s="1681">
        <f t="shared" si="10"/>
        <v>3713</v>
      </c>
      <c r="I74" s="1681">
        <f t="shared" si="10"/>
        <v>0</v>
      </c>
      <c r="J74" s="1681">
        <f t="shared" si="10"/>
        <v>0</v>
      </c>
      <c r="K74" s="1681">
        <f t="shared" si="10"/>
        <v>3512334</v>
      </c>
      <c r="L74" s="1681">
        <f>SUM(L42,L47,L53,L57,L65,L72,L73)</f>
        <v>4088177</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280000</v>
      </c>
      <c r="I79" s="1582"/>
      <c r="J79" s="1582"/>
      <c r="K79" s="1672">
        <f t="shared" si="11"/>
        <v>280000</v>
      </c>
      <c r="L79" s="1573">
        <v>312000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280000</v>
      </c>
      <c r="I84" s="1582"/>
      <c r="J84" s="1582"/>
      <c r="K84" s="1674">
        <f>SUM(K78:K83)</f>
        <v>280000</v>
      </c>
      <c r="L84" s="1674">
        <f>SUM(L78:L83)</f>
        <v>312000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280000</v>
      </c>
      <c r="I102" s="1582"/>
      <c r="J102" s="1582"/>
      <c r="K102" s="1681">
        <f>SUM(K84,K92,K100,K101)</f>
        <v>280000</v>
      </c>
      <c r="L102" s="1681">
        <f>SUM(L84,L92,L100,L101)</f>
        <v>312000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v>1276</v>
      </c>
      <c r="I109" s="1575"/>
      <c r="J109" s="1575"/>
      <c r="K109" s="1672">
        <f>H109</f>
        <v>1276</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1276</v>
      </c>
      <c r="I110" s="1575"/>
      <c r="J110" s="1575"/>
      <c r="K110" s="1674">
        <f>SUM(K105:K109)</f>
        <v>1276</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1276</v>
      </c>
      <c r="I112" s="1575"/>
      <c r="J112" s="1575"/>
      <c r="K112" s="1674">
        <f>SUM(K110:K111)</f>
        <v>1276</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2964702</v>
      </c>
      <c r="D114" s="1674">
        <f t="shared" ref="D114:K114" si="13">SUM(D33,D74,D75,D102,D112,D113)</f>
        <v>796620</v>
      </c>
      <c r="E114" s="1674">
        <f t="shared" si="13"/>
        <v>644140</v>
      </c>
      <c r="F114" s="1674">
        <f t="shared" si="13"/>
        <v>103667</v>
      </c>
      <c r="G114" s="1674">
        <f t="shared" si="13"/>
        <v>0</v>
      </c>
      <c r="H114" s="1674">
        <f>SUM(H33,H74,H75,H102,H112,H113)</f>
        <v>285241</v>
      </c>
      <c r="I114" s="1674">
        <f t="shared" si="13"/>
        <v>0</v>
      </c>
      <c r="J114" s="1674">
        <f t="shared" si="13"/>
        <v>0</v>
      </c>
      <c r="K114" s="1674">
        <f t="shared" si="13"/>
        <v>4794370</v>
      </c>
      <c r="L114" s="1674">
        <f>SUM(L33,L74,L75,L102,L112,L113)</f>
        <v>5529103</v>
      </c>
    </row>
    <row r="115" spans="1:14" ht="13.5" thickTop="1" x14ac:dyDescent="0.2">
      <c r="A115" s="2287" t="s">
        <v>989</v>
      </c>
      <c r="B115" s="2288"/>
      <c r="C115" s="1675"/>
      <c r="D115" s="1675"/>
      <c r="E115" s="1675"/>
      <c r="F115" s="1675"/>
      <c r="G115" s="1675"/>
      <c r="H115" s="1675"/>
      <c r="I115" s="1675"/>
      <c r="J115" s="1675"/>
      <c r="K115" s="1689">
        <f>'Revenues 9-14'!C268-'Expenditures 15-22'!K114</f>
        <v>-83481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7" t="s">
        <v>616</v>
      </c>
      <c r="B151" s="2259"/>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7" t="s">
        <v>989</v>
      </c>
      <c r="B175" s="2288"/>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87" t="s">
        <v>989</v>
      </c>
      <c r="B211" s="2288"/>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8" t="s">
        <v>502</v>
      </c>
      <c r="B295" s="2279"/>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87" t="s">
        <v>989</v>
      </c>
      <c r="B296" s="2288"/>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364433</v>
      </c>
      <c r="H301" s="1573"/>
      <c r="I301" s="1574"/>
      <c r="J301" s="1574"/>
      <c r="K301" s="1672">
        <f>SUM(C301:J301)</f>
        <v>364433</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364433</v>
      </c>
      <c r="H303" s="1681">
        <f t="shared" si="23"/>
        <v>0</v>
      </c>
      <c r="I303" s="1681">
        <f t="shared" si="23"/>
        <v>0</v>
      </c>
      <c r="J303" s="1681">
        <f t="shared" si="23"/>
        <v>0</v>
      </c>
      <c r="K303" s="1681">
        <f t="shared" si="23"/>
        <v>364433</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5" t="s">
        <v>275</v>
      </c>
      <c r="B312" s="2276"/>
      <c r="C312" s="1674">
        <f>SUM(C303)</f>
        <v>0</v>
      </c>
      <c r="D312" s="1674">
        <f>SUM(D303)</f>
        <v>0</v>
      </c>
      <c r="E312" s="1674">
        <f>SUM(E303,E310)</f>
        <v>0</v>
      </c>
      <c r="F312" s="1674">
        <f>SUM(F303)</f>
        <v>0</v>
      </c>
      <c r="G312" s="1674">
        <f>SUM(G303)</f>
        <v>364433</v>
      </c>
      <c r="H312" s="1674">
        <f>SUM(H303,H310)</f>
        <v>0</v>
      </c>
      <c r="I312" s="1674">
        <f>SUM(I303)</f>
        <v>0</v>
      </c>
      <c r="J312" s="1674">
        <f>SUM(J303)</f>
        <v>0</v>
      </c>
      <c r="K312" s="1674">
        <f>SUM(K303,K310,K311)</f>
        <v>364433</v>
      </c>
      <c r="L312" s="1674">
        <f>SUM(L303,L310,L311)</f>
        <v>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-364433</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7" t="s">
        <v>989</v>
      </c>
      <c r="B368" s="2288"/>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B26" sqref="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C28" sqref="C2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1776</v>
      </c>
      <c r="B2" s="230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6">
        <v>0</v>
      </c>
      <c r="D4" s="1656">
        <v>0</v>
      </c>
      <c r="E4" s="1656">
        <v>0</v>
      </c>
      <c r="F4" s="1732">
        <f>SUM(C4+D4)-E4</f>
        <v>0</v>
      </c>
    </row>
    <row r="5" spans="1:7" ht="15.75" customHeight="1" thickTop="1" x14ac:dyDescent="0.2">
      <c r="A5" s="2291" t="s">
        <v>1101</v>
      </c>
      <c r="B5" s="2292"/>
      <c r="C5" s="2300"/>
      <c r="D5" s="2301"/>
      <c r="E5" s="2301"/>
      <c r="F5" s="2302"/>
    </row>
    <row r="6" spans="1:7" ht="12.75" customHeight="1" thickBot="1" x14ac:dyDescent="0.25">
      <c r="A6" s="587" t="s">
        <v>64</v>
      </c>
      <c r="B6" s="588"/>
      <c r="C6" s="1733">
        <v>0</v>
      </c>
      <c r="D6" s="1664">
        <v>0</v>
      </c>
      <c r="E6" s="1733">
        <v>0</v>
      </c>
      <c r="F6" s="1732">
        <f t="shared" ref="F6:F14" si="0">SUM(C6+D6)-E6</f>
        <v>0</v>
      </c>
    </row>
    <row r="7" spans="1:7" ht="12.75" customHeight="1" thickTop="1" thickBot="1" x14ac:dyDescent="0.25">
      <c r="A7" s="587" t="s">
        <v>6</v>
      </c>
      <c r="B7" s="588"/>
      <c r="C7" s="1733">
        <v>0</v>
      </c>
      <c r="D7" s="1664">
        <v>0</v>
      </c>
      <c r="E7" s="1733">
        <v>0</v>
      </c>
      <c r="F7" s="1732">
        <f t="shared" si="0"/>
        <v>0</v>
      </c>
    </row>
    <row r="8" spans="1:7" ht="12.75" customHeight="1" thickTop="1" thickBot="1" x14ac:dyDescent="0.25">
      <c r="A8" s="587" t="s">
        <v>505</v>
      </c>
      <c r="B8" s="588"/>
      <c r="C8" s="1733">
        <v>0</v>
      </c>
      <c r="D8" s="1664">
        <v>0</v>
      </c>
      <c r="E8" s="1733">
        <v>0</v>
      </c>
      <c r="F8" s="1732">
        <f t="shared" si="0"/>
        <v>0</v>
      </c>
    </row>
    <row r="9" spans="1:7" ht="12.75" customHeight="1" thickTop="1" thickBot="1" x14ac:dyDescent="0.25">
      <c r="A9" s="587" t="s">
        <v>506</v>
      </c>
      <c r="B9" s="588"/>
      <c r="C9" s="1733">
        <v>0</v>
      </c>
      <c r="D9" s="1664">
        <v>0</v>
      </c>
      <c r="E9" s="1733">
        <v>0</v>
      </c>
      <c r="F9" s="1732">
        <f t="shared" si="0"/>
        <v>0</v>
      </c>
    </row>
    <row r="10" spans="1:7" ht="12.75" customHeight="1" thickTop="1" thickBot="1" x14ac:dyDescent="0.25">
      <c r="A10" s="587" t="s">
        <v>507</v>
      </c>
      <c r="B10" s="588"/>
      <c r="C10" s="1733">
        <v>0</v>
      </c>
      <c r="D10" s="1664">
        <v>0</v>
      </c>
      <c r="E10" s="1733">
        <v>0</v>
      </c>
      <c r="F10" s="1732">
        <f t="shared" si="0"/>
        <v>0</v>
      </c>
    </row>
    <row r="11" spans="1:7" ht="12.75" customHeight="1" thickTop="1" thickBot="1" x14ac:dyDescent="0.25">
      <c r="A11" s="587" t="s">
        <v>338</v>
      </c>
      <c r="B11" s="588"/>
      <c r="C11" s="1733">
        <v>0</v>
      </c>
      <c r="D11" s="1664">
        <v>0</v>
      </c>
      <c r="E11" s="1733">
        <v>0</v>
      </c>
      <c r="F11" s="1732">
        <f t="shared" si="0"/>
        <v>0</v>
      </c>
    </row>
    <row r="12" spans="1:7" ht="12.75" customHeight="1" thickTop="1" thickBot="1" x14ac:dyDescent="0.25">
      <c r="A12" s="587" t="s">
        <v>1147</v>
      </c>
      <c r="B12" s="588"/>
      <c r="C12" s="1733">
        <v>0</v>
      </c>
      <c r="D12" s="1664">
        <v>0</v>
      </c>
      <c r="E12" s="1733">
        <v>0</v>
      </c>
      <c r="F12" s="1732">
        <f t="shared" si="0"/>
        <v>0</v>
      </c>
    </row>
    <row r="13" spans="1:7" ht="12.75" customHeight="1" thickTop="1" thickBot="1" x14ac:dyDescent="0.25">
      <c r="A13" s="587" t="s">
        <v>385</v>
      </c>
      <c r="B13" s="588"/>
      <c r="C13" s="1733">
        <v>0</v>
      </c>
      <c r="D13" s="1664">
        <v>0</v>
      </c>
      <c r="E13" s="1733">
        <v>0</v>
      </c>
      <c r="F13" s="1732">
        <f t="shared" si="0"/>
        <v>0</v>
      </c>
    </row>
    <row r="14" spans="1:7" ht="12.75" customHeight="1" thickTop="1" thickBot="1" x14ac:dyDescent="0.25">
      <c r="A14" s="587" t="s">
        <v>445</v>
      </c>
      <c r="B14" s="588"/>
      <c r="C14" s="1733">
        <v>0</v>
      </c>
      <c r="D14" s="1664">
        <v>0</v>
      </c>
      <c r="E14" s="1733">
        <v>0</v>
      </c>
      <c r="F14" s="1732">
        <f t="shared" si="0"/>
        <v>0</v>
      </c>
    </row>
    <row r="15" spans="1:7" ht="14.25" thickTop="1" thickBot="1" x14ac:dyDescent="0.25">
      <c r="A15" s="2293" t="s">
        <v>627</v>
      </c>
      <c r="B15" s="2294"/>
      <c r="C15" s="1732">
        <f>SUM(C6:C14)</f>
        <v>0</v>
      </c>
      <c r="D15" s="1732">
        <f>SUM(D6:D14)</f>
        <v>0</v>
      </c>
      <c r="E15" s="1732">
        <f>SUM(E6:E14)</f>
        <v>0</v>
      </c>
      <c r="F15" s="1732">
        <f>SUM(F6:F14)</f>
        <v>0</v>
      </c>
      <c r="G15" s="473"/>
    </row>
    <row r="16" spans="1:7" s="197" customFormat="1" ht="15.75" customHeight="1" thickTop="1" x14ac:dyDescent="0.2">
      <c r="A16" s="2303" t="s">
        <v>1102</v>
      </c>
      <c r="B16" s="2292"/>
      <c r="C16" s="2300"/>
      <c r="D16" s="2301"/>
      <c r="E16" s="2301"/>
      <c r="F16" s="2302"/>
    </row>
    <row r="17" spans="1:11" ht="12.75" customHeight="1" thickBot="1" x14ac:dyDescent="0.25">
      <c r="A17" s="2316" t="s">
        <v>64</v>
      </c>
      <c r="B17" s="2317"/>
      <c r="C17" s="1733">
        <v>0</v>
      </c>
      <c r="D17" s="1664">
        <v>0</v>
      </c>
      <c r="E17" s="1733">
        <v>0</v>
      </c>
      <c r="F17" s="1732">
        <f>SUM(C17+D17)-E17</f>
        <v>0</v>
      </c>
    </row>
    <row r="18" spans="1:11" ht="12.75" customHeight="1" thickTop="1" thickBot="1" x14ac:dyDescent="0.25">
      <c r="A18" s="2316" t="s">
        <v>6</v>
      </c>
      <c r="B18" s="2317"/>
      <c r="C18" s="1733">
        <v>0</v>
      </c>
      <c r="D18" s="1664">
        <v>0</v>
      </c>
      <c r="E18" s="1733">
        <v>0</v>
      </c>
      <c r="F18" s="1732">
        <f>SUM(C18+D18)-E18</f>
        <v>0</v>
      </c>
    </row>
    <row r="19" spans="1:11" ht="12.75" customHeight="1" thickTop="1" thickBot="1" x14ac:dyDescent="0.25">
      <c r="A19" s="2316" t="s">
        <v>385</v>
      </c>
      <c r="B19" s="2317"/>
      <c r="C19" s="1733">
        <v>0</v>
      </c>
      <c r="D19" s="1664">
        <v>0</v>
      </c>
      <c r="E19" s="1733">
        <v>0</v>
      </c>
      <c r="F19" s="1732">
        <f>SUM(C19+D19)-E19</f>
        <v>0</v>
      </c>
    </row>
    <row r="20" spans="1:11" ht="12.75" customHeight="1" thickTop="1" thickBot="1" x14ac:dyDescent="0.25">
      <c r="A20" s="2316" t="s">
        <v>445</v>
      </c>
      <c r="B20" s="2317"/>
      <c r="C20" s="1733">
        <v>0</v>
      </c>
      <c r="D20" s="1664">
        <v>0</v>
      </c>
      <c r="E20" s="1733">
        <v>0</v>
      </c>
      <c r="F20" s="1732">
        <f>SUM(C20+D20)-E20</f>
        <v>0</v>
      </c>
    </row>
    <row r="21" spans="1:11" ht="14.25" thickTop="1" thickBot="1" x14ac:dyDescent="0.25">
      <c r="A21" s="2293" t="s">
        <v>628</v>
      </c>
      <c r="B21" s="2294"/>
      <c r="C21" s="1732">
        <f>SUM(C17:C20)</f>
        <v>0</v>
      </c>
      <c r="D21" s="1732">
        <f>SUM(D17:D20)</f>
        <v>0</v>
      </c>
      <c r="E21" s="1732">
        <f>SUM(E17:E20)</f>
        <v>0</v>
      </c>
      <c r="F21" s="1732">
        <f>SUM(F17:F20)</f>
        <v>0</v>
      </c>
      <c r="G21" s="473"/>
    </row>
    <row r="22" spans="1:11" ht="15.75" customHeight="1" thickTop="1" x14ac:dyDescent="0.2">
      <c r="A22" s="2318" t="s">
        <v>1103</v>
      </c>
      <c r="B22" s="2292"/>
      <c r="C22" s="2300"/>
      <c r="D22" s="2301"/>
      <c r="E22" s="2301"/>
      <c r="F22" s="2302"/>
    </row>
    <row r="23" spans="1:11" ht="13.5" thickBot="1" x14ac:dyDescent="0.25">
      <c r="A23" s="2306" t="s">
        <v>629</v>
      </c>
      <c r="B23" s="2307"/>
      <c r="C23" s="1656">
        <v>0</v>
      </c>
      <c r="D23" s="1656">
        <v>0</v>
      </c>
      <c r="E23" s="1656">
        <v>0</v>
      </c>
      <c r="F23" s="1732">
        <f>SUM(C23+D23)-E23</f>
        <v>0</v>
      </c>
      <c r="G23" s="473"/>
    </row>
    <row r="24" spans="1:11" ht="15.75" customHeight="1" thickTop="1" x14ac:dyDescent="0.2">
      <c r="A24" s="2318" t="s">
        <v>2003</v>
      </c>
      <c r="B24" s="2292"/>
      <c r="C24" s="2300"/>
      <c r="D24" s="2301"/>
      <c r="E24" s="2301"/>
      <c r="F24" s="2302"/>
    </row>
    <row r="25" spans="1:11" ht="13.5" thickBot="1" x14ac:dyDescent="0.25">
      <c r="A25" s="2306" t="s">
        <v>2004</v>
      </c>
      <c r="B25" s="2307"/>
      <c r="C25" s="1656">
        <v>0</v>
      </c>
      <c r="D25" s="1656">
        <v>0</v>
      </c>
      <c r="E25" s="1656">
        <v>0</v>
      </c>
      <c r="F25" s="1732">
        <f>SUM(C25+D25)-E25</f>
        <v>0</v>
      </c>
      <c r="G25" s="473"/>
    </row>
    <row r="26" spans="1:11" ht="15.75" customHeight="1" thickTop="1" x14ac:dyDescent="0.2">
      <c r="A26" s="2291" t="s">
        <v>652</v>
      </c>
      <c r="B26" s="2292"/>
      <c r="C26" s="589"/>
      <c r="D26" s="589"/>
      <c r="E26" s="589"/>
      <c r="F26" s="590"/>
    </row>
    <row r="27" spans="1:11" ht="13.5" thickBot="1" x14ac:dyDescent="0.25">
      <c r="A27" s="2293" t="s">
        <v>1061</v>
      </c>
      <c r="B27" s="2294"/>
      <c r="C27" s="1664">
        <v>0</v>
      </c>
      <c r="D27" s="1664">
        <v>0</v>
      </c>
      <c r="E27" s="1664">
        <v>0</v>
      </c>
      <c r="F27" s="1732">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1658</v>
      </c>
      <c r="B2" s="2324"/>
      <c r="C2" s="2324"/>
      <c r="D2" s="2324"/>
      <c r="E2" s="2325"/>
      <c r="F2" s="615" t="s">
        <v>898</v>
      </c>
      <c r="G2" s="616" t="s">
        <v>1655</v>
      </c>
      <c r="H2" s="616" t="s">
        <v>407</v>
      </c>
      <c r="I2" s="616" t="s">
        <v>1148</v>
      </c>
      <c r="J2" s="616" t="s">
        <v>1786</v>
      </c>
      <c r="K2" s="616" t="s">
        <v>137</v>
      </c>
    </row>
    <row r="3" spans="1:11" x14ac:dyDescent="0.2">
      <c r="A3" s="2326" t="str">
        <f>"Cash Basis Fund Balance as of July 1, "&amp;'AFR20'!E2-1</f>
        <v>Cash Basis Fund Balance as of July 1, 2019</v>
      </c>
      <c r="B3" s="2327"/>
      <c r="C3" s="2327"/>
      <c r="D3" s="2327"/>
      <c r="E3" s="2328"/>
      <c r="F3" s="617"/>
      <c r="G3" s="1744"/>
      <c r="H3" s="1744"/>
      <c r="I3" s="1744"/>
      <c r="J3" s="1745"/>
      <c r="K3" s="1745"/>
    </row>
    <row r="4" spans="1:11" x14ac:dyDescent="0.2">
      <c r="A4" s="2329" t="s">
        <v>366</v>
      </c>
      <c r="B4" s="2330"/>
      <c r="C4" s="2330"/>
      <c r="D4" s="2330"/>
      <c r="E4" s="2311"/>
      <c r="F4" s="620"/>
      <c r="G4" s="1746"/>
      <c r="H4" s="1747"/>
      <c r="I4" s="1746"/>
      <c r="J4" s="1748"/>
      <c r="K4" s="1748"/>
    </row>
    <row r="5" spans="1:11" x14ac:dyDescent="0.2">
      <c r="A5" s="2349" t="s">
        <v>1060</v>
      </c>
      <c r="B5" s="2320"/>
      <c r="C5" s="2320"/>
      <c r="D5" s="2320"/>
      <c r="E5" s="2350"/>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9" t="s">
        <v>1787</v>
      </c>
      <c r="B10" s="2320"/>
      <c r="C10" s="2320"/>
      <c r="D10" s="2320"/>
      <c r="E10" s="2351"/>
      <c r="F10" s="633" t="s">
        <v>857</v>
      </c>
      <c r="G10" s="1753"/>
      <c r="H10" s="1754"/>
      <c r="I10" s="1744"/>
      <c r="J10" s="1745"/>
      <c r="K10" s="1745"/>
    </row>
    <row r="11" spans="1:11" x14ac:dyDescent="0.2">
      <c r="A11" s="2349" t="s">
        <v>159</v>
      </c>
      <c r="B11" s="2320"/>
      <c r="C11" s="2320"/>
      <c r="D11" s="2320"/>
      <c r="E11" s="2350"/>
      <c r="F11" s="622" t="s">
        <v>847</v>
      </c>
      <c r="G11" s="1749"/>
      <c r="H11" s="1744"/>
      <c r="I11" s="1744"/>
      <c r="J11" s="1745"/>
      <c r="K11" s="1751"/>
    </row>
    <row r="12" spans="1:11" ht="13.5" thickBot="1" x14ac:dyDescent="0.25">
      <c r="A12" s="2337" t="s">
        <v>899</v>
      </c>
      <c r="B12" s="2338"/>
      <c r="C12" s="2338"/>
      <c r="D12" s="2338"/>
      <c r="E12" s="2339"/>
      <c r="F12" s="1433"/>
      <c r="G12" s="1755">
        <f>SUM(G5:G11)</f>
        <v>0</v>
      </c>
      <c r="H12" s="1755">
        <f>SUM(H5:H11)</f>
        <v>0</v>
      </c>
      <c r="I12" s="1755">
        <f>SUM(I5:I11)</f>
        <v>0</v>
      </c>
      <c r="J12" s="1755">
        <f>SUM(J5:J11)</f>
        <v>0</v>
      </c>
      <c r="K12" s="1755">
        <f>SUM(K5:K11)</f>
        <v>0</v>
      </c>
    </row>
    <row r="13" spans="1:11" ht="13.5" thickTop="1" x14ac:dyDescent="0.2">
      <c r="A13" s="2331" t="s">
        <v>367</v>
      </c>
      <c r="B13" s="2332"/>
      <c r="C13" s="2332"/>
      <c r="D13" s="2332"/>
      <c r="E13" s="2333"/>
      <c r="F13" s="634"/>
      <c r="G13" s="1756"/>
      <c r="H13" s="1757"/>
      <c r="I13" s="1758"/>
      <c r="J13" s="1758"/>
      <c r="K13" s="1758"/>
    </row>
    <row r="14" spans="1:11" x14ac:dyDescent="0.2">
      <c r="A14" s="2355" t="s">
        <v>453</v>
      </c>
      <c r="B14" s="2355"/>
      <c r="C14" s="2355"/>
      <c r="D14" s="2355"/>
      <c r="E14" s="2356"/>
      <c r="F14" s="635" t="s">
        <v>849</v>
      </c>
      <c r="G14" s="1753"/>
      <c r="H14" s="1744"/>
      <c r="I14" s="1749"/>
      <c r="J14" s="1751"/>
      <c r="K14" s="1745"/>
    </row>
    <row r="15" spans="1:11" x14ac:dyDescent="0.2">
      <c r="A15" s="2320" t="s">
        <v>4</v>
      </c>
      <c r="B15" s="2320"/>
      <c r="C15" s="2320"/>
      <c r="D15" s="2320"/>
      <c r="E15" s="2350"/>
      <c r="F15" s="635" t="s">
        <v>850</v>
      </c>
      <c r="G15" s="1749"/>
      <c r="H15" s="1744"/>
      <c r="I15" s="1744"/>
      <c r="J15" s="1745"/>
      <c r="K15" s="1745"/>
    </row>
    <row r="16" spans="1:11" x14ac:dyDescent="0.2">
      <c r="A16" s="2320" t="s">
        <v>295</v>
      </c>
      <c r="B16" s="2320"/>
      <c r="C16" s="2320"/>
      <c r="D16" s="2320"/>
      <c r="E16" s="2350"/>
      <c r="F16" s="635" t="s">
        <v>917</v>
      </c>
      <c r="G16" s="1750"/>
      <c r="H16" s="1746"/>
      <c r="I16" s="1746"/>
      <c r="J16" s="1748"/>
      <c r="K16" s="1748"/>
    </row>
    <row r="17" spans="1:15" x14ac:dyDescent="0.2">
      <c r="A17" s="2344" t="s">
        <v>929</v>
      </c>
      <c r="B17" s="2344"/>
      <c r="C17" s="2344"/>
      <c r="D17" s="2344"/>
      <c r="E17" s="2345"/>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57" t="s">
        <v>1783</v>
      </c>
      <c r="B19" s="2357"/>
      <c r="C19" s="2357"/>
      <c r="D19" s="2357"/>
      <c r="E19" s="2358"/>
      <c r="F19" s="635" t="s">
        <v>927</v>
      </c>
      <c r="G19" s="1753"/>
      <c r="H19" s="1753"/>
      <c r="I19" s="1753"/>
      <c r="J19" s="1745"/>
      <c r="K19" s="1763"/>
    </row>
    <row r="20" spans="1:15" x14ac:dyDescent="0.2">
      <c r="A20" s="2334" t="s">
        <v>1788</v>
      </c>
      <c r="B20" s="2335"/>
      <c r="C20" s="2335"/>
      <c r="D20" s="2335"/>
      <c r="E20" s="2336"/>
      <c r="F20" s="635" t="s">
        <v>928</v>
      </c>
      <c r="G20" s="1753"/>
      <c r="H20" s="1753"/>
      <c r="I20" s="1753"/>
      <c r="J20" s="1745"/>
      <c r="K20" s="1763"/>
    </row>
    <row r="21" spans="1:15" ht="13.5" thickBot="1" x14ac:dyDescent="0.25">
      <c r="A21" s="2340" t="s">
        <v>633</v>
      </c>
      <c r="B21" s="2340"/>
      <c r="C21" s="2340"/>
      <c r="D21" s="2340"/>
      <c r="E21" s="2340"/>
      <c r="F21" s="1434"/>
      <c r="G21" s="1760"/>
      <c r="H21" s="1764"/>
      <c r="I21" s="1764"/>
      <c r="J21" s="1765">
        <f>SUM(J18:J20)</f>
        <v>0</v>
      </c>
      <c r="K21" s="1761"/>
    </row>
    <row r="22" spans="1:15" ht="13.5" thickTop="1" x14ac:dyDescent="0.2">
      <c r="A22" s="2320" t="s">
        <v>1789</v>
      </c>
      <c r="B22" s="2320"/>
      <c r="C22" s="2320"/>
      <c r="D22" s="2320"/>
      <c r="E22" s="2350"/>
      <c r="F22" s="635" t="s">
        <v>857</v>
      </c>
      <c r="G22" s="1753"/>
      <c r="H22" s="1744"/>
      <c r="I22" s="1744"/>
      <c r="J22" s="1766"/>
      <c r="K22" s="1745"/>
    </row>
    <row r="23" spans="1:15" ht="13.5" thickBot="1" x14ac:dyDescent="0.25">
      <c r="A23" s="2341" t="s">
        <v>900</v>
      </c>
      <c r="B23" s="2340"/>
      <c r="C23" s="2340"/>
      <c r="D23" s="2340"/>
      <c r="E23" s="2340"/>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42" t="str">
        <f>"Ending Cash Basis Fund Balance as of June 30, "&amp;'AFR20'!E2</f>
        <v>Ending Cash Basis Fund Balance as of June 30, 2020</v>
      </c>
      <c r="B24" s="2343"/>
      <c r="C24" s="2343"/>
      <c r="D24" s="2343"/>
      <c r="E24" s="234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1159</v>
      </c>
      <c r="B33" s="341"/>
      <c r="C33" s="341"/>
      <c r="D33" s="341"/>
      <c r="E33" s="341"/>
      <c r="F33" s="341"/>
      <c r="G33" s="653"/>
      <c r="H33" s="2354"/>
      <c r="I33" s="2353"/>
      <c r="J33" s="2353"/>
      <c r="K33" s="2353"/>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J9" sqref="J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1872</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445320</v>
      </c>
      <c r="D8" s="1771">
        <v>364433</v>
      </c>
      <c r="E8" s="1771">
        <v>55195</v>
      </c>
      <c r="F8" s="1765">
        <f>(C8+D8)-E8</f>
        <v>754558</v>
      </c>
      <c r="G8" s="681">
        <v>50</v>
      </c>
      <c r="H8" s="619">
        <v>8906</v>
      </c>
      <c r="I8" s="619">
        <v>46155</v>
      </c>
      <c r="J8" s="619"/>
      <c r="K8" s="1442">
        <f>(H8+I8)-J8</f>
        <v>55061</v>
      </c>
      <c r="L8" s="1442">
        <f>F8-K8</f>
        <v>699497</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1194850</v>
      </c>
      <c r="D12" s="1771"/>
      <c r="E12" s="1771"/>
      <c r="F12" s="1765">
        <f>(C12+D12)-E12</f>
        <v>1194850</v>
      </c>
      <c r="G12" s="681">
        <v>10</v>
      </c>
      <c r="H12" s="619">
        <v>1062448</v>
      </c>
      <c r="I12" s="619"/>
      <c r="J12" s="619">
        <v>5520</v>
      </c>
      <c r="K12" s="1442">
        <f>(H12+I12)-J12</f>
        <v>1056928</v>
      </c>
      <c r="L12" s="1442">
        <f>F12-K12</f>
        <v>137922</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1640170</v>
      </c>
      <c r="D16" s="1765">
        <f>SUM(D3,D5:D6,D8:D10,D12:D15)</f>
        <v>364433</v>
      </c>
      <c r="E16" s="1765">
        <f>SUM(E3,E5:E6,E8:E10,E12:E15)</f>
        <v>55195</v>
      </c>
      <c r="F16" s="1765">
        <f>SUM(F3,F5:F6,F8:F10,F12:F15)</f>
        <v>1949408</v>
      </c>
      <c r="G16" s="681"/>
      <c r="H16" s="1435">
        <f>SUM(H3,H6,H8:H10,H12:H14,)</f>
        <v>1071354</v>
      </c>
      <c r="I16" s="1435">
        <f>SUM(I3,I6,I8:I10,I12:I14,)</f>
        <v>46155</v>
      </c>
      <c r="J16" s="1435">
        <f>SUM(J3,J6,J8:J10,J12:J14,)</f>
        <v>5520</v>
      </c>
      <c r="K16" s="1435">
        <f>(H16+I16)-J16</f>
        <v>1111989</v>
      </c>
      <c r="L16" s="1435">
        <f>F16-K16</f>
        <v>837419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46155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64" colorId="8" zoomScale="110" zoomScaleNormal="110" workbookViewId="0">
      <selection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4794370</v>
      </c>
      <c r="G8" s="701"/>
    </row>
    <row r="9" spans="1:9" x14ac:dyDescent="0.2">
      <c r="A9" s="705" t="s">
        <v>457</v>
      </c>
      <c r="B9" s="706" t="s">
        <v>1845</v>
      </c>
      <c r="C9" s="707"/>
      <c r="D9" s="705" t="s">
        <v>498</v>
      </c>
      <c r="E9" s="704"/>
      <c r="F9" s="1775">
        <f>'Expenditures 15-22'!K151</f>
        <v>0</v>
      </c>
      <c r="G9" s="708"/>
    </row>
    <row r="10" spans="1:9" x14ac:dyDescent="0.2">
      <c r="A10" s="705" t="s">
        <v>496</v>
      </c>
      <c r="B10" s="706" t="s">
        <v>1846</v>
      </c>
      <c r="C10" s="707"/>
      <c r="D10" s="705" t="s">
        <v>498</v>
      </c>
      <c r="E10" s="704"/>
      <c r="F10" s="1775">
        <f>'Expenditures 15-22'!K174</f>
        <v>0</v>
      </c>
      <c r="G10" s="708"/>
    </row>
    <row r="11" spans="1:9" x14ac:dyDescent="0.2">
      <c r="A11" s="705" t="s">
        <v>458</v>
      </c>
      <c r="B11" s="706" t="s">
        <v>1847</v>
      </c>
      <c r="C11" s="707"/>
      <c r="D11" s="705" t="s">
        <v>498</v>
      </c>
      <c r="E11" s="704"/>
      <c r="F11" s="1775">
        <f>'Expenditures 15-22'!K210</f>
        <v>0</v>
      </c>
      <c r="G11" s="708"/>
    </row>
    <row r="12" spans="1:9" x14ac:dyDescent="0.2">
      <c r="A12" s="705" t="s">
        <v>459</v>
      </c>
      <c r="B12" s="706" t="s">
        <v>1848</v>
      </c>
      <c r="C12" s="707"/>
      <c r="D12" s="705" t="s">
        <v>498</v>
      </c>
      <c r="E12" s="704"/>
      <c r="F12" s="1775">
        <f>'Expenditures 15-22'!K295</f>
        <v>0</v>
      </c>
      <c r="G12" s="708"/>
    </row>
    <row r="13" spans="1:9" x14ac:dyDescent="0.2">
      <c r="A13" s="705" t="s">
        <v>106</v>
      </c>
      <c r="B13" s="706" t="s">
        <v>1849</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4794370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159974</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17338</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280000</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0</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0</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0</v>
      </c>
      <c r="G71" s="701"/>
    </row>
    <row r="72" spans="1:9" x14ac:dyDescent="0.2">
      <c r="A72" s="705" t="s">
        <v>459</v>
      </c>
      <c r="B72" s="705" t="s">
        <v>1864</v>
      </c>
      <c r="C72" s="721">
        <f>'Expenditures 15-22'!B280</f>
        <v>3000</v>
      </c>
      <c r="D72" s="712" t="s">
        <v>446</v>
      </c>
      <c r="E72" s="704"/>
      <c r="F72" s="1782">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457312</v>
      </c>
      <c r="G77" s="701"/>
    </row>
    <row r="78" spans="1:9" s="728" customFormat="1" ht="12" customHeight="1" thickTop="1" thickBot="1" x14ac:dyDescent="0.25">
      <c r="A78" s="1450"/>
      <c r="B78" s="1448"/>
      <c r="C78" s="1445"/>
      <c r="D78" s="1449" t="s">
        <v>2009</v>
      </c>
      <c r="E78" s="1447"/>
      <c r="F78" s="1788">
        <f>(F14-F77)</f>
        <v>4337058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2010</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105</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9350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1278730</v>
      </c>
      <c r="G105" s="745"/>
    </row>
    <row r="106" spans="1:7" x14ac:dyDescent="0.2">
      <c r="A106" s="741" t="s">
        <v>500</v>
      </c>
      <c r="B106" s="741" t="s">
        <v>1907</v>
      </c>
      <c r="C106" s="746">
        <v>3100</v>
      </c>
      <c r="D106" s="752" t="str">
        <f>'Revenues 9-14'!A132</f>
        <v>Total Special Education</v>
      </c>
      <c r="E106" s="739"/>
      <c r="F106" s="1793">
        <f>SUM('Revenues 9-14'!C132:D132,'Revenues 9-14'!F132)</f>
        <v>0</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41</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0</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0</v>
      </c>
      <c r="G121" s="763"/>
    </row>
    <row r="122" spans="1:7" x14ac:dyDescent="0.2">
      <c r="A122" s="760" t="s">
        <v>497</v>
      </c>
      <c r="B122" s="760" t="s">
        <v>1923</v>
      </c>
      <c r="C122" s="761">
        <f>'Revenues 9-14'!B168</f>
        <v>3999</v>
      </c>
      <c r="D122" s="762" t="s">
        <v>540</v>
      </c>
      <c r="E122" s="764"/>
      <c r="F122" s="1793">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0</v>
      </c>
      <c r="G126" s="763"/>
    </row>
    <row r="127" spans="1:7" x14ac:dyDescent="0.2">
      <c r="A127" s="760" t="s">
        <v>663</v>
      </c>
      <c r="B127" s="760" t="s">
        <v>1928</v>
      </c>
      <c r="C127" s="765">
        <v>4300</v>
      </c>
      <c r="D127" s="766" t="str">
        <f>'Revenues 9-14'!A204</f>
        <v>Total Title I</v>
      </c>
      <c r="E127" s="739"/>
      <c r="F127" s="1793">
        <f>SUM('Revenues 9-14'!C204,'Revenues 9-14'!D204,'Revenues 9-14'!F204,'Revenues 9-14'!G204)</f>
        <v>0</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1252267</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0</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58870</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109908</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82572</v>
      </c>
      <c r="G171" s="760"/>
    </row>
    <row r="172" spans="1:7" x14ac:dyDescent="0.2">
      <c r="A172" s="1529" t="s">
        <v>5</v>
      </c>
      <c r="B172" s="1530" t="s">
        <v>1882</v>
      </c>
      <c r="C172" s="1531">
        <v>3100</v>
      </c>
      <c r="D172" s="1532" t="s">
        <v>1884</v>
      </c>
      <c r="E172" s="739"/>
      <c r="F172" s="1794"/>
      <c r="G172" s="760"/>
    </row>
    <row r="173" spans="1:7" x14ac:dyDescent="0.2">
      <c r="A173" s="1529" t="s">
        <v>659</v>
      </c>
      <c r="B173" s="1530" t="s">
        <v>1882</v>
      </c>
      <c r="C173" s="1531">
        <v>3300</v>
      </c>
      <c r="D173" s="1532" t="s">
        <v>1885</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2791843</v>
      </c>
    </row>
    <row r="176" spans="1:7" ht="12" customHeight="1" x14ac:dyDescent="0.2">
      <c r="A176" s="1443"/>
      <c r="B176" s="1453"/>
      <c r="C176" s="1454"/>
      <c r="D176" s="1455" t="s">
        <v>2011</v>
      </c>
      <c r="E176" s="1456"/>
      <c r="F176" s="1793">
        <f>'PCTC-OEPP 27-28'!F78-F175</f>
        <v>1545215</v>
      </c>
    </row>
    <row r="177" spans="1:9" ht="12" customHeight="1" x14ac:dyDescent="0.2">
      <c r="A177" s="1443"/>
      <c r="B177" s="1453"/>
      <c r="C177" s="1454"/>
      <c r="D177" s="1455" t="s">
        <v>1791</v>
      </c>
      <c r="E177" s="1456"/>
      <c r="F177" s="1793">
        <f>'Cap Outlay Deprec 26'!I18</f>
        <v>46155</v>
      </c>
    </row>
    <row r="178" spans="1:9" ht="12" customHeight="1" x14ac:dyDescent="0.2">
      <c r="A178" s="1443"/>
      <c r="B178" s="1453"/>
      <c r="C178" s="1454"/>
      <c r="D178" s="1455" t="s">
        <v>2012</v>
      </c>
      <c r="E178" s="1456"/>
      <c r="F178" s="1793">
        <f>F176+F177</f>
        <v>1591370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2014</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A13" sqref="A13:F13"/>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78" t="s">
        <v>1792</v>
      </c>
      <c r="B4" s="2379"/>
      <c r="C4" s="2379"/>
      <c r="D4" s="2379"/>
      <c r="E4" s="2379"/>
      <c r="F4" s="2380"/>
    </row>
    <row r="5" spans="1:6" x14ac:dyDescent="0.25">
      <c r="A5" s="2381"/>
      <c r="B5" s="2382"/>
      <c r="C5" s="2382"/>
      <c r="D5" s="2382"/>
      <c r="E5" s="2382"/>
      <c r="F5" s="2383"/>
    </row>
    <row r="6" spans="1:6" ht="18.75" x14ac:dyDescent="0.25">
      <c r="A6" s="1867" t="s">
        <v>1793</v>
      </c>
      <c r="B6" s="1868"/>
      <c r="C6" s="1869"/>
      <c r="D6" s="1869"/>
      <c r="E6" s="1869"/>
      <c r="F6" s="1870"/>
    </row>
    <row r="7" spans="1:6" ht="47.25" customHeight="1" x14ac:dyDescent="0.25">
      <c r="A7" s="2384" t="s">
        <v>1982</v>
      </c>
      <c r="B7" s="2385"/>
      <c r="C7" s="2385"/>
      <c r="D7" s="2385"/>
      <c r="E7" s="2385"/>
      <c r="F7" s="2386"/>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7" t="s">
        <v>1978</v>
      </c>
      <c r="B10" s="2388"/>
      <c r="C10" s="2388"/>
      <c r="D10" s="2388"/>
      <c r="E10" s="2388"/>
      <c r="F10" s="2389"/>
    </row>
    <row r="11" spans="1:6" ht="33" customHeight="1" x14ac:dyDescent="0.25">
      <c r="A11" s="2384" t="s">
        <v>1983</v>
      </c>
      <c r="B11" s="2385"/>
      <c r="C11" s="2385"/>
      <c r="D11" s="2385"/>
      <c r="E11" s="2385"/>
      <c r="F11" s="2386"/>
    </row>
    <row r="12" spans="1:6" ht="15" customHeight="1" x14ac:dyDescent="0.25">
      <c r="A12" s="1873" t="s">
        <v>1979</v>
      </c>
      <c r="B12" s="1874"/>
      <c r="C12" s="1875"/>
      <c r="D12" s="1875"/>
      <c r="E12" s="1875"/>
      <c r="F12" s="1876"/>
    </row>
    <row r="13" spans="1:6" ht="17.25" customHeight="1" x14ac:dyDescent="0.25">
      <c r="A13" s="2384" t="s">
        <v>1980</v>
      </c>
      <c r="B13" s="2385"/>
      <c r="C13" s="2385"/>
      <c r="D13" s="2385"/>
      <c r="E13" s="2385"/>
      <c r="F13" s="2386"/>
    </row>
    <row r="14" spans="1:6" ht="15" customHeight="1" x14ac:dyDescent="0.25">
      <c r="A14" s="1873" t="s">
        <v>1797</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5" t="s">
        <v>2066</v>
      </c>
      <c r="B18" s="1908">
        <v>102540300</v>
      </c>
      <c r="C18" s="2036" t="s">
        <v>2067</v>
      </c>
      <c r="D18" s="1886">
        <v>34690</v>
      </c>
      <c r="E18" s="1906" t="str">
        <f t="shared" ref="E18:E81" si="0">IF(D18&lt;25000,D18,"25,000")</f>
        <v>25,000</v>
      </c>
      <c r="F18" s="1906">
        <f t="shared" ref="F18:F81" si="1">IF(D18&gt;=25000,(D18-E18),"0")</f>
        <v>9690</v>
      </c>
      <c r="G18" s="1887"/>
    </row>
    <row r="19" spans="1:7" x14ac:dyDescent="0.25">
      <c r="A19" s="2035" t="s">
        <v>2066</v>
      </c>
      <c r="B19" s="1908">
        <v>102540400</v>
      </c>
      <c r="C19" s="2036" t="s">
        <v>2067</v>
      </c>
      <c r="D19" s="1886">
        <v>3600</v>
      </c>
      <c r="E19" s="1906">
        <f t="shared" si="0"/>
        <v>3600</v>
      </c>
      <c r="F19" s="1906" t="str">
        <f t="shared" si="1"/>
        <v>0</v>
      </c>
    </row>
    <row r="20" spans="1:7" x14ac:dyDescent="0.25">
      <c r="A20" s="1888"/>
      <c r="B20" s="1908"/>
      <c r="C20" s="1885"/>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38290</v>
      </c>
      <c r="E142" s="1893">
        <f>SUM(E18:E141)</f>
        <v>3600</v>
      </c>
      <c r="F142" s="1894">
        <f>SUM(F18:F141)</f>
        <v>9690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3" colorId="8" zoomScale="110" zoomScaleNormal="110" workbookViewId="0">
      <selection activeCell="F31" sqref="F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1000760</v>
      </c>
      <c r="F19" s="1802"/>
      <c r="G19" s="1804">
        <f>'Expenditures 15-22'!K33-SUM('Expenditures 15-22'!G33,'Expenditures 15-22'!I33)+'Expenditures 15-22'!D229</f>
        <v>1000760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1931351</v>
      </c>
      <c r="F21" s="1805"/>
      <c r="G21" s="1808">
        <f>'Expenditures 15-22'!K42-SUM('Expenditures 15-22'!G42,'Expenditures 15-22'!I42)+'Expenditures 15-22'!K120-SUM('Expenditures 15-22'!G120,'Expenditures 15-22'!I120)+'Expenditures 15-22'!K180-SUM('Expenditures 15-22'!G180,'Expenditures 15-22'!I180)+'Expenditures 15-22'!D238</f>
        <v>1931351</v>
      </c>
      <c r="H21" s="817"/>
      <c r="I21" s="157"/>
    </row>
    <row r="22" spans="1:9" s="542" customFormat="1" ht="12" customHeight="1" x14ac:dyDescent="0.2">
      <c r="A22" s="824" t="s">
        <v>560</v>
      </c>
      <c r="B22" s="825"/>
      <c r="C22" s="823">
        <v>2200</v>
      </c>
      <c r="D22" s="1805"/>
      <c r="E22" s="1807">
        <f>'Expenditures 15-22'!K47-SUM('Expenditures 15-22'!G47,'Expenditures 15-22'!I47)+'Expenditures 15-22'!D243</f>
        <v>119406</v>
      </c>
      <c r="F22" s="1805"/>
      <c r="G22" s="1808">
        <f>'Expenditures 15-22'!K47-SUM('Expenditures 15-22'!G47,'Expenditures 15-22'!I47)+'Expenditures 15-22'!D243</f>
        <v>119406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856133</v>
      </c>
      <c r="F23" s="1805"/>
      <c r="G23" s="1807">
        <f>'Expenditures 15-22'!K53-SUM('Expenditures 15-22'!G53,'Expenditures 15-22'!I53)+'Expenditures 15-22'!D257+'Expenditures 15-22'!K330-SUM('Expenditures 15-22'!G330,'Expenditures 15-22'!I330)</f>
        <v>856133</v>
      </c>
      <c r="H23" s="817"/>
      <c r="I23" s="157"/>
    </row>
    <row r="24" spans="1:9" s="542" customFormat="1" ht="12" customHeight="1" x14ac:dyDescent="0.2">
      <c r="A24" s="824" t="s">
        <v>562</v>
      </c>
      <c r="B24" s="825"/>
      <c r="C24" s="823">
        <v>2400</v>
      </c>
      <c r="D24" s="1805"/>
      <c r="E24" s="1807">
        <f>'Expenditures 15-22'!K57-SUM('Expenditures 15-22'!G57,'Expenditures 15-22'!I57)+'Expenditures 15-22'!D261</f>
        <v>136387</v>
      </c>
      <c r="F24" s="1805"/>
      <c r="G24" s="1808">
        <f>'Expenditures 15-22'!K57-SUM('Expenditures 15-22'!G57,'Expenditures 15-22'!I57)+'Expenditures 15-22'!D261</f>
        <v>136387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94640</v>
      </c>
      <c r="E27" s="1807">
        <f>E8</f>
        <v>0</v>
      </c>
      <c r="F27" s="1807">
        <f>'Expenditures 15-22'!K60-SUM('Expenditures 15-22'!G60,'Expenditures 15-22'!I60)+'Expenditures 15-22'!D264-E8</f>
        <v>94640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185756</v>
      </c>
      <c r="F28" s="1809">
        <f>'Expenditures 15-22'!K61-SUM('Expenditures 15-22'!G61,'Expenditures 15-22'!I61)+'Expenditures 15-22'!K124-SUM('Expenditures 15-22'!G124,'Expenditures 15-22'!I124)+'Expenditures 15-22'!D266-E9</f>
        <v>185756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142</v>
      </c>
      <c r="F29" s="1805"/>
      <c r="G29" s="1808">
        <f>'Expenditures 15-22'!K62-SUM('Expenditures 15-22'!G62,'Expenditures 15-22'!I62)+'Expenditures 15-22'!K125-SUM('Expenditures 15-22'!G125,'Expenditures 15-22'!I125)+'Expenditures 15-22'!K182-SUM('Expenditures 15-22'!G182,'Expenditures 15-22'!I182)+'Expenditures 15-22'!D267</f>
        <v>142</v>
      </c>
      <c r="H29" s="815"/>
    </row>
    <row r="30" spans="1:9" ht="12" customHeight="1" x14ac:dyDescent="0.2">
      <c r="A30" s="824" t="s">
        <v>100</v>
      </c>
      <c r="B30" s="827"/>
      <c r="C30" s="823">
        <v>2560</v>
      </c>
      <c r="D30" s="1805"/>
      <c r="E30" s="1807">
        <f>'Expenditures 15-22'!K63-SUM('Expenditures 15-22'!G63,'Expenditures 15-22'!I63)+'Expenditures 15-22'!D268-E10</f>
        <v>313</v>
      </c>
      <c r="F30" s="1805"/>
      <c r="G30" s="1807">
        <f>'Expenditures 15-22'!K63-SUM('Expenditures 15-22'!G63,'Expenditures 15-22'!I63)+'Expenditures 15-22'!D268-E10</f>
        <v>313</v>
      </c>
    </row>
    <row r="31" spans="1:9" ht="12" customHeight="1" x14ac:dyDescent="0.2">
      <c r="A31" s="824" t="s">
        <v>101</v>
      </c>
      <c r="B31" s="827"/>
      <c r="C31" s="823">
        <v>2570</v>
      </c>
      <c r="D31" s="1807">
        <f>'Expenditures 15-22'!K64-SUM('Expenditures 15-22'!G64,'Expenditures 15-22'!I64)+'Expenditures 15-22'!D269-E12</f>
        <v>13224</v>
      </c>
      <c r="E31" s="1807">
        <f>E12</f>
        <v>0</v>
      </c>
      <c r="F31" s="1807">
        <f>'Expenditures 15-22'!K64-SUM('Expenditures 15-22'!G64,'Expenditures 15-22'!I64)+'Expenditures 15-22'!D269-E12</f>
        <v>13224</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99477</v>
      </c>
      <c r="F34" s="1805"/>
      <c r="G34" s="1807">
        <f>'Expenditures 15-22'!K68-SUM('Expenditures 15-22'!G68,'Expenditures 15-22'!I68)+'Expenditures 15-22'!D273</f>
        <v>99477</v>
      </c>
    </row>
    <row r="35" spans="1:7" ht="12" customHeight="1" x14ac:dyDescent="0.2">
      <c r="A35" s="824" t="s">
        <v>1052</v>
      </c>
      <c r="B35" s="827"/>
      <c r="C35" s="823">
        <v>2630</v>
      </c>
      <c r="D35" s="1805"/>
      <c r="E35" s="1807">
        <f>'Expenditures 15-22'!K69-SUM('Expenditures 15-22'!G69,'Expenditures 15-22'!I69)+'Expenditures 15-22'!D274</f>
        <v>37423</v>
      </c>
      <c r="F35" s="1805"/>
      <c r="G35" s="1807">
        <f>'Expenditures 15-22'!K69-SUM('Expenditures 15-22'!G69,'Expenditures 15-22'!I69)+'Expenditures 15-22'!D274</f>
        <v>37423</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15375</v>
      </c>
      <c r="E37" s="1807">
        <f>E14</f>
        <v>0</v>
      </c>
      <c r="F37" s="1807">
        <f>'Expenditures 15-22'!K71-SUM('Expenditures 15-22'!G71,'Expenditures 15-22'!I71)+'Expenditures 15-22'!D276-E14</f>
        <v>15375</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22707</v>
      </c>
      <c r="F38" s="1805"/>
      <c r="G38" s="1807">
        <f>'Expenditures 15-22'!K73-SUM('Expenditures 15-22'!G73,'Expenditures 15-22'!I73)+'Expenditures 15-22'!K128-SUM('Expenditures 15-22'!G128,'Expenditures 15-22'!I128)+'Expenditures 15-22'!K183-SUM('Expenditures 15-22'!G183,'Expenditures 15-22'!I183)+'Expenditures 15-22'!D278</f>
        <v>22707</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805"/>
      <c r="E40" s="1809">
        <f>-'Contracts Paid in CY 29'!F142</f>
        <v>-9690</v>
      </c>
      <c r="F40" s="1805"/>
      <c r="G40" s="1809">
        <f>-'Contracts Paid in CY 29'!F142</f>
        <v>-9690</v>
      </c>
    </row>
    <row r="41" spans="1:7" ht="12" customHeight="1" x14ac:dyDescent="0.2">
      <c r="A41" s="828" t="s">
        <v>155</v>
      </c>
      <c r="B41" s="829"/>
      <c r="C41" s="830"/>
      <c r="D41" s="1809">
        <f>SUM(D19:D39)</f>
        <v>123239</v>
      </c>
      <c r="E41" s="1809">
        <f>SUM(E19:E40)</f>
        <v>4380165</v>
      </c>
      <c r="F41" s="1809">
        <f>SUM(F19:F39)</f>
        <v>308995</v>
      </c>
      <c r="G41" s="1809">
        <f>SUM(G19:G40)</f>
        <v>4194409</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123239</v>
      </c>
      <c r="F43" s="1458" t="s">
        <v>470</v>
      </c>
      <c r="G43" s="1810">
        <f>F41</f>
        <v>308995</v>
      </c>
    </row>
    <row r="44" spans="1:7" ht="12" customHeight="1" x14ac:dyDescent="0.2">
      <c r="A44" s="817"/>
      <c r="B44" s="157"/>
      <c r="C44" s="831"/>
      <c r="D44" s="1458" t="s">
        <v>471</v>
      </c>
      <c r="E44" s="1810">
        <f>E41</f>
        <v>4380165</v>
      </c>
      <c r="F44" s="1458" t="s">
        <v>471</v>
      </c>
      <c r="G44" s="1810">
        <f>G41</f>
        <v>4194409</v>
      </c>
    </row>
    <row r="45" spans="1:7" ht="12" customHeight="1" x14ac:dyDescent="0.2">
      <c r="A45" s="817"/>
      <c r="B45" s="157"/>
      <c r="C45" s="157"/>
      <c r="D45" s="1459" t="s">
        <v>999</v>
      </c>
      <c r="E45" s="1811">
        <f>(E43/E44)</f>
        <v>2.8135698084432892E-2</v>
      </c>
      <c r="F45" s="1459" t="s">
        <v>999</v>
      </c>
      <c r="G45" s="1811">
        <f>(G43/G44)</f>
        <v>7.3668304640772994E-2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activeCell="D19" sqref="D19"/>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1" t="s">
        <v>1363</v>
      </c>
      <c r="B1" s="2401"/>
      <c r="C1" s="2401"/>
      <c r="D1" s="2401"/>
      <c r="E1" s="2401"/>
      <c r="F1" s="2401"/>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2" t="s">
        <v>1529</v>
      </c>
      <c r="B5" s="2403"/>
      <c r="C5" s="2404"/>
      <c r="D5" s="2404"/>
      <c r="E5" s="2404"/>
      <c r="F5" s="2404"/>
      <c r="G5" s="1507"/>
      <c r="L5" s="1507"/>
      <c r="M5" s="1855"/>
      <c r="N5" s="1855"/>
      <c r="O5" s="1855"/>
    </row>
    <row r="6" spans="1:15" ht="12" customHeight="1" x14ac:dyDescent="0.25">
      <c r="A6" s="1480"/>
      <c r="B6" s="1481"/>
      <c r="C6" s="2405" t="str">
        <f>COVER!A17</f>
        <v xml:space="preserve">  Livingston Co Spec Services Unit</v>
      </c>
      <c r="D6" s="2405"/>
      <c r="E6" s="2405"/>
      <c r="F6" s="1482"/>
      <c r="G6" s="1507"/>
      <c r="L6" s="1507"/>
      <c r="M6" s="1855"/>
      <c r="N6" s="1855"/>
      <c r="O6" s="1855"/>
    </row>
    <row r="7" spans="1:15" ht="11.25" customHeight="1" thickBot="1" x14ac:dyDescent="0.3">
      <c r="A7" s="1480"/>
      <c r="B7" s="1481"/>
      <c r="C7" s="2406">
        <f>COVER!A13</f>
        <v>17053000061</v>
      </c>
      <c r="D7" s="2406"/>
      <c r="E7" s="2406"/>
      <c r="F7" s="1482"/>
      <c r="G7" s="1507"/>
      <c r="L7" s="1507"/>
      <c r="M7" s="1855"/>
      <c r="N7" s="1855"/>
      <c r="O7" s="1855"/>
    </row>
    <row r="8" spans="1:15" ht="25.5" customHeight="1" thickBot="1" x14ac:dyDescent="0.25">
      <c r="A8" s="1519" t="s">
        <v>1871</v>
      </c>
      <c r="B8" s="1483" t="s">
        <v>2048</v>
      </c>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1376</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19" zoomScaleNormal="100" workbookViewId="0">
      <selection activeCell="B41" sqref="B41"/>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1999</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1" t="str">
        <f>COVER!A17</f>
        <v xml:space="preserve">  Livingston Co Spec Services Unit</v>
      </c>
      <c r="K6" s="2421"/>
      <c r="L6" s="2422"/>
      <c r="M6" s="838"/>
      <c r="N6" s="1998"/>
    </row>
    <row r="7" spans="1:14" x14ac:dyDescent="0.2">
      <c r="A7" s="2423" t="s">
        <v>864</v>
      </c>
      <c r="B7" s="2424"/>
      <c r="C7" s="2424"/>
      <c r="D7" s="2424"/>
      <c r="E7" s="2425"/>
      <c r="F7" s="839"/>
      <c r="G7" s="838"/>
      <c r="H7" s="838"/>
      <c r="I7" s="1924" t="s">
        <v>369</v>
      </c>
      <c r="J7" s="2426">
        <f>COVER!A13</f>
        <v>17053000061</v>
      </c>
      <c r="K7" s="2426"/>
      <c r="L7" s="242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2015</v>
      </c>
      <c r="F9" s="1857"/>
      <c r="G9" s="1857"/>
      <c r="H9" s="1857"/>
      <c r="I9" s="1929" t="s">
        <v>2016</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7" t="s">
        <v>478</v>
      </c>
      <c r="B11" s="2428"/>
      <c r="C11" s="2429"/>
      <c r="D11" s="1937" t="s">
        <v>866</v>
      </c>
      <c r="E11" s="1937" t="s">
        <v>64</v>
      </c>
      <c r="F11" s="1937" t="s">
        <v>6</v>
      </c>
      <c r="G11" s="1938" t="s">
        <v>2017</v>
      </c>
      <c r="H11" s="1939" t="s">
        <v>155</v>
      </c>
      <c r="I11" s="1937" t="s">
        <v>64</v>
      </c>
      <c r="J11" s="1937" t="s">
        <v>6</v>
      </c>
      <c r="K11" s="1938" t="s">
        <v>1998</v>
      </c>
      <c r="L11" s="1939" t="s">
        <v>155</v>
      </c>
      <c r="M11" s="838"/>
      <c r="N11" s="1998"/>
    </row>
    <row r="12" spans="1:14" x14ac:dyDescent="0.2">
      <c r="A12" s="2003">
        <v>1</v>
      </c>
      <c r="B12" s="1940" t="s">
        <v>813</v>
      </c>
      <c r="C12" s="842"/>
      <c r="D12" s="1941">
        <v>2320</v>
      </c>
      <c r="E12" s="1944">
        <f>'Expenditures 15-22'!K50</f>
        <v>280845</v>
      </c>
      <c r="F12" s="1942"/>
      <c r="G12" s="1968">
        <f>G68</f>
        <v>0</v>
      </c>
      <c r="H12" s="1944">
        <f t="shared" ref="H12:H18" si="0">SUM(E12:G12)</f>
        <v>280845</v>
      </c>
      <c r="I12" s="1943">
        <v>279381</v>
      </c>
      <c r="J12" s="1942"/>
      <c r="K12" s="1943">
        <v>0</v>
      </c>
      <c r="L12" s="1944">
        <f t="shared" ref="L12:L18" si="1">SUM(I12:K12)</f>
        <v>279381</v>
      </c>
      <c r="M12" s="838"/>
      <c r="N12" s="1998"/>
    </row>
    <row r="13" spans="1:14" x14ac:dyDescent="0.2">
      <c r="A13" s="2003">
        <v>2</v>
      </c>
      <c r="B13" s="1940" t="s">
        <v>42</v>
      </c>
      <c r="C13" s="842"/>
      <c r="D13" s="1941">
        <v>2330</v>
      </c>
      <c r="E13" s="1944">
        <f>'Expenditures 15-22'!K51</f>
        <v>461841</v>
      </c>
      <c r="F13" s="1942"/>
      <c r="G13" s="1968">
        <f>H68</f>
        <v>0</v>
      </c>
      <c r="H13" s="1944">
        <f t="shared" si="0"/>
        <v>461841</v>
      </c>
      <c r="I13" s="1943">
        <v>513301</v>
      </c>
      <c r="J13" s="1942"/>
      <c r="K13" s="1943">
        <v>0</v>
      </c>
      <c r="L13" s="1944">
        <f t="shared" si="1"/>
        <v>513301</v>
      </c>
      <c r="M13" s="838"/>
      <c r="N13" s="1998"/>
    </row>
    <row r="14" spans="1:14" x14ac:dyDescent="0.2">
      <c r="A14" s="2003">
        <v>3</v>
      </c>
      <c r="B14" s="1940" t="s">
        <v>43</v>
      </c>
      <c r="C14" s="842"/>
      <c r="D14" s="1945">
        <v>2490</v>
      </c>
      <c r="E14" s="1944">
        <f>'Expenditures 15-22'!K56</f>
        <v>0</v>
      </c>
      <c r="F14" s="1942"/>
      <c r="G14" s="1968">
        <f>I68</f>
        <v>0</v>
      </c>
      <c r="H14" s="1944">
        <f t="shared" si="0"/>
        <v>0</v>
      </c>
      <c r="I14" s="1943">
        <v>0</v>
      </c>
      <c r="J14" s="1942"/>
      <c r="K14" s="1943">
        <v>0</v>
      </c>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v>0</v>
      </c>
      <c r="J15" s="1943">
        <v>0</v>
      </c>
      <c r="K15" s="1943">
        <v>0</v>
      </c>
      <c r="L15" s="1944">
        <f t="shared" si="1"/>
        <v>0</v>
      </c>
      <c r="M15" s="838"/>
      <c r="N15" s="1998"/>
    </row>
    <row r="16" spans="1:14" x14ac:dyDescent="0.2">
      <c r="A16" s="2003">
        <v>5</v>
      </c>
      <c r="B16" s="1940" t="s">
        <v>101</v>
      </c>
      <c r="C16" s="842"/>
      <c r="D16" s="1941">
        <v>2570</v>
      </c>
      <c r="E16" s="1944">
        <f>'Expenditures 15-22'!K64</f>
        <v>13224</v>
      </c>
      <c r="F16" s="1942"/>
      <c r="G16" s="1968">
        <f>K68</f>
        <v>0</v>
      </c>
      <c r="H16" s="1944">
        <f t="shared" si="0"/>
        <v>13224</v>
      </c>
      <c r="I16" s="1943">
        <v>11500</v>
      </c>
      <c r="J16" s="1942"/>
      <c r="K16" s="1943">
        <v>0</v>
      </c>
      <c r="L16" s="1944">
        <f t="shared" si="1"/>
        <v>11500</v>
      </c>
      <c r="M16" s="838"/>
      <c r="N16" s="1998"/>
    </row>
    <row r="17" spans="1:14" x14ac:dyDescent="0.2">
      <c r="A17" s="2003">
        <v>6</v>
      </c>
      <c r="B17" s="1940" t="s">
        <v>1051</v>
      </c>
      <c r="C17" s="842"/>
      <c r="D17" s="1941">
        <v>2610</v>
      </c>
      <c r="E17" s="1944">
        <f>'Expenditures 15-22'!K67</f>
        <v>0</v>
      </c>
      <c r="F17" s="1942"/>
      <c r="G17" s="1968">
        <f>L68</f>
        <v>0</v>
      </c>
      <c r="H17" s="1944">
        <f t="shared" si="0"/>
        <v>0</v>
      </c>
      <c r="I17" s="1943">
        <v>0</v>
      </c>
      <c r="J17" s="1942"/>
      <c r="K17" s="1943">
        <v>0</v>
      </c>
      <c r="L17" s="1944">
        <f t="shared" si="1"/>
        <v>0</v>
      </c>
      <c r="M17" s="838"/>
      <c r="N17" s="1998"/>
    </row>
    <row r="18" spans="1:14" ht="26.25" customHeight="1" x14ac:dyDescent="0.2">
      <c r="A18" s="2004">
        <v>7</v>
      </c>
      <c r="B18" s="2430" t="s">
        <v>7</v>
      </c>
      <c r="C18" s="2431"/>
      <c r="D18" s="2432"/>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755910</v>
      </c>
      <c r="F19" s="1950">
        <f t="shared" si="2"/>
        <v>0</v>
      </c>
      <c r="G19" s="1950">
        <f t="shared" ref="G19" si="3">SUM(G12:G17)-G18</f>
        <v>0</v>
      </c>
      <c r="H19" s="1950">
        <f t="shared" si="2"/>
        <v>755910</v>
      </c>
      <c r="I19" s="1950">
        <f t="shared" si="2"/>
        <v>804182</v>
      </c>
      <c r="J19" s="1950">
        <f t="shared" si="2"/>
        <v>0</v>
      </c>
      <c r="K19" s="1950">
        <f t="shared" si="2"/>
        <v>0</v>
      </c>
      <c r="L19" s="1950">
        <f t="shared" si="2"/>
        <v>804182</v>
      </c>
      <c r="M19" s="838"/>
      <c r="N19" s="1998"/>
    </row>
    <row r="20" spans="1:14" ht="13.5" thickTop="1" x14ac:dyDescent="0.2">
      <c r="A20" s="2003">
        <v>9</v>
      </c>
      <c r="B20" s="2433" t="s">
        <v>2018</v>
      </c>
      <c r="C20" s="2433"/>
      <c r="D20" s="2434"/>
      <c r="E20" s="1951"/>
      <c r="F20" s="1951"/>
      <c r="G20" s="1951"/>
      <c r="H20" s="1951"/>
      <c r="I20" s="1951"/>
      <c r="J20" s="1951"/>
      <c r="K20" s="1951"/>
      <c r="L20" s="1952">
        <f>IF(AND(H19&gt;0,L19&gt;0),(((L19-H19)/H19)),"Enter Budget Data")</f>
        <v>6.3859454167824209E-2</v>
      </c>
      <c r="M20" s="838"/>
      <c r="N20" s="1998"/>
    </row>
    <row r="21" spans="1:14" x14ac:dyDescent="0.2">
      <c r="A21" s="2005" t="s">
        <v>194</v>
      </c>
      <c r="B21" s="2006" t="s">
        <v>2043</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2019</v>
      </c>
      <c r="B24" s="2010"/>
      <c r="C24" s="2011"/>
      <c r="D24" s="2011"/>
      <c r="E24" s="2011"/>
      <c r="F24" s="2011"/>
      <c r="G24" s="2011"/>
      <c r="H24" s="2011"/>
      <c r="I24" s="2011"/>
      <c r="J24" s="2011"/>
      <c r="K24" s="2011"/>
      <c r="L24" s="838"/>
      <c r="M24" s="838"/>
      <c r="N24" s="1998"/>
    </row>
    <row r="25" spans="1:14" x14ac:dyDescent="0.2">
      <c r="A25" s="2009" t="s">
        <v>2020</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5"/>
      <c r="D27" s="2435"/>
      <c r="E27" s="843"/>
      <c r="F27" s="2436"/>
      <c r="G27" s="2436"/>
      <c r="H27" s="2436"/>
      <c r="I27" s="838"/>
      <c r="J27" s="838"/>
      <c r="K27" s="838"/>
      <c r="L27" s="838"/>
      <c r="M27" s="838"/>
      <c r="N27" s="1998"/>
    </row>
    <row r="28" spans="1:14" x14ac:dyDescent="0.2">
      <c r="A28" s="1997"/>
      <c r="B28" s="2007"/>
      <c r="C28" s="1957" t="s">
        <v>1026</v>
      </c>
      <c r="D28" s="844"/>
      <c r="E28" s="1958"/>
      <c r="F28" s="2437" t="s">
        <v>1492</v>
      </c>
      <c r="G28" s="2437"/>
      <c r="H28" s="2437"/>
      <c r="I28" s="838"/>
      <c r="J28" s="838"/>
      <c r="K28" s="838"/>
      <c r="L28" s="838"/>
      <c r="M28" s="838"/>
      <c r="N28" s="1998"/>
    </row>
    <row r="29" spans="1:14" x14ac:dyDescent="0.2">
      <c r="A29" s="1997"/>
      <c r="B29" s="2007"/>
      <c r="C29" s="2438"/>
      <c r="D29" s="2438"/>
      <c r="E29" s="845"/>
      <c r="F29" s="2438"/>
      <c r="G29" s="2438"/>
      <c r="H29" s="2438"/>
      <c r="I29" s="838"/>
      <c r="J29" s="838"/>
      <c r="K29" s="838"/>
      <c r="L29" s="838"/>
      <c r="M29" s="838"/>
      <c r="N29" s="1998"/>
    </row>
    <row r="30" spans="1:14" x14ac:dyDescent="0.2">
      <c r="A30" s="1997"/>
      <c r="B30" s="2007"/>
      <c r="C30" s="1960" t="s">
        <v>1544</v>
      </c>
      <c r="D30" s="838"/>
      <c r="E30" s="1959"/>
      <c r="F30" s="2420" t="s">
        <v>1493</v>
      </c>
      <c r="G30" s="2420"/>
      <c r="H30" s="242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1" t="s">
        <v>2021</v>
      </c>
      <c r="D34" s="2442"/>
      <c r="E34" s="2442"/>
      <c r="F34" s="2442"/>
      <c r="G34" s="2442"/>
      <c r="H34" s="2442"/>
      <c r="I34" s="2442"/>
      <c r="J34" s="2442"/>
      <c r="K34" s="2016"/>
      <c r="L34" s="838"/>
      <c r="M34" s="838"/>
      <c r="N34" s="1998"/>
    </row>
    <row r="35" spans="1:14" x14ac:dyDescent="0.2">
      <c r="A35" s="1997"/>
      <c r="B35" s="838"/>
      <c r="C35" s="2442"/>
      <c r="D35" s="2442"/>
      <c r="E35" s="2442"/>
      <c r="F35" s="2442"/>
      <c r="G35" s="2442"/>
      <c r="H35" s="2442"/>
      <c r="I35" s="2442"/>
      <c r="J35" s="244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1" t="s">
        <v>2022</v>
      </c>
      <c r="D37" s="2442"/>
      <c r="E37" s="2442"/>
      <c r="F37" s="2442"/>
      <c r="G37" s="2442"/>
      <c r="H37" s="2442"/>
      <c r="I37" s="2442"/>
      <c r="J37" s="2442"/>
      <c r="K37" s="2016"/>
      <c r="L37" s="2018"/>
      <c r="M37" s="838"/>
      <c r="N37" s="1998"/>
    </row>
    <row r="38" spans="1:14" x14ac:dyDescent="0.2">
      <c r="A38" s="1997"/>
      <c r="B38" s="838"/>
      <c r="C38" s="2442"/>
      <c r="D38" s="2442"/>
      <c r="E38" s="2442"/>
      <c r="F38" s="2442"/>
      <c r="G38" s="2442"/>
      <c r="H38" s="2442"/>
      <c r="I38" s="2442"/>
      <c r="J38" s="244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t="s">
        <v>2090</v>
      </c>
      <c r="C40" s="2443" t="s">
        <v>2023</v>
      </c>
      <c r="D40" s="2444"/>
      <c r="E40" s="2444"/>
      <c r="F40" s="2444"/>
      <c r="G40" s="2444"/>
      <c r="H40" s="2444"/>
      <c r="I40" s="2444"/>
      <c r="J40" s="244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5" t="s">
        <v>2024</v>
      </c>
      <c r="B43" s="2446"/>
      <c r="C43" s="2446"/>
      <c r="D43" s="2446"/>
      <c r="E43" s="2446"/>
      <c r="F43" s="2446"/>
      <c r="G43" s="2446"/>
      <c r="H43" s="2446"/>
      <c r="I43" s="2446"/>
      <c r="J43" s="2446"/>
      <c r="K43" s="2446"/>
      <c r="L43" s="2446"/>
      <c r="M43" s="2446"/>
      <c r="N43" s="244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2025</v>
      </c>
      <c r="B45" s="1983"/>
      <c r="C45" s="1983"/>
      <c r="D45" s="1983"/>
      <c r="E45" s="1983"/>
      <c r="F45" s="1983"/>
      <c r="G45" s="1983"/>
      <c r="H45" s="1983"/>
      <c r="I45" s="1983"/>
      <c r="J45" s="1983"/>
      <c r="K45" s="1983"/>
      <c r="L45" s="1983"/>
      <c r="M45" s="1983"/>
      <c r="N45" s="1984"/>
    </row>
    <row r="46" spans="1:14" x14ac:dyDescent="0.2">
      <c r="A46" s="2448" t="s">
        <v>2026</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2042</v>
      </c>
      <c r="B49" s="2024"/>
      <c r="C49" s="2024"/>
      <c r="D49" s="2025"/>
      <c r="E49" s="2025"/>
      <c r="F49" s="2025"/>
      <c r="G49" s="2025"/>
      <c r="H49" s="2025"/>
      <c r="I49" s="2025"/>
      <c r="J49" s="2025"/>
      <c r="K49" s="2025"/>
      <c r="L49" s="2025"/>
      <c r="M49" s="2025"/>
      <c r="N49" s="2026"/>
    </row>
    <row r="50" spans="1:14" ht="15" x14ac:dyDescent="0.25">
      <c r="A50" s="2028" t="s">
        <v>2041</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1" t="str">
        <f>J6</f>
        <v xml:space="preserve">  Livingston Co Spec Services Unit</v>
      </c>
      <c r="M52" s="2421"/>
      <c r="N52" s="2451"/>
    </row>
    <row r="53" spans="1:14" x14ac:dyDescent="0.2">
      <c r="A53" s="1982"/>
      <c r="B53" s="1983"/>
      <c r="C53" s="1983"/>
      <c r="D53" s="1983"/>
      <c r="E53" s="1983"/>
      <c r="F53" s="1983"/>
      <c r="G53" s="1983"/>
      <c r="H53" s="1983"/>
      <c r="I53" s="1983"/>
      <c r="J53" s="1983"/>
      <c r="K53" s="1924" t="s">
        <v>369</v>
      </c>
      <c r="L53" s="2426">
        <f>J7</f>
        <v>17053000061</v>
      </c>
      <c r="M53" s="2426"/>
      <c r="N53" s="245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3"/>
      <c r="B55" s="2454"/>
      <c r="C55" s="2454"/>
      <c r="D55" s="1970"/>
      <c r="E55" s="1970"/>
      <c r="F55" s="1970"/>
      <c r="G55" s="2455" t="s">
        <v>2027</v>
      </c>
      <c r="H55" s="2455"/>
      <c r="I55" s="2455"/>
      <c r="J55" s="2455"/>
      <c r="K55" s="2455"/>
      <c r="L55" s="2455"/>
      <c r="M55" s="2455"/>
      <c r="N55" s="2456"/>
    </row>
    <row r="56" spans="1:14" ht="63.75" x14ac:dyDescent="0.2">
      <c r="A56" s="2457" t="s">
        <v>2028</v>
      </c>
      <c r="B56" s="2458"/>
      <c r="C56" s="2459"/>
      <c r="D56" s="1964" t="s">
        <v>2029</v>
      </c>
      <c r="E56" s="1964" t="s">
        <v>2030</v>
      </c>
      <c r="F56" s="1971"/>
      <c r="G56" s="1964" t="s">
        <v>2031</v>
      </c>
      <c r="H56" s="1964" t="s">
        <v>2032</v>
      </c>
      <c r="I56" s="1964" t="s">
        <v>2033</v>
      </c>
      <c r="J56" s="1964" t="s">
        <v>2034</v>
      </c>
      <c r="K56" s="1964" t="s">
        <v>2035</v>
      </c>
      <c r="L56" s="1964" t="s">
        <v>2036</v>
      </c>
      <c r="M56" s="1964" t="s">
        <v>2037</v>
      </c>
      <c r="N56" s="1965" t="s">
        <v>2044</v>
      </c>
    </row>
    <row r="57" spans="1:14" ht="24.75" customHeight="1" x14ac:dyDescent="0.2">
      <c r="A57" s="2460" t="s">
        <v>296</v>
      </c>
      <c r="B57" s="2461"/>
      <c r="C57" s="246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9" t="s">
        <v>2038</v>
      </c>
      <c r="B58" s="2440"/>
      <c r="C58" s="2440"/>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62" t="s">
        <v>297</v>
      </c>
      <c r="B59" s="2463"/>
      <c r="C59" s="2463"/>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2" t="s">
        <v>236</v>
      </c>
      <c r="B60" s="2463"/>
      <c r="C60" s="2463"/>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62" t="s">
        <v>697</v>
      </c>
      <c r="B61" s="2463"/>
      <c r="C61" s="2463"/>
      <c r="D61" s="1967">
        <v>2365</v>
      </c>
      <c r="E61" s="1977">
        <f>'Expenditures 15-22'!K323</f>
        <v>0</v>
      </c>
      <c r="F61" s="1972"/>
      <c r="G61" s="2031"/>
      <c r="H61" s="2032"/>
      <c r="I61" s="2032"/>
      <c r="J61" s="2032"/>
      <c r="K61" s="2032"/>
      <c r="L61" s="2032"/>
      <c r="M61" s="2032"/>
      <c r="N61" s="1975">
        <f t="shared" si="4"/>
        <v>0</v>
      </c>
    </row>
    <row r="62" spans="1:14" ht="24" customHeight="1" x14ac:dyDescent="0.2">
      <c r="A62" s="2462" t="s">
        <v>237</v>
      </c>
      <c r="B62" s="2463"/>
      <c r="C62" s="2463"/>
      <c r="D62" s="1967">
        <v>2366</v>
      </c>
      <c r="E62" s="1977">
        <f>'Expenditures 15-22'!K324</f>
        <v>0</v>
      </c>
      <c r="F62" s="1972"/>
      <c r="G62" s="2031"/>
      <c r="H62" s="2032"/>
      <c r="I62" s="2032"/>
      <c r="J62" s="2032"/>
      <c r="K62" s="2032"/>
      <c r="L62" s="2032"/>
      <c r="M62" s="2032"/>
      <c r="N62" s="1975">
        <f t="shared" si="4"/>
        <v>0</v>
      </c>
    </row>
    <row r="63" spans="1:14" ht="24" customHeight="1" x14ac:dyDescent="0.2">
      <c r="A63" s="2439" t="s">
        <v>1022</v>
      </c>
      <c r="B63" s="2440"/>
      <c r="C63" s="2440"/>
      <c r="D63" s="1967">
        <v>2367</v>
      </c>
      <c r="E63" s="1977">
        <f>'Expenditures 15-22'!K325</f>
        <v>0</v>
      </c>
      <c r="F63" s="1972"/>
      <c r="G63" s="2031"/>
      <c r="H63" s="2032"/>
      <c r="I63" s="2032"/>
      <c r="J63" s="2032"/>
      <c r="K63" s="2032"/>
      <c r="L63" s="2032"/>
      <c r="M63" s="2032"/>
      <c r="N63" s="1975">
        <f t="shared" si="4"/>
        <v>0</v>
      </c>
    </row>
    <row r="64" spans="1:14" ht="24" customHeight="1" x14ac:dyDescent="0.2">
      <c r="A64" s="2462" t="s">
        <v>1023</v>
      </c>
      <c r="B64" s="2463"/>
      <c r="C64" s="2463"/>
      <c r="D64" s="1967">
        <v>2368</v>
      </c>
      <c r="E64" s="1977">
        <f>'Expenditures 15-22'!K326</f>
        <v>0</v>
      </c>
      <c r="F64" s="1972"/>
      <c r="G64" s="2031"/>
      <c r="H64" s="2032"/>
      <c r="I64" s="2032"/>
      <c r="J64" s="2032"/>
      <c r="K64" s="2032"/>
      <c r="L64" s="2032"/>
      <c r="M64" s="2032"/>
      <c r="N64" s="1975">
        <f t="shared" si="4"/>
        <v>0</v>
      </c>
    </row>
    <row r="65" spans="1:14" ht="24" customHeight="1" x14ac:dyDescent="0.2">
      <c r="A65" s="2462" t="s">
        <v>965</v>
      </c>
      <c r="B65" s="2463"/>
      <c r="C65" s="2463"/>
      <c r="D65" s="1967">
        <v>2369</v>
      </c>
      <c r="E65" s="1977">
        <f>'Expenditures 15-22'!K327</f>
        <v>0</v>
      </c>
      <c r="F65" s="1972"/>
      <c r="G65" s="2031"/>
      <c r="H65" s="2032"/>
      <c r="I65" s="2032"/>
      <c r="J65" s="2032"/>
      <c r="K65" s="2032"/>
      <c r="L65" s="2032"/>
      <c r="M65" s="2032"/>
      <c r="N65" s="1975">
        <f t="shared" si="4"/>
        <v>0</v>
      </c>
    </row>
    <row r="66" spans="1:14" ht="24" customHeight="1" x14ac:dyDescent="0.2">
      <c r="A66" s="2462" t="s">
        <v>469</v>
      </c>
      <c r="B66" s="2463"/>
      <c r="C66" s="2463"/>
      <c r="D66" s="1967">
        <v>2371</v>
      </c>
      <c r="E66" s="1977">
        <f>'Expenditures 15-22'!K328</f>
        <v>0</v>
      </c>
      <c r="F66" s="1972"/>
      <c r="G66" s="2031"/>
      <c r="H66" s="2032"/>
      <c r="I66" s="2032"/>
      <c r="J66" s="2032"/>
      <c r="K66" s="2032"/>
      <c r="L66" s="2032"/>
      <c r="M66" s="2032"/>
      <c r="N66" s="1975">
        <f t="shared" si="4"/>
        <v>0</v>
      </c>
    </row>
    <row r="67" spans="1:14" ht="24.75" customHeight="1" x14ac:dyDescent="0.2">
      <c r="A67" s="2464" t="s">
        <v>2039</v>
      </c>
      <c r="B67" s="2465"/>
      <c r="C67" s="2465"/>
      <c r="D67" s="1969">
        <v>2372</v>
      </c>
      <c r="E67" s="1978">
        <f>'Expenditures 15-22'!K329</f>
        <v>0</v>
      </c>
      <c r="F67" s="1972"/>
      <c r="G67" s="2033"/>
      <c r="H67" s="2034"/>
      <c r="I67" s="2034"/>
      <c r="J67" s="2034"/>
      <c r="K67" s="2034"/>
      <c r="L67" s="2034"/>
      <c r="M67" s="2034"/>
      <c r="N67" s="1975">
        <f t="shared" si="4"/>
        <v>0</v>
      </c>
    </row>
    <row r="68" spans="1:14" x14ac:dyDescent="0.2">
      <c r="A68" s="2466" t="s">
        <v>1151</v>
      </c>
      <c r="B68" s="2467"/>
      <c r="C68" s="2467"/>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2040</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2062</v>
      </c>
    </row>
    <row r="6" spans="1:2" x14ac:dyDescent="0.2">
      <c r="A6" s="847">
        <v>2</v>
      </c>
      <c r="B6" s="307" t="s">
        <v>2063</v>
      </c>
    </row>
    <row r="7" spans="1:2" x14ac:dyDescent="0.2">
      <c r="A7" s="847">
        <v>3</v>
      </c>
      <c r="B7" s="307" t="s">
        <v>2064</v>
      </c>
    </row>
    <row r="8" spans="1:2" x14ac:dyDescent="0.2">
      <c r="A8" s="847">
        <v>4</v>
      </c>
      <c r="B8" s="307" t="s">
        <v>2065</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Livingston Co Spec Services Unit</v>
      </c>
    </row>
    <row r="65" spans="2:2" x14ac:dyDescent="0.2">
      <c r="B65" s="849">
        <f>COVER!A13</f>
        <v>17053000061</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topLeftCell="A4"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68" t="s">
        <v>1665</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2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1969</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4710889</v>
      </c>
      <c r="C8" s="1813">
        <f>'Acct Summary 7-8'!D8</f>
        <v>0</v>
      </c>
      <c r="D8" s="1813">
        <f>'Acct Summary 7-8'!F8</f>
        <v>0</v>
      </c>
      <c r="E8" s="1813">
        <f>'Acct Summary 7-8'!I8</f>
        <v>0</v>
      </c>
      <c r="F8" s="1813">
        <f>SUM(B8:E8)</f>
        <v>4710889</v>
      </c>
    </row>
    <row r="9" spans="1:8" s="858" customFormat="1" ht="14.25" customHeight="1" thickBot="1" x14ac:dyDescent="0.25">
      <c r="A9" s="857" t="s">
        <v>1353</v>
      </c>
      <c r="B9" s="1814">
        <f>'Acct Summary 7-8'!C17</f>
        <v>4794370</v>
      </c>
      <c r="C9" s="1814">
        <f>'Acct Summary 7-8'!D17</f>
        <v>0</v>
      </c>
      <c r="D9" s="1814">
        <f>'Acct Summary 7-8'!F17</f>
        <v>0</v>
      </c>
      <c r="E9" s="1813"/>
      <c r="F9" s="1813">
        <f>SUM(B9:E9)</f>
        <v>4794370</v>
      </c>
    </row>
    <row r="10" spans="1:8" s="858" customFormat="1" ht="14.25" thickTop="1" thickBot="1" x14ac:dyDescent="0.25">
      <c r="A10" s="859" t="s">
        <v>1354</v>
      </c>
      <c r="B10" s="1815">
        <f>(B8-B9)</f>
        <v>-83481</v>
      </c>
      <c r="C10" s="1815">
        <f>(C8-C9)</f>
        <v>0</v>
      </c>
      <c r="D10" s="1815">
        <f>(D8-D9)</f>
        <v>0</v>
      </c>
      <c r="E10" s="1814">
        <f>(E8-E9)</f>
        <v>0</v>
      </c>
      <c r="F10" s="1816">
        <f>SUM(F8-F9)</f>
        <v>-83481</v>
      </c>
    </row>
    <row r="11" spans="1:8" s="858" customFormat="1" ht="14.25" thickTop="1" thickBot="1" x14ac:dyDescent="0.25">
      <c r="A11" s="860" t="s">
        <v>1900</v>
      </c>
      <c r="B11" s="1817">
        <f>'Acct Summary 7-8'!C81</f>
        <v>357910</v>
      </c>
      <c r="C11" s="1817">
        <f>'Acct Summary 7-8'!D81</f>
        <v>0</v>
      </c>
      <c r="D11" s="1817">
        <f>'Acct Summary 7-8'!F81</f>
        <v>0</v>
      </c>
      <c r="E11" s="1817">
        <f>'Acct Summary 7-8'!I81</f>
        <v>0</v>
      </c>
      <c r="F11" s="1818">
        <f>SUM(B11:E11)</f>
        <v>357910</v>
      </c>
    </row>
    <row r="12" spans="1:8" ht="16.5" customHeight="1" thickTop="1" x14ac:dyDescent="0.2">
      <c r="A12" s="861"/>
      <c r="B12" s="862"/>
      <c r="C12" s="2473" t="str">
        <f>IF(AND(F10&lt;0,F11&gt;=0,ABS(F10*3)&gt;ABS(F11)),A16,IF(AND(F10&lt;0,F11&gt;0,ABS(F10*3)&lt;=ABS(F11)),A17,IF(AND(F10&lt;0,F11&lt;0),A16,IF(F11=0,A19,A18))))</f>
        <v>Unbalanced -  however, a deficit reduction plan is not required at this time.</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9" colorId="8" zoomScale="110" zoomScaleNormal="110" workbookViewId="0">
      <selection activeCell="D81" sqref="D8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ENTER ACCOUNTING INFO</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900" t="s">
        <v>1975</v>
      </c>
    </row>
    <row r="2" spans="1:7" ht="15.75" x14ac:dyDescent="0.25">
      <c r="A2" t="s">
        <v>260</v>
      </c>
      <c r="B2" s="135">
        <f>COVER!A13</f>
        <v>17053000061</v>
      </c>
      <c r="E2" s="1542">
        <v>2020</v>
      </c>
      <c r="F2" s="1542">
        <v>1</v>
      </c>
      <c r="G2" s="1899">
        <v>101000300</v>
      </c>
    </row>
    <row r="3" spans="1:7" ht="15" x14ac:dyDescent="0.25">
      <c r="A3" t="s">
        <v>950</v>
      </c>
      <c r="B3" s="135" t="str">
        <f>COVER!A15</f>
        <v>Livingston</v>
      </c>
      <c r="E3" s="1830" t="s">
        <v>1968</v>
      </c>
      <c r="F3" s="1830" t="s">
        <v>1967</v>
      </c>
      <c r="G3" s="1899">
        <v>101000400</v>
      </c>
    </row>
    <row r="4" spans="1:7" ht="15" x14ac:dyDescent="0.25">
      <c r="A4" t="s">
        <v>1000</v>
      </c>
      <c r="B4" s="135" t="str">
        <f>COVER!A17</f>
        <v xml:space="preserve">  Livingston Co Spec Services Unit</v>
      </c>
      <c r="E4" s="1828">
        <v>44119</v>
      </c>
      <c r="F4" s="1829">
        <v>44151</v>
      </c>
      <c r="G4" s="1899">
        <v>101000600</v>
      </c>
    </row>
    <row r="5" spans="1:7" ht="15" x14ac:dyDescent="0.25">
      <c r="A5" t="s">
        <v>699</v>
      </c>
      <c r="B5" s="135" t="str">
        <f>COVER!A38</f>
        <v>Joshua Olsen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 xml:space="preserve">ACCRUAL </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Yes</v>
      </c>
      <c r="G14" s="1899">
        <v>402100300</v>
      </c>
    </row>
    <row r="15" spans="1:7" ht="15" x14ac:dyDescent="0.25">
      <c r="A15" t="s">
        <v>573</v>
      </c>
      <c r="B15" s="135" t="str">
        <f>COVER!T23</f>
        <v>066-005232</v>
      </c>
      <c r="G15" s="1899">
        <v>402100400</v>
      </c>
    </row>
    <row r="16" spans="1:7" ht="15" x14ac:dyDescent="0.25">
      <c r="A16" t="s">
        <v>419</v>
      </c>
      <c r="B16" s="135" t="str">
        <f>COVER!T13</f>
        <v>MCK, CPAs &amp; Advisors</v>
      </c>
      <c r="G16" s="1899">
        <v>402100600</v>
      </c>
    </row>
    <row r="17" spans="1:7" ht="15" x14ac:dyDescent="0.25">
      <c r="A17" t="s">
        <v>878</v>
      </c>
      <c r="B17" s="135" t="str">
        <f>COVER!T15</f>
        <v>Dawn M Carlson</v>
      </c>
      <c r="G17" s="1899">
        <v>402100800</v>
      </c>
    </row>
    <row r="18" spans="1:7" ht="15" x14ac:dyDescent="0.25">
      <c r="A18" t="s">
        <v>1140</v>
      </c>
      <c r="B18" s="135" t="str">
        <f>COVER!T17</f>
        <v>207 W Jefferson St</v>
      </c>
      <c r="G18" s="1899">
        <v>102200300</v>
      </c>
    </row>
    <row r="19" spans="1:7" ht="15" x14ac:dyDescent="0.25">
      <c r="A19" t="s">
        <v>880</v>
      </c>
      <c r="B19" s="135" t="str">
        <f>COVER!T25</f>
        <v>dcarlson@mckcpa.com</v>
      </c>
      <c r="G19" s="1899">
        <v>102200400</v>
      </c>
    </row>
    <row r="20" spans="1:7" ht="15" x14ac:dyDescent="0.25">
      <c r="A20" t="s">
        <v>881</v>
      </c>
      <c r="B20" s="135" t="str">
        <f>COVER!T19</f>
        <v>Bloomington</v>
      </c>
      <c r="G20" s="1899">
        <v>102200600</v>
      </c>
    </row>
    <row r="21" spans="1:7" ht="15" x14ac:dyDescent="0.25">
      <c r="A21" t="s">
        <v>476</v>
      </c>
      <c r="B21" s="135" t="str">
        <f>COVER!X19</f>
        <v>IL</v>
      </c>
      <c r="G21" s="1899">
        <v>102200800</v>
      </c>
    </row>
    <row r="22" spans="1:7" ht="15" x14ac:dyDescent="0.25">
      <c r="A22" t="s">
        <v>882</v>
      </c>
      <c r="B22" s="135">
        <f>COVER!Z19</f>
        <v>61701</v>
      </c>
      <c r="G22" s="1899">
        <v>102300300</v>
      </c>
    </row>
    <row r="23" spans="1:7" ht="15" x14ac:dyDescent="0.25">
      <c r="A23" t="s">
        <v>1142</v>
      </c>
      <c r="B23" s="135">
        <f>COVER!T21</f>
        <v>3098286071</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157126</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777411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229254</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419501</v>
      </c>
      <c r="C91" s="2" t="s">
        <v>569</v>
      </c>
      <c r="D91" s="2" t="str">
        <f t="shared" si="0"/>
        <v>Error?</v>
      </c>
      <c r="G91" s="1899">
        <v>102640400</v>
      </c>
    </row>
    <row r="92" spans="1:7" ht="15" x14ac:dyDescent="0.25">
      <c r="A92" s="5">
        <v>31</v>
      </c>
      <c r="B92" s="1832">
        <f>'Assets-Liab 5-6'!C39</f>
        <v>357910</v>
      </c>
      <c r="D92" s="2" t="str">
        <f t="shared" si="0"/>
        <v>Error?</v>
      </c>
      <c r="G92" s="1899">
        <v>102640600</v>
      </c>
    </row>
    <row r="93" spans="1:7" ht="15" x14ac:dyDescent="0.25">
      <c r="A93" s="5">
        <v>32</v>
      </c>
      <c r="B93" s="1832">
        <f>'Assets-Liab 5-6'!C41</f>
        <v>777411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190247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190247</v>
      </c>
      <c r="D212" s="2" t="str">
        <f t="shared" si="2"/>
        <v>Error?</v>
      </c>
    </row>
    <row r="213" spans="1:4" x14ac:dyDescent="0.2">
      <c r="A213" s="12">
        <v>152</v>
      </c>
      <c r="B213" s="1832">
        <f>'Assets-Liab 5-6'!H41</f>
        <v>190247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0</v>
      </c>
      <c r="C279" s="2" t="s">
        <v>569</v>
      </c>
      <c r="D279" s="2" t="str">
        <f t="shared" si="3"/>
        <v>Error?</v>
      </c>
    </row>
    <row r="280" spans="1:4" x14ac:dyDescent="0.2">
      <c r="A280" s="5">
        <v>219</v>
      </c>
      <c r="B280" s="1832">
        <f>'Assets-Liab 5-6'!M40</f>
        <v>0</v>
      </c>
      <c r="D280" s="2" t="str">
        <f t="shared" si="3"/>
        <v>Error?</v>
      </c>
    </row>
    <row r="281" spans="1:4" x14ac:dyDescent="0.2">
      <c r="A281" s="5">
        <v>220</v>
      </c>
      <c r="B281" s="1832">
        <f>'Assets-Liab 5-6'!M41</f>
        <v>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16858</v>
      </c>
      <c r="D719" s="2" t="str">
        <f t="shared" si="10"/>
        <v>Error?</v>
      </c>
    </row>
    <row r="720" spans="1:4" x14ac:dyDescent="0.2">
      <c r="A720" s="5">
        <v>659</v>
      </c>
      <c r="B720" s="1832">
        <f>'Expenditures 15-22'!C33</f>
        <v>745480</v>
      </c>
      <c r="C720" s="2" t="s">
        <v>569</v>
      </c>
      <c r="D720" s="2" t="str">
        <f t="shared" si="10"/>
        <v>Error?</v>
      </c>
    </row>
    <row r="721" spans="1:4" x14ac:dyDescent="0.2">
      <c r="A721" s="5">
        <v>660</v>
      </c>
      <c r="B721" s="1832">
        <f>'Expenditures 15-22'!C36</f>
        <v>354869</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301300</v>
      </c>
      <c r="D723" s="2" t="str">
        <f t="shared" si="10"/>
        <v>Error?</v>
      </c>
    </row>
    <row r="724" spans="1:4" x14ac:dyDescent="0.2">
      <c r="A724" s="5">
        <v>663</v>
      </c>
      <c r="B724" s="1832">
        <f>'Expenditures 15-22'!C39</f>
        <v>242294</v>
      </c>
      <c r="D724" s="2" t="str">
        <f t="shared" si="10"/>
        <v>Error?</v>
      </c>
    </row>
    <row r="725" spans="1:4" x14ac:dyDescent="0.2">
      <c r="A725" s="5">
        <v>664</v>
      </c>
      <c r="B725" s="1832">
        <f>'Expenditures 15-22'!C40</f>
        <v>492518</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1390981</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220039</v>
      </c>
      <c r="D733" s="2" t="str">
        <f t="shared" si="10"/>
        <v>Error?</v>
      </c>
    </row>
    <row r="734" spans="1:4" x14ac:dyDescent="0.2">
      <c r="A734" s="5">
        <v>673</v>
      </c>
      <c r="B734" s="1832">
        <f>'Expenditures 15-22'!C53</f>
        <v>516768</v>
      </c>
      <c r="C734" s="2" t="s">
        <v>569</v>
      </c>
      <c r="D734" s="2" t="str">
        <f t="shared" si="10"/>
        <v>Error?</v>
      </c>
    </row>
    <row r="735" spans="1:4" x14ac:dyDescent="0.2">
      <c r="A735" s="5">
        <v>674</v>
      </c>
      <c r="B735" s="1832">
        <f>'Expenditures 15-22'!C55</f>
        <v>103159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103159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52982</v>
      </c>
      <c r="D739" s="2" t="str">
        <f t="shared" si="10"/>
        <v>Error?</v>
      </c>
    </row>
    <row r="740" spans="1:4" x14ac:dyDescent="0.2">
      <c r="A740" s="5">
        <v>679</v>
      </c>
      <c r="B740" s="1832">
        <f>'Expenditures 15-22'!C61</f>
        <v>51879</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104861</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76142</v>
      </c>
      <c r="D747" s="2" t="str">
        <f t="shared" si="10"/>
        <v>Error?</v>
      </c>
    </row>
    <row r="748" spans="1:4" x14ac:dyDescent="0.2">
      <c r="A748" s="5">
        <v>687</v>
      </c>
      <c r="B748" s="1832">
        <f>'Expenditures 15-22'!C69</f>
        <v>27311</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103453</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2219222</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2964702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480</v>
      </c>
      <c r="D777" s="2" t="str">
        <f t="shared" si="11"/>
        <v>Error?</v>
      </c>
    </row>
    <row r="778" spans="1:4" x14ac:dyDescent="0.2">
      <c r="A778" s="5">
        <v>717</v>
      </c>
      <c r="B778" s="1832">
        <f>'Expenditures 15-22'!D33</f>
        <v>214490</v>
      </c>
      <c r="C778" s="2" t="s">
        <v>569</v>
      </c>
      <c r="D778" s="2" t="str">
        <f t="shared" si="11"/>
        <v>Error?</v>
      </c>
    </row>
    <row r="779" spans="1:4" x14ac:dyDescent="0.2">
      <c r="A779" s="5">
        <v>718</v>
      </c>
      <c r="B779" s="1832">
        <f>'Expenditures 15-22'!D36</f>
        <v>86759</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88647</v>
      </c>
      <c r="D781" s="2" t="str">
        <f t="shared" si="11"/>
        <v>Error?</v>
      </c>
    </row>
    <row r="782" spans="1:4" x14ac:dyDescent="0.2">
      <c r="A782" s="5">
        <v>721</v>
      </c>
      <c r="B782" s="1832">
        <f>'Expenditures 15-22'!D39</f>
        <v>57149</v>
      </c>
      <c r="D782" s="2" t="str">
        <f t="shared" si="11"/>
        <v>Error?</v>
      </c>
    </row>
    <row r="783" spans="1:4" x14ac:dyDescent="0.2">
      <c r="A783" s="5">
        <v>722</v>
      </c>
      <c r="B783" s="1832">
        <f>'Expenditures 15-22'!D40</f>
        <v>108733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341288</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38233</v>
      </c>
      <c r="D791" s="2" t="str">
        <f t="shared" si="11"/>
        <v>Error?</v>
      </c>
    </row>
    <row r="792" spans="1:4" x14ac:dyDescent="0.2">
      <c r="A792" s="5">
        <v>731</v>
      </c>
      <c r="B792" s="1832">
        <f>'Expenditures 15-22'!D53</f>
        <v>145199</v>
      </c>
      <c r="C792" s="2" t="s">
        <v>569</v>
      </c>
      <c r="D792" s="2" t="str">
        <f t="shared" si="11"/>
        <v>Error?</v>
      </c>
    </row>
    <row r="793" spans="1:4" x14ac:dyDescent="0.2">
      <c r="A793" s="5">
        <v>732</v>
      </c>
      <c r="B793" s="1832">
        <f>'Expenditures 15-22'!D55</f>
        <v>32609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32609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15278</v>
      </c>
      <c r="D797" s="2" t="str">
        <f t="shared" si="11"/>
        <v>Error?</v>
      </c>
    </row>
    <row r="798" spans="1:4" x14ac:dyDescent="0.2">
      <c r="A798" s="5">
        <v>737</v>
      </c>
      <c r="B798" s="1832">
        <f>'Expenditures 15-22'!D61</f>
        <v>15142</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30420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22752</v>
      </c>
      <c r="D805" s="2" t="str">
        <f t="shared" si="11"/>
        <v>Error?</v>
      </c>
    </row>
    <row r="806" spans="1:4" x14ac:dyDescent="0.2">
      <c r="A806" s="5">
        <v>745</v>
      </c>
      <c r="B806" s="1832">
        <f>'Expenditures 15-22'!D69</f>
        <v>9862</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32614</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582130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796620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4955</v>
      </c>
      <c r="C836" s="2" t="s">
        <v>569</v>
      </c>
      <c r="D836" s="2" t="str">
        <f t="shared" si="12"/>
        <v>Error?</v>
      </c>
    </row>
    <row r="837" spans="1:4" x14ac:dyDescent="0.2">
      <c r="A837" s="5">
        <v>776</v>
      </c>
      <c r="B837" s="1832">
        <f>'Expenditures 15-22'!E36</f>
        <v>42320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84292</v>
      </c>
      <c r="D839" s="2" t="str">
        <f t="shared" si="12"/>
        <v>Error?</v>
      </c>
    </row>
    <row r="840" spans="1:4" x14ac:dyDescent="0.2">
      <c r="A840" s="5">
        <v>779</v>
      </c>
      <c r="B840" s="1832">
        <f>'Expenditures 15-22'!E39</f>
        <v>22220</v>
      </c>
      <c r="D840" s="2" t="str">
        <f t="shared" si="12"/>
        <v>Error?</v>
      </c>
    </row>
    <row r="841" spans="1:4" x14ac:dyDescent="0.2">
      <c r="A841" s="5">
        <v>780</v>
      </c>
      <c r="B841" s="1832">
        <f>'Expenditures 15-22'!E40</f>
        <v>50070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198902</v>
      </c>
      <c r="C843" s="2" t="s">
        <v>569</v>
      </c>
      <c r="D843" s="2" t="str">
        <f t="shared" si="12"/>
        <v>Error?</v>
      </c>
    </row>
    <row r="844" spans="1:4" x14ac:dyDescent="0.2">
      <c r="A844" s="5">
        <v>783</v>
      </c>
      <c r="B844" s="1832">
        <f>'Expenditures 15-22'!E44</f>
        <v>57272</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57660</v>
      </c>
      <c r="D846" s="2" t="str">
        <f t="shared" si="12"/>
        <v>Error?</v>
      </c>
    </row>
    <row r="847" spans="1:4" x14ac:dyDescent="0.2">
      <c r="A847" s="5">
        <v>786</v>
      </c>
      <c r="B847" s="1832">
        <f>'Expenditures 15-22'!E47</f>
        <v>114932</v>
      </c>
      <c r="C847" s="2" t="s">
        <v>569</v>
      </c>
      <c r="D847" s="2" t="str">
        <f t="shared" si="12"/>
        <v>Error?</v>
      </c>
    </row>
    <row r="848" spans="1:4" x14ac:dyDescent="0.2">
      <c r="A848" s="5">
        <v>787</v>
      </c>
      <c r="B848" s="1832">
        <f>'Expenditures 15-22'!E49</f>
        <v>47696</v>
      </c>
      <c r="D848" s="2" t="str">
        <f t="shared" si="12"/>
        <v>Error?</v>
      </c>
    </row>
    <row r="849" spans="1:4" x14ac:dyDescent="0.2">
      <c r="A849" s="5">
        <v>788</v>
      </c>
      <c r="B849" s="1832">
        <f>'Expenditures 15-22'!E50</f>
        <v>3627</v>
      </c>
      <c r="D849" s="2" t="str">
        <f t="shared" si="12"/>
        <v>Error?</v>
      </c>
    </row>
    <row r="850" spans="1:4" x14ac:dyDescent="0.2">
      <c r="A850" s="5">
        <v>789</v>
      </c>
      <c r="B850" s="1832">
        <f>'Expenditures 15-22'!E53</f>
        <v>174221</v>
      </c>
      <c r="C850" s="2" t="s">
        <v>569</v>
      </c>
      <c r="D850" s="2" t="str">
        <f t="shared" si="12"/>
        <v>Error?</v>
      </c>
    </row>
    <row r="851" spans="1:4" x14ac:dyDescent="0.2">
      <c r="A851" s="5">
        <v>790</v>
      </c>
      <c r="B851" s="1832">
        <f>'Expenditures 15-22'!E55</f>
        <v>439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439</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26380</v>
      </c>
      <c r="D855" s="2" t="str">
        <f t="shared" si="12"/>
        <v>Error?</v>
      </c>
    </row>
    <row r="856" spans="1:4" x14ac:dyDescent="0.2">
      <c r="A856" s="5">
        <v>795</v>
      </c>
      <c r="B856" s="1832">
        <f>'Expenditures 15-22'!E61</f>
        <v>72177</v>
      </c>
      <c r="D856" s="2" t="str">
        <f t="shared" si="12"/>
        <v>Error?</v>
      </c>
    </row>
    <row r="857" spans="1:4" x14ac:dyDescent="0.2">
      <c r="A857" s="5">
        <v>796</v>
      </c>
      <c r="B857" s="1832">
        <f>'Expenditures 15-22'!E62</f>
        <v>142</v>
      </c>
      <c r="D857" s="2" t="str">
        <f t="shared" si="12"/>
        <v>Error?</v>
      </c>
    </row>
    <row r="858" spans="1:4" x14ac:dyDescent="0.2">
      <c r="A858" s="5">
        <v>797</v>
      </c>
      <c r="B858" s="1832">
        <f>'Expenditures 15-22'!E63</f>
        <v>313</v>
      </c>
      <c r="D858" s="2" t="str">
        <f t="shared" si="12"/>
        <v>Error?</v>
      </c>
    </row>
    <row r="859" spans="1:4" x14ac:dyDescent="0.2">
      <c r="A859" s="5">
        <v>798</v>
      </c>
      <c r="B859" s="1832">
        <f>'Expenditures 15-22'!E64</f>
        <v>13224</v>
      </c>
      <c r="D859" s="2" t="str">
        <f t="shared" si="12"/>
        <v>Error?</v>
      </c>
    </row>
    <row r="860" spans="1:4" x14ac:dyDescent="0.2">
      <c r="A860" s="10">
        <v>799</v>
      </c>
      <c r="B860" s="1832"/>
      <c r="D860" s="2" t="str">
        <f t="shared" si="12"/>
        <v>OK</v>
      </c>
    </row>
    <row r="861" spans="1:4" x14ac:dyDescent="0.2">
      <c r="A861" s="5">
        <v>800</v>
      </c>
      <c r="B861" s="1832">
        <f>'Expenditures 15-22'!E65</f>
        <v>112236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123</v>
      </c>
      <c r="D863" s="2" t="str">
        <f t="shared" si="12"/>
        <v>Error?</v>
      </c>
    </row>
    <row r="864" spans="1:4" x14ac:dyDescent="0.2">
      <c r="A864" s="5">
        <v>803</v>
      </c>
      <c r="B864" s="1832">
        <f>'Expenditures 15-22'!E69</f>
        <v>250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15375</v>
      </c>
      <c r="D867" s="2" t="str">
        <f t="shared" si="12"/>
        <v>Error?</v>
      </c>
    </row>
    <row r="868" spans="1:4" x14ac:dyDescent="0.2">
      <c r="A868" s="10">
        <v>807</v>
      </c>
      <c r="B868" s="1832"/>
      <c r="D868" s="2" t="str">
        <f t="shared" si="12"/>
        <v>OK</v>
      </c>
    </row>
    <row r="869" spans="1:4" x14ac:dyDescent="0.2">
      <c r="A869" s="5">
        <v>808</v>
      </c>
      <c r="B869" s="1832">
        <f>'Expenditures 15-22'!E72</f>
        <v>15748</v>
      </c>
      <c r="C869" s="2" t="s">
        <v>569</v>
      </c>
      <c r="D869" s="2" t="str">
        <f t="shared" si="12"/>
        <v>Error?</v>
      </c>
    </row>
    <row r="870" spans="1:4" x14ac:dyDescent="0.2">
      <c r="A870" s="5">
        <v>809</v>
      </c>
      <c r="B870" s="1832">
        <f>'Expenditures 15-22'!E73</f>
        <v>22707</v>
      </c>
      <c r="D870" s="2" t="str">
        <f t="shared" si="12"/>
        <v>Error?</v>
      </c>
    </row>
    <row r="871" spans="1:4" x14ac:dyDescent="0.2">
      <c r="A871" s="5">
        <v>810</v>
      </c>
      <c r="B871" s="1832">
        <f>'Expenditures 15-22'!E74</f>
        <v>639185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644140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35583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4474</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4474</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17052</v>
      </c>
      <c r="D907" s="2" t="str">
        <f t="shared" si="13"/>
        <v>Error?</v>
      </c>
    </row>
    <row r="908" spans="1:4" x14ac:dyDescent="0.2">
      <c r="A908" s="5">
        <v>847</v>
      </c>
      <c r="B908" s="1832">
        <f>'Expenditures 15-22'!F53</f>
        <v>17052</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46558</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46558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68084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103667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252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180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180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1894</v>
      </c>
      <c r="D1023" s="2" t="str">
        <f t="shared" ref="D1023:D1086" si="15">IF(ISBLANK(B1023),"OK",IF(A1023-B1023=0,"OK","Error?"))</f>
        <v>Error?</v>
      </c>
    </row>
    <row r="1024" spans="1:4" x14ac:dyDescent="0.2">
      <c r="A1024" s="5">
        <v>963</v>
      </c>
      <c r="B1024" s="1832">
        <f>'Expenditures 15-22'!H53</f>
        <v>2893</v>
      </c>
      <c r="C1024" s="2" t="s">
        <v>569</v>
      </c>
      <c r="D1024" s="2" t="str">
        <f t="shared" si="15"/>
        <v>Error?</v>
      </c>
    </row>
    <row r="1025" spans="1:4" x14ac:dyDescent="0.2">
      <c r="A1025" s="5">
        <v>964</v>
      </c>
      <c r="B1025" s="1832">
        <f>'Expenditures 15-22'!H55</f>
        <v>180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180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460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460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3713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280000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1276</v>
      </c>
      <c r="D1051" s="2" t="str">
        <f t="shared" si="15"/>
        <v>Error?</v>
      </c>
    </row>
    <row r="1052" spans="1:5" x14ac:dyDescent="0.2">
      <c r="A1052" s="10">
        <v>991</v>
      </c>
      <c r="B1052" s="1832"/>
      <c r="D1052" s="2" t="str">
        <f t="shared" si="15"/>
        <v>OK</v>
      </c>
    </row>
    <row r="1053" spans="1:5" x14ac:dyDescent="0.2">
      <c r="A1053" s="5">
        <v>992</v>
      </c>
      <c r="B1053" s="1832">
        <f>'Expenditures 15-22'!H110</f>
        <v>1276</v>
      </c>
      <c r="C1053" s="2" t="s">
        <v>569</v>
      </c>
      <c r="D1053" s="2" t="str">
        <f t="shared" si="15"/>
        <v>Error?</v>
      </c>
    </row>
    <row r="1054" spans="1:5" x14ac:dyDescent="0.2">
      <c r="A1054" s="5">
        <v>993</v>
      </c>
      <c r="B1054" s="1832">
        <f>'Expenditures 15-22'!H114</f>
        <v>285241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17338</v>
      </c>
      <c r="C1107" s="2" t="s">
        <v>569</v>
      </c>
      <c r="D1107" s="2" t="str">
        <f t="shared" si="16"/>
        <v>Error?</v>
      </c>
    </row>
    <row r="1108" spans="1:4" x14ac:dyDescent="0.2">
      <c r="A1108" s="5">
        <v>1047</v>
      </c>
      <c r="B1108" s="1832">
        <f>'Expenditures 15-22'!K33</f>
        <v>1000760</v>
      </c>
      <c r="C1108" s="2" t="s">
        <v>569</v>
      </c>
      <c r="D1108" s="2" t="str">
        <f t="shared" si="16"/>
        <v>Error?</v>
      </c>
    </row>
    <row r="1109" spans="1:4" x14ac:dyDescent="0.2">
      <c r="A1109" s="5">
        <v>1048</v>
      </c>
      <c r="B1109" s="1832">
        <f>'Expenditures 15-22'!K36</f>
        <v>483948</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474239</v>
      </c>
      <c r="C1111" s="2" t="s">
        <v>569</v>
      </c>
      <c r="D1111" s="2" t="str">
        <f t="shared" si="16"/>
        <v>Error?</v>
      </c>
    </row>
    <row r="1112" spans="1:4" x14ac:dyDescent="0.2">
      <c r="A1112" s="5">
        <v>1051</v>
      </c>
      <c r="B1112" s="1832">
        <f>'Expenditures 15-22'!K39</f>
        <v>321663</v>
      </c>
      <c r="C1112" s="2" t="s">
        <v>569</v>
      </c>
      <c r="D1112" s="2" t="str">
        <f t="shared" si="16"/>
        <v>Error?</v>
      </c>
    </row>
    <row r="1113" spans="1:4" x14ac:dyDescent="0.2">
      <c r="A1113" s="5">
        <v>1052</v>
      </c>
      <c r="B1113" s="1832">
        <f>'Expenditures 15-22'!K40</f>
        <v>651501</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1931351</v>
      </c>
      <c r="C1115" s="2" t="s">
        <v>569</v>
      </c>
      <c r="D1115" s="2" t="str">
        <f t="shared" si="16"/>
        <v>Error?</v>
      </c>
    </row>
    <row r="1116" spans="1:4" x14ac:dyDescent="0.2">
      <c r="A1116" s="5">
        <v>1055</v>
      </c>
      <c r="B1116" s="1832">
        <f>'Expenditures 15-22'!K44</f>
        <v>61746</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57660</v>
      </c>
      <c r="C1118" s="2" t="s">
        <v>569</v>
      </c>
      <c r="D1118" s="2" t="str">
        <f t="shared" si="16"/>
        <v>Error?</v>
      </c>
    </row>
    <row r="1119" spans="1:4" x14ac:dyDescent="0.2">
      <c r="A1119" s="5">
        <v>1058</v>
      </c>
      <c r="B1119" s="1832">
        <f>'Expenditures 15-22'!K47</f>
        <v>119406</v>
      </c>
      <c r="C1119" s="2" t="s">
        <v>569</v>
      </c>
      <c r="D1119" s="2" t="str">
        <f t="shared" si="16"/>
        <v>Error?</v>
      </c>
    </row>
    <row r="1120" spans="1:4" x14ac:dyDescent="0.2">
      <c r="A1120" s="5">
        <v>1059</v>
      </c>
      <c r="B1120" s="1832">
        <f>'Expenditures 15-22'!K49</f>
        <v>47696</v>
      </c>
      <c r="C1120" s="2" t="s">
        <v>569</v>
      </c>
      <c r="D1120" s="2" t="str">
        <f t="shared" si="16"/>
        <v>Error?</v>
      </c>
    </row>
    <row r="1121" spans="1:4" x14ac:dyDescent="0.2">
      <c r="A1121" s="5">
        <v>1060</v>
      </c>
      <c r="B1121" s="1832">
        <f>'Expenditures 15-22'!K50</f>
        <v>280845</v>
      </c>
      <c r="C1121" s="2" t="s">
        <v>569</v>
      </c>
      <c r="D1121" s="2" t="str">
        <f t="shared" si="16"/>
        <v>Error?</v>
      </c>
    </row>
    <row r="1122" spans="1:4" x14ac:dyDescent="0.2">
      <c r="A1122" s="5">
        <v>1061</v>
      </c>
      <c r="B1122" s="1832">
        <f>'Expenditures 15-22'!K53</f>
        <v>856133</v>
      </c>
      <c r="C1122" s="2" t="s">
        <v>569</v>
      </c>
      <c r="D1122" s="2" t="str">
        <f t="shared" si="16"/>
        <v>Error?</v>
      </c>
    </row>
    <row r="1123" spans="1:4" x14ac:dyDescent="0.2">
      <c r="A1123" s="5">
        <v>1062</v>
      </c>
      <c r="B1123" s="1832">
        <f>'Expenditures 15-22'!K55</f>
        <v>136387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136387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94640</v>
      </c>
      <c r="C1127" s="2" t="s">
        <v>569</v>
      </c>
      <c r="D1127" s="2" t="str">
        <f t="shared" si="16"/>
        <v>Error?</v>
      </c>
    </row>
    <row r="1128" spans="1:4" x14ac:dyDescent="0.2">
      <c r="A1128" s="5">
        <v>1067</v>
      </c>
      <c r="B1128" s="1832">
        <f>'Expenditures 15-22'!K61</f>
        <v>185756</v>
      </c>
      <c r="C1128" s="2" t="s">
        <v>569</v>
      </c>
      <c r="D1128" s="2" t="str">
        <f t="shared" si="16"/>
        <v>Error?</v>
      </c>
    </row>
    <row r="1129" spans="1:4" x14ac:dyDescent="0.2">
      <c r="A1129" s="5">
        <v>1068</v>
      </c>
      <c r="B1129" s="1832">
        <f>'Expenditures 15-22'!K62</f>
        <v>142</v>
      </c>
      <c r="C1129" s="2" t="s">
        <v>569</v>
      </c>
      <c r="D1129" s="2" t="str">
        <f t="shared" si="16"/>
        <v>Error?</v>
      </c>
    </row>
    <row r="1130" spans="1:4" x14ac:dyDescent="0.2">
      <c r="A1130" s="5">
        <v>1069</v>
      </c>
      <c r="B1130" s="1832">
        <f>'Expenditures 15-22'!K63</f>
        <v>313</v>
      </c>
      <c r="C1130" s="2" t="s">
        <v>569</v>
      </c>
      <c r="D1130" s="2" t="str">
        <f t="shared" si="16"/>
        <v>Error?</v>
      </c>
    </row>
    <row r="1131" spans="1:4" x14ac:dyDescent="0.2">
      <c r="A1131" s="5">
        <v>1070</v>
      </c>
      <c r="B1131" s="1832">
        <f>'Expenditures 15-22'!K64</f>
        <v>13224</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294075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99477</v>
      </c>
      <c r="C1135" s="2" t="s">
        <v>569</v>
      </c>
      <c r="D1135" s="2" t="str">
        <f t="shared" si="16"/>
        <v>Error?</v>
      </c>
    </row>
    <row r="1136" spans="1:4" x14ac:dyDescent="0.2">
      <c r="A1136" s="5">
        <v>1075</v>
      </c>
      <c r="B1136" s="1832">
        <f>'Expenditures 15-22'!K69</f>
        <v>37423</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15375</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152275</v>
      </c>
      <c r="C1141" s="2" t="s">
        <v>569</v>
      </c>
      <c r="D1141" s="2" t="str">
        <f t="shared" si="16"/>
        <v>Error?</v>
      </c>
    </row>
    <row r="1142" spans="1:4" x14ac:dyDescent="0.2">
      <c r="A1142" s="5">
        <v>1081</v>
      </c>
      <c r="B1142" s="1832">
        <f>'Expenditures 15-22'!K73</f>
        <v>22707</v>
      </c>
      <c r="C1142" s="2" t="s">
        <v>569</v>
      </c>
      <c r="D1142" s="2" t="str">
        <f t="shared" si="16"/>
        <v>Error?</v>
      </c>
    </row>
    <row r="1143" spans="1:4" x14ac:dyDescent="0.2">
      <c r="A1143" s="5">
        <v>1082</v>
      </c>
      <c r="B1143" s="1832">
        <f>'Expenditures 15-22'!K74</f>
        <v>3512334</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280000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1276</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1276</v>
      </c>
      <c r="C1151" s="2" t="s">
        <v>569</v>
      </c>
      <c r="D1151" s="2" t="str">
        <f t="shared" ref="D1151:D1214" si="17">IF(ISBLANK(B1151),"OK",IF(A1151-B1151=0,"OK","Error?"))</f>
        <v>Error?</v>
      </c>
    </row>
    <row r="1152" spans="1:4" x14ac:dyDescent="0.2">
      <c r="A1152" s="5">
        <v>1091</v>
      </c>
      <c r="B1152" s="1832">
        <f>'Expenditures 15-22'!K114</f>
        <v>4794370</v>
      </c>
      <c r="C1152" s="2" t="s">
        <v>569</v>
      </c>
      <c r="D1152" s="2" t="str">
        <f t="shared" si="17"/>
        <v>Error?</v>
      </c>
    </row>
    <row r="1153" spans="1:4" x14ac:dyDescent="0.2">
      <c r="A1153" s="5">
        <v>1092</v>
      </c>
      <c r="B1153" s="1832">
        <f>'Expenditures 15-22'!K115</f>
        <v>-83481</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364433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364433</v>
      </c>
      <c r="C1547" s="2" t="s">
        <v>569</v>
      </c>
      <c r="D1547" s="2" t="str">
        <f t="shared" si="23"/>
        <v>Error?</v>
      </c>
    </row>
    <row r="1548" spans="1:4" x14ac:dyDescent="0.2">
      <c r="A1548" s="5">
        <v>1487</v>
      </c>
      <c r="B1548" s="1832">
        <f>'Expenditures 15-22'!G312</f>
        <v>364433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364433</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364433</v>
      </c>
      <c r="C1559" s="2" t="s">
        <v>569</v>
      </c>
      <c r="D1559" s="2" t="str">
        <f t="shared" si="23"/>
        <v>Error?</v>
      </c>
    </row>
    <row r="1560" spans="1:4" x14ac:dyDescent="0.2">
      <c r="A1560" s="5">
        <v>1499</v>
      </c>
      <c r="B1560" s="1832">
        <f>'Expenditures 15-22'!K312</f>
        <v>364433</v>
      </c>
      <c r="C1560" s="2" t="s">
        <v>569</v>
      </c>
      <c r="D1560" s="2" t="str">
        <f t="shared" si="23"/>
        <v>Error?</v>
      </c>
    </row>
    <row r="1561" spans="1:4" x14ac:dyDescent="0.2">
      <c r="A1561" s="5">
        <v>1500</v>
      </c>
      <c r="B1561" s="1832">
        <f>'Expenditures 15-22'!K313</f>
        <v>-364433</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441391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357910</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554680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190247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445320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1194850</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1640170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364433</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364433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55195</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55195</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754558</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1194850</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1949408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8906</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1062448</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1071354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46155</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46155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5520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5520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55061</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1056928</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1111989</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699497</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137922</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837419</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280000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280000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2775238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360655</v>
      </c>
      <c r="C2553" s="2" t="s">
        <v>569</v>
      </c>
      <c r="D2553" s="2" t="str">
        <f t="shared" si="38"/>
        <v>Error?</v>
      </c>
    </row>
    <row r="2554" spans="1:4" x14ac:dyDescent="0.2">
      <c r="A2554" s="5">
        <v>2493</v>
      </c>
      <c r="B2554" s="1832">
        <f>'Acct Summary 7-8'!C7</f>
        <v>1574996</v>
      </c>
      <c r="C2554" s="2" t="s">
        <v>569</v>
      </c>
      <c r="D2554" s="2" t="str">
        <f t="shared" si="38"/>
        <v>Error?</v>
      </c>
    </row>
    <row r="2555" spans="1:4" x14ac:dyDescent="0.2">
      <c r="A2555" s="5">
        <v>2494</v>
      </c>
      <c r="B2555" s="1832">
        <f>'Acct Summary 7-8'!C8</f>
        <v>4710889</v>
      </c>
      <c r="C2555" s="2" t="s">
        <v>569</v>
      </c>
      <c r="D2555" s="2" t="str">
        <f t="shared" si="38"/>
        <v>Error?</v>
      </c>
    </row>
    <row r="2556" spans="1:4" x14ac:dyDescent="0.2">
      <c r="A2556" s="5">
        <v>2495</v>
      </c>
      <c r="B2556" s="1832">
        <f>'Acct Summary 7-8'!C12</f>
        <v>1000760</v>
      </c>
      <c r="C2556" s="2" t="s">
        <v>569</v>
      </c>
      <c r="D2556" s="2" t="str">
        <f t="shared" si="38"/>
        <v>Error?</v>
      </c>
    </row>
    <row r="2557" spans="1:4" x14ac:dyDescent="0.2">
      <c r="A2557" s="5">
        <v>2496</v>
      </c>
      <c r="B2557" s="1832">
        <f>'Acct Summary 7-8'!C13</f>
        <v>3512334</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280000</v>
      </c>
      <c r="C2559" s="2" t="s">
        <v>569</v>
      </c>
      <c r="D2559" s="2" t="str">
        <f t="shared" ref="D2559:D2622" si="39">IF(ISBLANK(B2559),"OK",IF(A2559-B2559=0,"OK","Error?"))</f>
        <v>Error?</v>
      </c>
    </row>
    <row r="2560" spans="1:4" x14ac:dyDescent="0.2">
      <c r="A2560" s="5">
        <v>2499</v>
      </c>
      <c r="B2560" s="1832">
        <f>'Acct Summary 7-8'!C16</f>
        <v>1276</v>
      </c>
      <c r="C2560" s="2" t="s">
        <v>569</v>
      </c>
      <c r="D2560" s="2" t="str">
        <f t="shared" si="39"/>
        <v>Error?</v>
      </c>
    </row>
    <row r="2561" spans="1:4" x14ac:dyDescent="0.2">
      <c r="A2561" s="5">
        <v>2500</v>
      </c>
      <c r="B2561" s="1832">
        <f>'Acct Summary 7-8'!C17</f>
        <v>4794370</v>
      </c>
      <c r="C2561" s="2" t="s">
        <v>569</v>
      </c>
      <c r="D2561" s="2" t="str">
        <f t="shared" si="39"/>
        <v>Error?</v>
      </c>
    </row>
    <row r="2562" spans="1:4" x14ac:dyDescent="0.2">
      <c r="A2562" s="5">
        <v>2501</v>
      </c>
      <c r="B2562" s="1832">
        <f>'Acct Summary 7-8'!C20</f>
        <v>-83481</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364433</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364433</v>
      </c>
      <c r="C2661" s="2" t="s">
        <v>569</v>
      </c>
      <c r="D2661" s="2" t="str">
        <f t="shared" si="40"/>
        <v>Error?</v>
      </c>
    </row>
    <row r="2662" spans="1:4" x14ac:dyDescent="0.2">
      <c r="A2662" s="5">
        <v>2601</v>
      </c>
      <c r="B2662" s="1832">
        <f>'Acct Summary 7-8'!H20</f>
        <v>-364433</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296729</v>
      </c>
      <c r="D2718" s="2" t="str">
        <f t="shared" si="41"/>
        <v>Error?</v>
      </c>
    </row>
    <row r="2719" spans="1:4" x14ac:dyDescent="0.2">
      <c r="A2719" s="5">
        <v>2658</v>
      </c>
      <c r="B2719" s="1832">
        <f>'Expenditures 15-22'!D51</f>
        <v>75784</v>
      </c>
      <c r="D2719" s="2" t="str">
        <f t="shared" si="41"/>
        <v>Error?</v>
      </c>
    </row>
    <row r="2720" spans="1:4" x14ac:dyDescent="0.2">
      <c r="A2720" s="5">
        <v>2659</v>
      </c>
      <c r="B2720" s="1832">
        <f>'Expenditures 15-22'!E51</f>
        <v>88329</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999</v>
      </c>
      <c r="D2723" s="2" t="str">
        <f t="shared" si="41"/>
        <v>Error?</v>
      </c>
    </row>
    <row r="2724" spans="1:4" x14ac:dyDescent="0.2">
      <c r="A2724" s="5">
        <v>2663</v>
      </c>
      <c r="B2724" s="1832">
        <f>'Expenditures 15-22'!K51</f>
        <v>461841</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280000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280000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135603</v>
      </c>
      <c r="D3055" s="2" t="str">
        <f t="shared" si="46"/>
        <v>Error?</v>
      </c>
    </row>
    <row r="3056" spans="1:4" x14ac:dyDescent="0.2">
      <c r="A3056" s="5">
        <v>2995</v>
      </c>
      <c r="B3056" s="1832">
        <f>'Expenditures 15-22'!D10</f>
        <v>19974</v>
      </c>
      <c r="D3056" s="2" t="str">
        <f t="shared" si="46"/>
        <v>Error?</v>
      </c>
    </row>
    <row r="3057" spans="1:4" x14ac:dyDescent="0.2">
      <c r="A3057" s="5">
        <v>2996</v>
      </c>
      <c r="B3057" s="1832">
        <f>'Expenditures 15-22'!E10</f>
        <v>3805</v>
      </c>
      <c r="D3057" s="2" t="str">
        <f t="shared" si="46"/>
        <v>Error?</v>
      </c>
    </row>
    <row r="3058" spans="1:4" x14ac:dyDescent="0.2">
      <c r="A3058" s="5">
        <v>2997</v>
      </c>
      <c r="B3058" s="1832">
        <f>'Expenditures 15-22'!F10</f>
        <v>27055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252</v>
      </c>
      <c r="D3060" s="2" t="str">
        <f t="shared" si="46"/>
        <v>Error?</v>
      </c>
    </row>
    <row r="3061" spans="1:4" x14ac:dyDescent="0.2">
      <c r="A3061" s="10">
        <v>3000</v>
      </c>
      <c r="B3061" s="1832"/>
      <c r="D3061" s="2" t="str">
        <f t="shared" si="46"/>
        <v>OK</v>
      </c>
    </row>
    <row r="3062" spans="1:4" x14ac:dyDescent="0.2">
      <c r="A3062" s="5">
        <v>3001</v>
      </c>
      <c r="B3062" s="1832">
        <f>'Expenditures 15-22'!K10</f>
        <v>186689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-83481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-364433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470154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158113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208</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8284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636759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404868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29980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4740869</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29980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4824350</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364433</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357910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58870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109908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82572</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f>'FP Info 3'!H31</f>
        <v>0</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1379603</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1379603</v>
      </c>
      <c r="C5087" s="2" t="s">
        <v>569</v>
      </c>
      <c r="D5087" s="2" t="str">
        <f t="shared" si="78"/>
        <v>Error?</v>
      </c>
    </row>
    <row r="5088" spans="1:4" x14ac:dyDescent="0.2">
      <c r="A5088" s="5">
        <v>5027</v>
      </c>
      <c r="B5088" s="1832">
        <f>'Revenues 9-14'!C65</f>
        <v>1534</v>
      </c>
      <c r="D5088" s="2" t="str">
        <f t="shared" si="78"/>
        <v>Error?</v>
      </c>
    </row>
    <row r="5089" spans="1:4" x14ac:dyDescent="0.2">
      <c r="A5089" s="5">
        <v>5028</v>
      </c>
      <c r="B5089" s="1832">
        <f>'Revenues 9-14'!C66</f>
        <v>65000</v>
      </c>
      <c r="D5089" s="2" t="str">
        <f t="shared" si="78"/>
        <v>Error?</v>
      </c>
    </row>
    <row r="5090" spans="1:4" x14ac:dyDescent="0.2">
      <c r="A5090" s="5">
        <v>5029</v>
      </c>
      <c r="B5090" s="1832">
        <f>'Revenues 9-14'!C67</f>
        <v>66534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105</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9350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1278730</v>
      </c>
      <c r="D5118" s="2" t="str">
        <f t="shared" si="78"/>
        <v>Error?</v>
      </c>
    </row>
    <row r="5119" spans="1:4" x14ac:dyDescent="0.2">
      <c r="A5119" s="5">
        <v>5058</v>
      </c>
      <c r="B5119" s="1832">
        <f>'Revenues 9-14'!C107</f>
        <v>40916</v>
      </c>
      <c r="D5119" s="2" t="str">
        <f t="shared" ref="D5119:D5182" si="79">IF(ISBLANK(B5119),"OK",IF(A5119-B5119=0,"OK","Error?"))</f>
        <v>Error?</v>
      </c>
    </row>
    <row r="5120" spans="1:4" x14ac:dyDescent="0.2">
      <c r="A5120" s="5">
        <v>5059</v>
      </c>
      <c r="B5120" s="1832">
        <f>'Revenues 9-14'!C108</f>
        <v>1328996</v>
      </c>
      <c r="C5120" s="2" t="s">
        <v>569</v>
      </c>
      <c r="D5120" s="2" t="str">
        <f t="shared" si="79"/>
        <v>Error?</v>
      </c>
    </row>
    <row r="5121" spans="1:4" x14ac:dyDescent="0.2">
      <c r="A5121" s="5">
        <v>5060</v>
      </c>
      <c r="B5121" s="1832">
        <f>'Revenues 9-14'!C109</f>
        <v>2775238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360614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360614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41</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360655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71379</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1252267</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1323646</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1574996</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1574996</v>
      </c>
      <c r="C5326" s="2" t="s">
        <v>569</v>
      </c>
      <c r="D5326" s="2" t="str">
        <f t="shared" si="82"/>
        <v>Error?</v>
      </c>
    </row>
    <row r="5327" spans="1:5" x14ac:dyDescent="0.2">
      <c r="A5327" s="5">
        <v>5266</v>
      </c>
      <c r="B5327" s="1832">
        <f>'Revenues 9-14'!C268</f>
        <v>4710889</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105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190247</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175004</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40413</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190247</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-83481</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-364433</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-0.23324578804727444</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f>'Acct Summary 7-8'!H83</f>
        <v>-1.9155781694323695</v>
      </c>
      <c r="D6281" s="2" t="str">
        <f t="shared" si="97"/>
        <v>Error?</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159974</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31182</v>
      </c>
      <c r="D6933" s="2" t="str">
        <f t="shared" si="107"/>
        <v>Error?</v>
      </c>
    </row>
    <row r="6934" spans="1:4" x14ac:dyDescent="0.2">
      <c r="A6934">
        <v>6873</v>
      </c>
      <c r="B6934" s="1832">
        <f>'Expenditures 15-22'!E52</f>
        <v>34569</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65751</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1276</v>
      </c>
      <c r="D7018" s="2" t="str">
        <f t="shared" si="108"/>
        <v>Error?</v>
      </c>
    </row>
    <row r="7019" spans="1:4" x14ac:dyDescent="0.2">
      <c r="A7019">
        <v>6958</v>
      </c>
      <c r="B7019" s="1832">
        <f>'Expenditures 15-22'!K112</f>
        <v>1276</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122865</v>
      </c>
      <c r="D7251" s="2" t="str">
        <f t="shared" si="112"/>
        <v>Error?</v>
      </c>
    </row>
    <row r="7252" spans="1:4" x14ac:dyDescent="0.2">
      <c r="A7252">
        <f t="shared" si="113"/>
        <v>7191</v>
      </c>
      <c r="B7252" s="1832">
        <f>'Expenditures 15-22'!D9</f>
        <v>35923</v>
      </c>
      <c r="D7252" s="2" t="str">
        <f t="shared" si="112"/>
        <v>Error?</v>
      </c>
    </row>
    <row r="7253" spans="1:4" x14ac:dyDescent="0.2">
      <c r="A7253">
        <f t="shared" si="113"/>
        <v>7192</v>
      </c>
      <c r="B7253" s="1832">
        <f>'Expenditures 15-22'!E9</f>
        <v>942</v>
      </c>
      <c r="D7253" s="2" t="str">
        <f t="shared" si="112"/>
        <v>Error?</v>
      </c>
    </row>
    <row r="7254" spans="1:4" x14ac:dyDescent="0.2">
      <c r="A7254">
        <f t="shared" si="113"/>
        <v>7193</v>
      </c>
      <c r="B7254" s="1832">
        <f>'Expenditures 15-22'!F9</f>
        <v>244</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46155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0</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0</v>
      </c>
      <c r="D7817" s="2" t="str">
        <f t="shared" si="128"/>
        <v>Error?</v>
      </c>
      <c r="E7817" s="4" t="s">
        <v>1963</v>
      </c>
    </row>
    <row r="7818" spans="1:5" x14ac:dyDescent="0.2">
      <c r="A7818">
        <v>7757</v>
      </c>
      <c r="B7818" s="1832">
        <f>'PCTC-OEPP 27-28'!F172</f>
        <v>0</v>
      </c>
      <c r="D7818" s="2" t="str">
        <f t="shared" si="128"/>
        <v>Error?</v>
      </c>
      <c r="E7818" s="4" t="s">
        <v>1977</v>
      </c>
    </row>
    <row r="7819" spans="1:5" x14ac:dyDescent="0.2">
      <c r="A7819">
        <v>7758</v>
      </c>
      <c r="B7819" s="1832">
        <f>'PCTC-OEPP 27-28'!F173</f>
        <v>0</v>
      </c>
      <c r="D7819" s="2" t="str">
        <f t="shared" si="128"/>
        <v>Error?</v>
      </c>
      <c r="E7819" s="4" t="s">
        <v>1977</v>
      </c>
    </row>
    <row r="7820" spans="1:5" x14ac:dyDescent="0.2">
      <c r="A7820">
        <v>7759</v>
      </c>
      <c r="B7820" s="1832">
        <f>'ICR Computation 30'!E40</f>
        <v>-9690</v>
      </c>
      <c r="D7820" s="2" t="str">
        <f t="shared" si="128"/>
        <v>Error?</v>
      </c>
    </row>
    <row r="7821" spans="1:5" x14ac:dyDescent="0.2">
      <c r="A7821">
        <v>7760</v>
      </c>
      <c r="B7821" s="1832">
        <f>'ICR Computation 30'!G40</f>
        <v>-9690</v>
      </c>
      <c r="D7821" s="2" t="str">
        <f t="shared" si="128"/>
        <v>Error?</v>
      </c>
    </row>
    <row r="7822" spans="1:5" x14ac:dyDescent="0.2">
      <c r="A7822" s="1">
        <v>7761</v>
      </c>
      <c r="B7822" s="1832">
        <f>'PCTC-OEPP 27-28'!F14</f>
        <v>4794370</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0</v>
      </c>
      <c r="D7826" s="2" t="str">
        <f t="shared" si="129"/>
        <v>Error?</v>
      </c>
      <c r="E7826" s="4" t="s">
        <v>1995</v>
      </c>
    </row>
    <row r="7827" spans="1:5" x14ac:dyDescent="0.2">
      <c r="A7827">
        <v>7766</v>
      </c>
      <c r="B7827" s="1832">
        <f>'PCTC-OEPP 27-28'!F35</f>
        <v>159974</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17338</v>
      </c>
      <c r="D7830" s="2" t="str">
        <f t="shared" si="129"/>
        <v>Error?</v>
      </c>
      <c r="E7830" s="4" t="s">
        <v>1995</v>
      </c>
    </row>
    <row r="7831" spans="1:5" x14ac:dyDescent="0.2">
      <c r="A7831">
        <v>7770</v>
      </c>
      <c r="B7831" s="1832">
        <f>'PCTC-OEPP 27-28'!F52</f>
        <v>0</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457312</v>
      </c>
      <c r="D7834" s="2" t="str">
        <f t="shared" si="129"/>
        <v>Error?</v>
      </c>
      <c r="E7834" s="4" t="s">
        <v>1995</v>
      </c>
    </row>
    <row r="7835" spans="1:5" x14ac:dyDescent="0.2">
      <c r="A7835">
        <v>7774</v>
      </c>
      <c r="B7835" s="1832">
        <f>'PCTC-OEPP 27-28'!F78</f>
        <v>4337058</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t="str">
        <f>'PCTC-OEPP 27-28'!F80</f>
        <v xml:space="preserve"> Complete Line 79</v>
      </c>
      <c r="D7837" s="2" t="e">
        <f t="shared" si="129"/>
        <v>#VALUE!</v>
      </c>
      <c r="E7837" s="4" t="s">
        <v>1995</v>
      </c>
    </row>
    <row r="7838" spans="1:5" x14ac:dyDescent="0.2">
      <c r="A7838">
        <v>7777</v>
      </c>
      <c r="B7838" s="1832">
        <f>'PCTC-OEPP 27-28'!F96</f>
        <v>0</v>
      </c>
      <c r="D7838" s="2" t="str">
        <f t="shared" si="129"/>
        <v>Error?</v>
      </c>
      <c r="E7838" s="4" t="s">
        <v>1995</v>
      </c>
    </row>
    <row r="7839" spans="1:5" x14ac:dyDescent="0.2">
      <c r="A7839">
        <v>7778</v>
      </c>
      <c r="B7839" s="1832">
        <f>'PCTC-OEPP 27-28'!F102</f>
        <v>9350</v>
      </c>
      <c r="D7839" s="2" t="str">
        <f t="shared" si="129"/>
        <v>Error?</v>
      </c>
      <c r="E7839" s="4" t="s">
        <v>1995</v>
      </c>
    </row>
    <row r="7840" spans="1:5" x14ac:dyDescent="0.2">
      <c r="A7840">
        <v>7779</v>
      </c>
      <c r="B7840" s="1832">
        <f>'PCTC-OEPP 27-28'!F103</f>
        <v>0</v>
      </c>
      <c r="D7840" s="2" t="str">
        <f t="shared" si="129"/>
        <v>Error?</v>
      </c>
      <c r="E7840" s="4" t="s">
        <v>1995</v>
      </c>
    </row>
    <row r="7841" spans="1:5" x14ac:dyDescent="0.2">
      <c r="A7841">
        <v>7780</v>
      </c>
      <c r="B7841" s="1832">
        <f>'PCTC-OEPP 27-28'!F104</f>
        <v>0</v>
      </c>
      <c r="D7841" s="2" t="str">
        <f t="shared" si="129"/>
        <v>Error?</v>
      </c>
      <c r="E7841" s="4" t="s">
        <v>1995</v>
      </c>
    </row>
    <row r="7842" spans="1:5" x14ac:dyDescent="0.2">
      <c r="A7842">
        <v>7781</v>
      </c>
      <c r="B7842" s="1832">
        <f>'PCTC-OEPP 27-28'!F106</f>
        <v>0</v>
      </c>
      <c r="D7842" s="2" t="str">
        <f t="shared" si="129"/>
        <v>Error?</v>
      </c>
      <c r="E7842" s="4" t="s">
        <v>1995</v>
      </c>
    </row>
    <row r="7843" spans="1:5" x14ac:dyDescent="0.2">
      <c r="A7843">
        <v>7782</v>
      </c>
      <c r="B7843" s="1832">
        <f>'PCTC-OEPP 27-28'!F107</f>
        <v>0</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0</v>
      </c>
      <c r="D7846" s="2" t="str">
        <f t="shared" si="129"/>
        <v>Error?</v>
      </c>
      <c r="E7846" s="4" t="s">
        <v>1995</v>
      </c>
    </row>
    <row r="7847" spans="1:5" x14ac:dyDescent="0.2">
      <c r="A7847">
        <v>7786</v>
      </c>
      <c r="B7847" s="1832">
        <f>'PCTC-OEPP 27-28'!F112</f>
        <v>0</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0</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0</v>
      </c>
      <c r="D7858" s="2" t="str">
        <f t="shared" si="129"/>
        <v>Error?</v>
      </c>
      <c r="E7858" s="4" t="s">
        <v>1995</v>
      </c>
    </row>
    <row r="7859" spans="1:5" x14ac:dyDescent="0.2">
      <c r="A7859">
        <v>7798</v>
      </c>
      <c r="B7859" s="1832">
        <f>'PCTC-OEPP 27-28'!F127</f>
        <v>0</v>
      </c>
      <c r="D7859" s="2" t="str">
        <f t="shared" si="129"/>
        <v>Error?</v>
      </c>
      <c r="E7859" s="4" t="s">
        <v>1995</v>
      </c>
    </row>
    <row r="7860" spans="1:5" x14ac:dyDescent="0.2">
      <c r="A7860">
        <v>7799</v>
      </c>
      <c r="B7860" s="1832">
        <f>'PCTC-OEPP 27-28'!F128</f>
        <v>0</v>
      </c>
      <c r="D7860" s="2" t="str">
        <f t="shared" si="129"/>
        <v>Error?</v>
      </c>
      <c r="E7860" s="4" t="s">
        <v>1995</v>
      </c>
    </row>
    <row r="7861" spans="1:5" x14ac:dyDescent="0.2">
      <c r="A7861">
        <v>7800</v>
      </c>
      <c r="B7861" s="1832">
        <f>'PCTC-OEPP 27-28'!F129</f>
        <v>1252267</v>
      </c>
      <c r="D7861" s="2" t="str">
        <f t="shared" si="129"/>
        <v>Error?</v>
      </c>
      <c r="E7861" s="4" t="s">
        <v>1995</v>
      </c>
    </row>
    <row r="7862" spans="1:5" x14ac:dyDescent="0.2">
      <c r="A7862">
        <v>7801</v>
      </c>
      <c r="B7862" s="1832">
        <f>'PCTC-OEPP 27-28'!F130</f>
        <v>0</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0</v>
      </c>
      <c r="D7865" s="2" t="str">
        <f t="shared" si="129"/>
        <v>Error?</v>
      </c>
      <c r="E7865" s="4" t="s">
        <v>1995</v>
      </c>
    </row>
    <row r="7866" spans="1:5" x14ac:dyDescent="0.2">
      <c r="A7866">
        <v>7805</v>
      </c>
      <c r="B7866" s="1832">
        <f>'PCTC-OEPP 27-28'!F158</f>
        <v>0</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0</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0</v>
      </c>
      <c r="D7871" s="2" t="str">
        <f t="shared" si="129"/>
        <v>Error?</v>
      </c>
      <c r="E7871" s="4" t="s">
        <v>1995</v>
      </c>
    </row>
    <row r="7872" spans="1:5" x14ac:dyDescent="0.2">
      <c r="A7872">
        <v>7811</v>
      </c>
      <c r="B7872" s="1832">
        <f>'PCTC-OEPP 27-28'!F165</f>
        <v>0</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58870</v>
      </c>
      <c r="D7874" s="2" t="str">
        <f t="shared" si="129"/>
        <v>Error?</v>
      </c>
      <c r="E7874" s="4" t="s">
        <v>1995</v>
      </c>
    </row>
    <row r="7875" spans="1:5" x14ac:dyDescent="0.2">
      <c r="A7875">
        <v>7814</v>
      </c>
      <c r="B7875" s="1832">
        <f>'PCTC-OEPP 27-28'!F170</f>
        <v>109908</v>
      </c>
      <c r="D7875" s="2" t="str">
        <f t="shared" si="129"/>
        <v>Error?</v>
      </c>
      <c r="E7875" s="4" t="s">
        <v>1995</v>
      </c>
    </row>
    <row r="7876" spans="1:5" x14ac:dyDescent="0.2">
      <c r="A7876">
        <v>7815</v>
      </c>
      <c r="B7876" s="1832">
        <f>'PCTC-OEPP 27-28'!F171</f>
        <v>82572</v>
      </c>
      <c r="D7876" s="2" t="str">
        <f t="shared" si="129"/>
        <v>Error?</v>
      </c>
      <c r="E7876" s="4" t="s">
        <v>1995</v>
      </c>
    </row>
    <row r="7877" spans="1:5" x14ac:dyDescent="0.2">
      <c r="A7877">
        <v>7816</v>
      </c>
      <c r="B7877" s="1832">
        <f>'PCTC-OEPP 27-28'!F175</f>
        <v>2791843</v>
      </c>
      <c r="D7877" s="2" t="str">
        <f t="shared" si="129"/>
        <v>Error?</v>
      </c>
      <c r="E7877" s="4" t="s">
        <v>1995</v>
      </c>
    </row>
    <row r="7878" spans="1:5" x14ac:dyDescent="0.2">
      <c r="A7878">
        <v>7817</v>
      </c>
      <c r="B7878" s="1832">
        <f>'PCTC-OEPP 27-28'!F176</f>
        <v>1545215</v>
      </c>
      <c r="D7878" s="2" t="str">
        <f t="shared" si="129"/>
        <v>Error?</v>
      </c>
      <c r="E7878" s="4" t="s">
        <v>1995</v>
      </c>
    </row>
    <row r="7879" spans="1:5" x14ac:dyDescent="0.2">
      <c r="A7879">
        <v>7818</v>
      </c>
      <c r="B7879" s="1832">
        <f>'PCTC-OEPP 27-28'!F178</f>
        <v>1591370</v>
      </c>
      <c r="D7879" s="2" t="str">
        <f t="shared" si="129"/>
        <v>Error?</v>
      </c>
      <c r="E7879" s="4" t="s">
        <v>1995</v>
      </c>
    </row>
    <row r="7880" spans="1:5" x14ac:dyDescent="0.2">
      <c r="A7880">
        <v>7819</v>
      </c>
      <c r="B7880" s="1832" t="e">
        <f>'PCTC-OEPP 27-28'!F180</f>
        <v>#DIV/0!</v>
      </c>
      <c r="D7880" s="2" t="e">
        <f t="shared" si="129"/>
        <v>#DIV/0!</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2" zoomScale="110" zoomScaleNormal="110" workbookViewId="0">
      <selection activeCell="B55" sqref="B55"/>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1181</v>
      </c>
      <c r="B2" s="2513"/>
      <c r="C2" s="2513"/>
      <c r="D2" s="2513"/>
      <c r="E2" s="2513"/>
      <c r="F2" s="2513"/>
      <c r="G2" s="2513"/>
      <c r="H2" s="2513"/>
      <c r="I2" s="2513"/>
      <c r="J2" s="2513"/>
      <c r="K2" s="2513"/>
      <c r="L2" s="2513"/>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6" t="str">
        <f>COVER!A17</f>
        <v xml:space="preserve">  Livingston Co Spec Services Unit</v>
      </c>
      <c r="B7" s="2537"/>
      <c r="C7" s="2537"/>
      <c r="D7" s="2538"/>
      <c r="E7" s="2539">
        <f>COVER!A13</f>
        <v>17053000061</v>
      </c>
      <c r="F7" s="2540"/>
      <c r="G7" s="2546" t="str">
        <f>COVER!T23</f>
        <v>066-005232</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19" t="str">
        <f>COVER!T13</f>
        <v>MCK, CPAs &amp; Advisors</v>
      </c>
      <c r="H9" s="2552"/>
      <c r="I9" s="2552"/>
      <c r="J9" s="2552"/>
      <c r="K9" s="2552"/>
      <c r="L9" s="2553"/>
    </row>
    <row r="10" spans="1:29" ht="13.5" customHeight="1" x14ac:dyDescent="0.2">
      <c r="A10" s="2525" t="str">
        <f>COVER!A38</f>
        <v>Joshua Olsen</v>
      </c>
      <c r="B10" s="2526"/>
      <c r="C10" s="2526"/>
      <c r="D10" s="2526"/>
      <c r="E10" s="2526"/>
      <c r="F10" s="2527"/>
      <c r="G10" s="2519" t="str">
        <f>COVER!T17</f>
        <v>207 W Jefferson St</v>
      </c>
      <c r="H10" s="2520"/>
      <c r="I10" s="2520"/>
      <c r="J10" s="2520"/>
      <c r="K10" s="2520"/>
      <c r="L10" s="2521"/>
    </row>
    <row r="11" spans="1:29" ht="13.5" customHeight="1" x14ac:dyDescent="0.2">
      <c r="A11" s="963" t="s">
        <v>1502</v>
      </c>
      <c r="B11" s="964"/>
      <c r="C11" s="965"/>
      <c r="D11" s="970"/>
      <c r="E11" s="965"/>
      <c r="F11" s="969"/>
      <c r="G11" s="2519" t="str">
        <f>COVER!T19</f>
        <v>Bloomington</v>
      </c>
      <c r="H11" s="2520"/>
      <c r="I11" s="2520"/>
      <c r="J11" s="2520"/>
      <c r="K11" s="2520"/>
      <c r="L11" s="2521"/>
    </row>
    <row r="12" spans="1:29" ht="13.5" customHeight="1" x14ac:dyDescent="0.2">
      <c r="A12" s="2528" t="s">
        <v>1501</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1503</v>
      </c>
      <c r="H13" s="2515"/>
      <c r="I13" s="2531" t="str">
        <f>COVER!T25</f>
        <v>dcarlson@mckcpa.com</v>
      </c>
      <c r="J13" s="2532"/>
      <c r="K13" s="2532"/>
      <c r="L13" s="2533"/>
    </row>
    <row r="14" spans="1:29" ht="13.5" customHeight="1" x14ac:dyDescent="0.2">
      <c r="A14" s="2519" t="str">
        <f>COVER!A19</f>
        <v>205 N Adams St</v>
      </c>
      <c r="B14" s="2520"/>
      <c r="C14" s="2520"/>
      <c r="D14" s="2520"/>
      <c r="E14" s="2520"/>
      <c r="F14" s="2521"/>
      <c r="G14" s="974" t="s">
        <v>1175</v>
      </c>
      <c r="H14" s="972"/>
      <c r="I14" s="972"/>
      <c r="J14" s="972"/>
      <c r="K14" s="972"/>
      <c r="L14" s="973"/>
    </row>
    <row r="15" spans="1:29" ht="13.5" customHeight="1" x14ac:dyDescent="0.2">
      <c r="A15" s="2519" t="str">
        <f>COVER!A21</f>
        <v>Flanagan</v>
      </c>
      <c r="B15" s="2520"/>
      <c r="C15" s="2520"/>
      <c r="D15" s="2520"/>
      <c r="E15" s="2520"/>
      <c r="F15" s="2521"/>
      <c r="G15" s="2516" t="str">
        <f>COVER!T15</f>
        <v>Dawn M Carlson</v>
      </c>
      <c r="H15" s="2517"/>
      <c r="I15" s="2517"/>
      <c r="J15" s="2517"/>
      <c r="K15" s="2517"/>
      <c r="L15" s="2518"/>
    </row>
    <row r="16" spans="1:29" ht="12.2" customHeight="1" x14ac:dyDescent="0.2">
      <c r="A16" s="2542">
        <f>COVER!A25</f>
        <v>61740</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1174</v>
      </c>
      <c r="H17" s="972"/>
      <c r="I17" s="972"/>
      <c r="J17" s="972"/>
      <c r="K17" s="976" t="s">
        <v>1173</v>
      </c>
      <c r="L17" s="969"/>
      <c r="M17" s="962"/>
    </row>
    <row r="18" spans="1:13" ht="12.2" customHeight="1" x14ac:dyDescent="0.2">
      <c r="A18" s="2525"/>
      <c r="B18" s="2526"/>
      <c r="C18" s="2526"/>
      <c r="D18" s="2526"/>
      <c r="E18" s="2526"/>
      <c r="F18" s="2527"/>
      <c r="G18" s="2536">
        <f>COVER!T21</f>
        <v>3098286071</v>
      </c>
      <c r="H18" s="2537"/>
      <c r="I18" s="2537"/>
      <c r="J18" s="2537"/>
      <c r="K18" s="2536">
        <f>COVER!X21</f>
        <v>3098272465</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2048</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2048</v>
      </c>
      <c r="C26" s="981" t="s">
        <v>1677</v>
      </c>
    </row>
    <row r="27" spans="1:13" s="977" customFormat="1" ht="9" customHeight="1" x14ac:dyDescent="0.2">
      <c r="B27" s="982"/>
      <c r="C27" s="981"/>
    </row>
    <row r="28" spans="1:13" s="977" customFormat="1" ht="12.2" customHeight="1" x14ac:dyDescent="0.2">
      <c r="A28" s="984"/>
      <c r="B28" s="980" t="s">
        <v>2048</v>
      </c>
      <c r="C28" s="981" t="s">
        <v>1678</v>
      </c>
    </row>
    <row r="29" spans="1:13" s="977" customFormat="1" ht="9" customHeight="1" x14ac:dyDescent="0.2">
      <c r="A29" s="984"/>
      <c r="B29" s="982"/>
      <c r="C29" s="981"/>
    </row>
    <row r="30" spans="1:13" s="977" customFormat="1" ht="12.2" customHeight="1" x14ac:dyDescent="0.2">
      <c r="B30" s="980" t="s">
        <v>2048</v>
      </c>
      <c r="C30" s="981" t="s">
        <v>1545</v>
      </c>
      <c r="D30" s="975"/>
      <c r="E30" s="975"/>
    </row>
    <row r="31" spans="1:13" s="977" customFormat="1" ht="9" customHeight="1" x14ac:dyDescent="0.2">
      <c r="B31" s="982"/>
      <c r="C31" s="981"/>
      <c r="D31" s="975"/>
      <c r="E31" s="975"/>
    </row>
    <row r="32" spans="1:13" s="977" customFormat="1" ht="12.2" customHeight="1" x14ac:dyDescent="0.2">
      <c r="B32" s="980" t="s">
        <v>2048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2048</v>
      </c>
      <c r="C38" s="981" t="s">
        <v>1549</v>
      </c>
    </row>
    <row r="39" spans="1:8" ht="9" customHeight="1" x14ac:dyDescent="0.2">
      <c r="B39" s="982"/>
      <c r="C39" s="985"/>
    </row>
    <row r="40" spans="1:8" s="977" customFormat="1" ht="13.5" customHeight="1" x14ac:dyDescent="0.2">
      <c r="B40" s="980" t="s">
        <v>2048</v>
      </c>
      <c r="C40" s="981" t="s">
        <v>1550</v>
      </c>
    </row>
    <row r="41" spans="1:8" ht="9" customHeight="1" x14ac:dyDescent="0.2">
      <c r="A41" s="986"/>
      <c r="B41" s="982"/>
      <c r="C41" s="985"/>
    </row>
    <row r="42" spans="1:8" s="977" customFormat="1" ht="13.5" customHeight="1" x14ac:dyDescent="0.2">
      <c r="B42" s="980" t="s">
        <v>2048</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79"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Livingston Co Spec Services Unit</v>
      </c>
      <c r="B1" s="2559"/>
      <c r="C1" s="2559"/>
      <c r="D1" s="2559"/>
    </row>
    <row r="2" spans="1:11" s="991" customFormat="1" ht="12.75" x14ac:dyDescent="0.2">
      <c r="A2" s="2560">
        <f>'Single Audit Cover'!E7</f>
        <v>17053000061</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29" sqref="D2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Livingston Co Spec Services Unit</v>
      </c>
      <c r="B1" s="2563"/>
      <c r="C1" s="2563"/>
      <c r="D1" s="2563"/>
      <c r="E1" s="2563"/>
    </row>
    <row r="2" spans="1:5" x14ac:dyDescent="0.2">
      <c r="A2" s="2564">
        <f>'Single Audit Cover'!E7</f>
        <v>17053000061</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1574996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0</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-109908</v>
      </c>
    </row>
    <row r="19" spans="1:4" ht="13.5" thickBot="1" x14ac:dyDescent="0.25">
      <c r="A19" s="1041" t="s">
        <v>1224</v>
      </c>
      <c r="D19" s="1042">
        <f>SUM(D10:D17)</f>
        <v>1465088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t="s">
        <v>2121</v>
      </c>
      <c r="B24" s="2565"/>
      <c r="D24" s="1044"/>
    </row>
    <row r="25" spans="1:4" x14ac:dyDescent="0.2">
      <c r="A25" s="2562" t="s">
        <v>2122</v>
      </c>
      <c r="B25" s="2562"/>
      <c r="D25" s="1044"/>
    </row>
    <row r="26" spans="1:4" x14ac:dyDescent="0.2">
      <c r="A26" s="2562" t="s">
        <v>2119</v>
      </c>
      <c r="B26" s="2562"/>
      <c r="D26" s="1044">
        <v>-25481</v>
      </c>
    </row>
    <row r="27" spans="1:4" x14ac:dyDescent="0.2">
      <c r="A27" s="2562" t="s">
        <v>2120</v>
      </c>
      <c r="B27" s="2562"/>
      <c r="D27" s="1044">
        <v>-72797</v>
      </c>
    </row>
    <row r="28" spans="1:4" x14ac:dyDescent="0.2">
      <c r="A28" s="2562" t="s">
        <v>2123</v>
      </c>
      <c r="B28" s="2562"/>
      <c r="D28" s="1044">
        <v>-4000</v>
      </c>
    </row>
    <row r="29" spans="1:4" x14ac:dyDescent="0.2">
      <c r="A29" s="2562"/>
      <c r="B29" s="2562"/>
      <c r="D29" s="1044"/>
    </row>
    <row r="30" spans="1:4" x14ac:dyDescent="0.2">
      <c r="A30" s="2562"/>
      <c r="B30" s="2562"/>
      <c r="D30" s="1044"/>
    </row>
    <row r="32" spans="1:4" x14ac:dyDescent="0.2">
      <c r="A32" s="1036" t="s">
        <v>1222</v>
      </c>
      <c r="D32" s="1039">
        <f>SUM(D19:D30)</f>
        <v>1362810</v>
      </c>
    </row>
    <row r="33" spans="1:4" x14ac:dyDescent="0.2">
      <c r="D33" s="1045"/>
    </row>
    <row r="34" spans="1:4" x14ac:dyDescent="0.2">
      <c r="A34" s="295" t="s">
        <v>1221</v>
      </c>
    </row>
    <row r="35" spans="1:4" x14ac:dyDescent="0.2">
      <c r="A35" s="295" t="s">
        <v>1220</v>
      </c>
      <c r="B35" s="1034" t="s">
        <v>1219</v>
      </c>
      <c r="D35" s="1046">
        <v>1517923</v>
      </c>
    </row>
    <row r="37" spans="1:4" x14ac:dyDescent="0.2">
      <c r="A37" s="1036" t="s">
        <v>1218</v>
      </c>
    </row>
    <row r="39" spans="1:4" ht="13.35" customHeight="1" x14ac:dyDescent="0.2">
      <c r="A39" s="1043" t="s">
        <v>1217</v>
      </c>
    </row>
    <row r="40" spans="1:4" x14ac:dyDescent="0.2">
      <c r="A40" s="2562" t="s">
        <v>2117</v>
      </c>
      <c r="B40" s="2562"/>
      <c r="D40" s="1044"/>
    </row>
    <row r="41" spans="1:4" x14ac:dyDescent="0.2">
      <c r="A41" s="2562" t="s">
        <v>2118</v>
      </c>
      <c r="B41" s="2562"/>
      <c r="D41" s="1047"/>
    </row>
    <row r="42" spans="1:4" x14ac:dyDescent="0.2">
      <c r="A42" s="2562" t="s">
        <v>2119</v>
      </c>
      <c r="B42" s="2562"/>
      <c r="D42" s="1047">
        <v>-5398</v>
      </c>
    </row>
    <row r="43" spans="1:4" x14ac:dyDescent="0.2">
      <c r="A43" s="2562" t="s">
        <v>2120</v>
      </c>
      <c r="B43" s="2562"/>
      <c r="D43" s="1047">
        <v>-149715</v>
      </c>
    </row>
    <row r="44" spans="1:4" x14ac:dyDescent="0.2">
      <c r="A44" s="2562"/>
      <c r="B44" s="2562"/>
      <c r="D44" s="1047"/>
    </row>
    <row r="45" spans="1:4" x14ac:dyDescent="0.2">
      <c r="A45" s="2562"/>
      <c r="B45" s="2562"/>
      <c r="D45" s="1047"/>
    </row>
    <row r="47" spans="1:4" x14ac:dyDescent="0.2">
      <c r="B47" s="1048" t="s">
        <v>1216</v>
      </c>
      <c r="C47" s="1048"/>
      <c r="D47" s="1049">
        <f>SUM(D35:D45)</f>
        <v>1362810</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25" zoomScaleNormal="100" workbookViewId="0">
      <selection activeCell="F20" sqref="F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Livingston Co Spec Services Unit</v>
      </c>
      <c r="C1" s="2567"/>
      <c r="D1" s="2567"/>
      <c r="E1" s="2567"/>
      <c r="F1" s="2567"/>
      <c r="G1" s="2567"/>
      <c r="H1" s="2567"/>
      <c r="I1" s="2567"/>
      <c r="J1" s="2567"/>
      <c r="K1" s="2567"/>
      <c r="L1" s="2567"/>
      <c r="M1" s="2567"/>
    </row>
    <row r="2" spans="2:14" ht="15" x14ac:dyDescent="0.2">
      <c r="B2" s="2568">
        <f>'Single Audit Cover'!E7</f>
        <v>17053000061</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1254</v>
      </c>
      <c r="E6" s="1082" t="s">
        <v>524</v>
      </c>
      <c r="F6" s="1083"/>
      <c r="G6" s="1084" t="s">
        <v>1708</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2068</v>
      </c>
      <c r="C11" s="1821"/>
      <c r="D11" s="1822"/>
      <c r="E11" s="1823"/>
      <c r="F11" s="1823"/>
      <c r="G11" s="1823"/>
      <c r="H11" s="1823"/>
      <c r="I11" s="1823"/>
      <c r="J11" s="1823"/>
      <c r="K11" s="1823"/>
      <c r="L11" s="1823">
        <f>+G11+I11+K11</f>
        <v>0</v>
      </c>
      <c r="M11" s="1823"/>
    </row>
    <row r="12" spans="2:14" ht="20.100000000000001" customHeight="1" x14ac:dyDescent="0.2">
      <c r="B12" s="1113" t="s">
        <v>2071</v>
      </c>
      <c r="C12" s="1824"/>
      <c r="D12" s="1825"/>
      <c r="E12" s="1826"/>
      <c r="F12" s="1826"/>
      <c r="G12" s="1826"/>
      <c r="H12" s="1826"/>
      <c r="I12" s="1826"/>
      <c r="J12" s="1826"/>
      <c r="K12" s="1826"/>
      <c r="L12" s="1823">
        <f t="shared" ref="L12:L27" si="0">+G12+I12+K12</f>
        <v>0</v>
      </c>
      <c r="M12" s="1826"/>
    </row>
    <row r="13" spans="2:14" ht="20.100000000000001" customHeight="1" x14ac:dyDescent="0.2">
      <c r="B13" s="1113" t="s">
        <v>1049</v>
      </c>
      <c r="C13" s="1824">
        <v>10.555</v>
      </c>
      <c r="D13" s="1825" t="s">
        <v>2077</v>
      </c>
      <c r="E13" s="1826">
        <v>10353</v>
      </c>
      <c r="F13" s="1826"/>
      <c r="G13" s="1826">
        <v>10353</v>
      </c>
      <c r="H13" s="1826"/>
      <c r="I13" s="1826"/>
      <c r="J13" s="1826"/>
      <c r="K13" s="1826"/>
      <c r="L13" s="1823">
        <f t="shared" si="0"/>
        <v>10353</v>
      </c>
      <c r="M13" s="1826">
        <v>10000</v>
      </c>
    </row>
    <row r="14" spans="2:14" ht="20.100000000000001" customHeight="1" x14ac:dyDescent="0.2">
      <c r="B14" s="1113" t="s">
        <v>1050</v>
      </c>
      <c r="C14" s="1824">
        <v>10.553000000000001</v>
      </c>
      <c r="D14" s="1825" t="s">
        <v>2078</v>
      </c>
      <c r="E14" s="1826">
        <v>6125</v>
      </c>
      <c r="F14" s="1826"/>
      <c r="G14" s="1826">
        <v>6125</v>
      </c>
      <c r="H14" s="1826"/>
      <c r="I14" s="1826"/>
      <c r="J14" s="1826"/>
      <c r="K14" s="1826"/>
      <c r="L14" s="1823">
        <f t="shared" si="0"/>
        <v>6125</v>
      </c>
      <c r="M14" s="1826">
        <v>70000</v>
      </c>
    </row>
    <row r="15" spans="2:14" ht="20.100000000000001" customHeight="1" x14ac:dyDescent="0.2">
      <c r="B15" s="1113" t="s">
        <v>2069</v>
      </c>
      <c r="C15" s="1824"/>
      <c r="D15" s="1825"/>
      <c r="E15" s="1826">
        <f>SUM(E12:E14)</f>
        <v>16478</v>
      </c>
      <c r="F15" s="1826"/>
      <c r="G15" s="1826">
        <f>SUM(G12:G14)</f>
        <v>16478</v>
      </c>
      <c r="H15" s="1826"/>
      <c r="I15" s="1826"/>
      <c r="J15" s="1826"/>
      <c r="K15" s="1826"/>
      <c r="L15" s="1823">
        <f t="shared" si="0"/>
        <v>16478</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t="s">
        <v>2070</v>
      </c>
      <c r="C17" s="1824"/>
      <c r="D17" s="1825"/>
      <c r="E17" s="1826"/>
      <c r="F17" s="1826"/>
      <c r="G17" s="1826"/>
      <c r="H17" s="1826"/>
      <c r="I17" s="1826"/>
      <c r="J17" s="1826"/>
      <c r="K17" s="1826"/>
      <c r="L17" s="1823">
        <f t="shared" si="0"/>
        <v>0</v>
      </c>
      <c r="M17" s="1826"/>
    </row>
    <row r="18" spans="2:14" ht="20.100000000000001" customHeight="1" x14ac:dyDescent="0.2">
      <c r="B18" s="1113" t="s">
        <v>2071</v>
      </c>
      <c r="C18" s="1824"/>
      <c r="D18" s="1825"/>
      <c r="E18" s="1826"/>
      <c r="F18" s="1826"/>
      <c r="G18" s="1826"/>
      <c r="H18" s="1826"/>
      <c r="I18" s="1826"/>
      <c r="J18" s="1826"/>
      <c r="K18" s="1826"/>
      <c r="L18" s="1823">
        <f t="shared" si="0"/>
        <v>0</v>
      </c>
      <c r="M18" s="1826"/>
    </row>
    <row r="19" spans="2:14" ht="20.100000000000001" customHeight="1" x14ac:dyDescent="0.2">
      <c r="B19" s="1113" t="s">
        <v>2072</v>
      </c>
      <c r="C19" s="1824">
        <v>93.126000000000005</v>
      </c>
      <c r="D19" s="1825">
        <v>2020</v>
      </c>
      <c r="E19" s="1826"/>
      <c r="F19" s="1826">
        <v>78572</v>
      </c>
      <c r="G19" s="1826"/>
      <c r="H19" s="1826"/>
      <c r="I19" s="1826">
        <v>60671</v>
      </c>
      <c r="J19" s="1826"/>
      <c r="K19" s="1826"/>
      <c r="L19" s="1823">
        <f t="shared" si="0"/>
        <v>60671</v>
      </c>
      <c r="M19" s="1826">
        <v>62849</v>
      </c>
    </row>
    <row r="20" spans="2:14" ht="20.100000000000001" customHeight="1" x14ac:dyDescent="0.2">
      <c r="B20" s="1113" t="s">
        <v>2072</v>
      </c>
      <c r="C20" s="1824">
        <v>93.126000000000005</v>
      </c>
      <c r="D20" s="1825">
        <v>2019</v>
      </c>
      <c r="E20" s="1826">
        <v>67242</v>
      </c>
      <c r="F20" s="1826"/>
      <c r="G20" s="1826">
        <v>28901</v>
      </c>
      <c r="H20" s="1826"/>
      <c r="I20" s="1826">
        <v>38341</v>
      </c>
      <c r="J20" s="1826"/>
      <c r="K20" s="1826"/>
      <c r="L20" s="1823">
        <f t="shared" si="0"/>
        <v>67242</v>
      </c>
      <c r="M20" s="1826">
        <v>62849</v>
      </c>
    </row>
    <row r="21" spans="2:14" ht="20.100000000000001" customHeight="1" x14ac:dyDescent="0.2">
      <c r="B21" s="1113" t="s">
        <v>2073</v>
      </c>
      <c r="C21" s="1824"/>
      <c r="D21" s="1825"/>
      <c r="E21" s="1826">
        <f>SUM(E18:E20)</f>
        <v>67242</v>
      </c>
      <c r="F21" s="1826">
        <f>SUM(F18:F20)</f>
        <v>78572</v>
      </c>
      <c r="G21" s="1826">
        <f>SUM(G18:G20)</f>
        <v>28901</v>
      </c>
      <c r="H21" s="1826"/>
      <c r="I21" s="1826">
        <f>SUM(I18:I20)</f>
        <v>99012</v>
      </c>
      <c r="J21" s="1826"/>
      <c r="K21" s="1826"/>
      <c r="L21" s="1823">
        <f t="shared" si="0"/>
        <v>127913</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t="s">
        <v>2074</v>
      </c>
      <c r="C23" s="1824"/>
      <c r="D23" s="1825"/>
      <c r="E23" s="1826"/>
      <c r="F23" s="1826"/>
      <c r="G23" s="1826"/>
      <c r="H23" s="1826"/>
      <c r="I23" s="1826"/>
      <c r="J23" s="1826"/>
      <c r="K23" s="1826"/>
      <c r="L23" s="1823">
        <f t="shared" si="0"/>
        <v>0</v>
      </c>
      <c r="M23" s="1826"/>
    </row>
    <row r="24" spans="2:14" ht="20.100000000000001" customHeight="1" x14ac:dyDescent="0.2">
      <c r="B24" s="1113" t="s">
        <v>2075</v>
      </c>
      <c r="C24" s="1824">
        <v>93.778000000000006</v>
      </c>
      <c r="D24" s="1825" t="s">
        <v>2079</v>
      </c>
      <c r="E24" s="1826"/>
      <c r="F24" s="1826">
        <v>58870</v>
      </c>
      <c r="G24" s="1826"/>
      <c r="H24" s="1826"/>
      <c r="I24" s="1826">
        <v>44120</v>
      </c>
      <c r="J24" s="1826"/>
      <c r="K24" s="1826"/>
      <c r="L24" s="1823">
        <f t="shared" si="0"/>
        <v>44120</v>
      </c>
      <c r="M24" s="1826">
        <v>130000</v>
      </c>
    </row>
    <row r="25" spans="2:14" ht="20.100000000000001" customHeight="1" x14ac:dyDescent="0.2">
      <c r="B25" s="1113" t="s">
        <v>2075</v>
      </c>
      <c r="C25" s="1824">
        <v>93.778000000000006</v>
      </c>
      <c r="D25" s="1825" t="s">
        <v>2080</v>
      </c>
      <c r="E25" s="1826">
        <v>63821</v>
      </c>
      <c r="F25" s="1826"/>
      <c r="G25" s="1826">
        <v>64484</v>
      </c>
      <c r="H25" s="1826"/>
      <c r="I25" s="1826"/>
      <c r="J25" s="1826"/>
      <c r="K25" s="1826"/>
      <c r="L25" s="1823">
        <f t="shared" si="0"/>
        <v>64484</v>
      </c>
      <c r="M25" s="1826">
        <v>210000</v>
      </c>
    </row>
    <row r="26" spans="2:14" ht="20.100000000000001" customHeight="1" x14ac:dyDescent="0.2">
      <c r="B26" s="1113" t="s">
        <v>2076</v>
      </c>
      <c r="C26" s="1824"/>
      <c r="D26" s="1825"/>
      <c r="E26" s="1826">
        <f>SUM(E23:E25)</f>
        <v>63821</v>
      </c>
      <c r="F26" s="1826">
        <f>SUM(F23:F25)</f>
        <v>58870</v>
      </c>
      <c r="G26" s="1826">
        <f>SUM(G23:G25)</f>
        <v>64484</v>
      </c>
      <c r="H26" s="1826"/>
      <c r="I26" s="1826">
        <f>SUM(I23:I25)</f>
        <v>44120</v>
      </c>
      <c r="J26" s="1826"/>
      <c r="K26" s="1826"/>
      <c r="L26" s="1823">
        <f t="shared" si="0"/>
        <v>108604</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N152"/>
  <sheetViews>
    <sheetView showGridLines="0" topLeftCell="A13" zoomScaleNormal="100" workbookViewId="0">
      <selection activeCell="F21" sqref="F2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Livingston Co Spec Services Unit</v>
      </c>
      <c r="C1" s="2567"/>
      <c r="D1" s="2567"/>
      <c r="E1" s="2567"/>
      <c r="F1" s="2567"/>
      <c r="G1" s="2567"/>
      <c r="H1" s="2567"/>
      <c r="I1" s="2567"/>
      <c r="J1" s="2567"/>
      <c r="K1" s="2567"/>
      <c r="L1" s="2567"/>
      <c r="M1" s="2567"/>
    </row>
    <row r="2" spans="2:14" ht="15" x14ac:dyDescent="0.2">
      <c r="B2" s="2568">
        <f>'Single Audit Cover'!E7</f>
        <v>17053000061</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1254</v>
      </c>
      <c r="E6" s="1082" t="s">
        <v>524</v>
      </c>
      <c r="F6" s="1083"/>
      <c r="G6" s="1084" t="s">
        <v>1708</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2081</v>
      </c>
      <c r="C11" s="1821"/>
      <c r="D11" s="1822"/>
      <c r="E11" s="1823"/>
      <c r="F11" s="1823"/>
      <c r="G11" s="1823"/>
      <c r="H11" s="1823"/>
      <c r="I11" s="1823"/>
      <c r="J11" s="1823"/>
      <c r="K11" s="1823"/>
      <c r="L11" s="1823"/>
      <c r="M11" s="1823"/>
    </row>
    <row r="12" spans="2:14" ht="20.100000000000001" customHeight="1" x14ac:dyDescent="0.2">
      <c r="B12" s="1113" t="s">
        <v>2071</v>
      </c>
      <c r="C12" s="1824"/>
      <c r="D12" s="1825"/>
      <c r="E12" s="1826"/>
      <c r="F12" s="1826"/>
      <c r="G12" s="1826"/>
      <c r="H12" s="1826"/>
      <c r="I12" s="1826"/>
      <c r="J12" s="1826"/>
      <c r="K12" s="1826"/>
      <c r="L12" s="1823"/>
      <c r="M12" s="1826"/>
    </row>
    <row r="13" spans="2:14" ht="20.100000000000001" customHeight="1" x14ac:dyDescent="0.2">
      <c r="B13" s="1113" t="s">
        <v>2082</v>
      </c>
      <c r="C13" s="1824">
        <v>84.173000000000002</v>
      </c>
      <c r="D13" s="1825" t="s">
        <v>2083</v>
      </c>
      <c r="E13" s="1826"/>
      <c r="F13" s="1826">
        <v>45898</v>
      </c>
      <c r="G13" s="1826"/>
      <c r="H13" s="1826"/>
      <c r="I13" s="1826">
        <v>71379</v>
      </c>
      <c r="J13" s="1826"/>
      <c r="K13" s="1826"/>
      <c r="L13" s="1823">
        <f t="shared" ref="L13:L18" si="0">+G13+I13+K13</f>
        <v>71379</v>
      </c>
      <c r="M13" s="1826">
        <v>66228</v>
      </c>
    </row>
    <row r="14" spans="2:14" ht="20.100000000000001" customHeight="1" x14ac:dyDescent="0.2">
      <c r="B14" s="1113" t="s">
        <v>2082</v>
      </c>
      <c r="C14" s="1824">
        <v>84.173000000000002</v>
      </c>
      <c r="D14" s="1825" t="s">
        <v>2084</v>
      </c>
      <c r="E14" s="1826">
        <v>62410</v>
      </c>
      <c r="F14" s="1826">
        <v>5398</v>
      </c>
      <c r="G14" s="1826">
        <v>67808</v>
      </c>
      <c r="H14" s="1826"/>
      <c r="I14" s="1826"/>
      <c r="J14" s="1826"/>
      <c r="K14" s="1826"/>
      <c r="L14" s="1823">
        <f t="shared" si="0"/>
        <v>67808</v>
      </c>
      <c r="M14" s="1826">
        <v>74462</v>
      </c>
    </row>
    <row r="15" spans="2:14" ht="20.100000000000001" customHeight="1" x14ac:dyDescent="0.2">
      <c r="B15" s="1113"/>
      <c r="C15" s="1824"/>
      <c r="D15" s="1825"/>
      <c r="E15" s="1826"/>
      <c r="F15" s="1826"/>
      <c r="G15" s="1826"/>
      <c r="H15" s="1826"/>
      <c r="I15" s="1826"/>
      <c r="J15" s="1826"/>
      <c r="K15" s="1826"/>
      <c r="L15" s="1823"/>
      <c r="M15" s="1826"/>
    </row>
    <row r="16" spans="2:14" ht="20.100000000000001" customHeight="1" x14ac:dyDescent="0.2">
      <c r="B16" s="1113"/>
      <c r="C16" s="1824"/>
      <c r="D16" s="1825"/>
      <c r="E16" s="1826"/>
      <c r="F16" s="1826"/>
      <c r="G16" s="1826"/>
      <c r="H16" s="1826"/>
      <c r="I16" s="1826"/>
      <c r="J16" s="1826"/>
      <c r="K16" s="1826"/>
      <c r="L16" s="1823"/>
      <c r="M16" s="1826"/>
    </row>
    <row r="17" spans="2:14" ht="20.100000000000001" customHeight="1" x14ac:dyDescent="0.2">
      <c r="B17" s="1113" t="s">
        <v>2085</v>
      </c>
      <c r="C17" s="1824">
        <v>84.027000000000001</v>
      </c>
      <c r="D17" s="1825" t="s">
        <v>2086</v>
      </c>
      <c r="E17" s="1826"/>
      <c r="F17" s="1826">
        <v>1179470</v>
      </c>
      <c r="G17" s="1826"/>
      <c r="H17" s="1826"/>
      <c r="I17" s="1826">
        <v>1254367</v>
      </c>
      <c r="J17" s="1826">
        <v>280000</v>
      </c>
      <c r="K17" s="1826"/>
      <c r="L17" s="1823">
        <f t="shared" si="0"/>
        <v>1254367</v>
      </c>
      <c r="M17" s="1826">
        <v>1188252</v>
      </c>
    </row>
    <row r="18" spans="2:14" ht="20.100000000000001" customHeight="1" x14ac:dyDescent="0.2">
      <c r="B18" s="1113" t="s">
        <v>2085</v>
      </c>
      <c r="C18" s="1824">
        <v>84.027000000000001</v>
      </c>
      <c r="D18" s="1825" t="s">
        <v>2087</v>
      </c>
      <c r="E18" s="1826">
        <v>1160913</v>
      </c>
      <c r="F18" s="1826">
        <v>149715</v>
      </c>
      <c r="G18" s="1826">
        <v>1310628</v>
      </c>
      <c r="H18" s="1826">
        <v>280000</v>
      </c>
      <c r="I18" s="1826"/>
      <c r="J18" s="1826"/>
      <c r="K18" s="1826"/>
      <c r="L18" s="1823">
        <f t="shared" si="0"/>
        <v>1310628</v>
      </c>
      <c r="M18" s="1826">
        <v>1312891</v>
      </c>
    </row>
    <row r="19" spans="2:14" ht="20.100000000000001" customHeight="1" x14ac:dyDescent="0.2">
      <c r="B19" s="1113" t="s">
        <v>2088</v>
      </c>
      <c r="C19" s="1824"/>
      <c r="D19" s="1825"/>
      <c r="E19" s="1826">
        <f t="shared" ref="E19:J19" si="1">SUM(E12:E18)</f>
        <v>1223323</v>
      </c>
      <c r="F19" s="1826">
        <f t="shared" si="1"/>
        <v>1380481</v>
      </c>
      <c r="G19" s="1826">
        <f t="shared" si="1"/>
        <v>1378436</v>
      </c>
      <c r="H19" s="1826">
        <f t="shared" si="1"/>
        <v>280000</v>
      </c>
      <c r="I19" s="1826">
        <f t="shared" si="1"/>
        <v>1325746</v>
      </c>
      <c r="J19" s="1826">
        <f t="shared" si="1"/>
        <v>280000</v>
      </c>
      <c r="K19" s="1826"/>
      <c r="L19" s="1823">
        <f>+G19+I19+K19</f>
        <v>2704182</v>
      </c>
      <c r="M19" s="1826"/>
    </row>
    <row r="20" spans="2:14" ht="20.100000000000001" customHeight="1" x14ac:dyDescent="0.2">
      <c r="B20" s="1113"/>
      <c r="C20" s="1824"/>
      <c r="D20" s="1825"/>
      <c r="E20" s="1826"/>
      <c r="F20" s="1826"/>
      <c r="G20" s="1826"/>
      <c r="H20" s="1826"/>
      <c r="I20" s="1826"/>
      <c r="J20" s="1826"/>
      <c r="K20" s="1826"/>
      <c r="L20" s="1823"/>
      <c r="M20" s="1826"/>
    </row>
    <row r="21" spans="2:14" ht="20.100000000000001" customHeight="1" x14ac:dyDescent="0.2">
      <c r="B21" s="1113" t="s">
        <v>2089</v>
      </c>
      <c r="C21" s="1824"/>
      <c r="D21" s="1825"/>
      <c r="E21" s="1826">
        <f>E19+' SEFA'!E26+' SEFA'!E21+' SEFA'!E15</f>
        <v>1370864</v>
      </c>
      <c r="F21" s="1826">
        <f>F19+' SEFA'!F26+' SEFA'!F21+' SEFA'!F15</f>
        <v>1517923</v>
      </c>
      <c r="G21" s="1826">
        <f>G19+' SEFA'!G26+' SEFA'!G21+' SEFA'!G15</f>
        <v>1488299</v>
      </c>
      <c r="H21" s="1826">
        <f>H19+' SEFA'!H26+' SEFA'!H21+' SEFA'!H15</f>
        <v>280000</v>
      </c>
      <c r="I21" s="1826">
        <f>I19+' SEFA'!I26+' SEFA'!I21+' SEFA'!I15</f>
        <v>1468878</v>
      </c>
      <c r="J21" s="1826">
        <f>J19+' SEFA'!J26+' SEFA'!J21+' SEFA'!J15</f>
        <v>280000</v>
      </c>
      <c r="K21" s="1826"/>
      <c r="L21" s="1823">
        <f>+G21+I21+K21</f>
        <v>2957177</v>
      </c>
      <c r="M21" s="1826"/>
    </row>
    <row r="22" spans="2:14" ht="20.100000000000001" customHeight="1" x14ac:dyDescent="0.2">
      <c r="B22" s="1113"/>
      <c r="C22" s="1824"/>
      <c r="D22" s="1825"/>
      <c r="E22" s="1826"/>
      <c r="F22" s="1826"/>
      <c r="G22" s="1826"/>
      <c r="H22" s="1826"/>
      <c r="I22" s="1826"/>
      <c r="J22" s="1826"/>
      <c r="K22" s="1826"/>
      <c r="L22" s="1823"/>
      <c r="M22" s="1826"/>
    </row>
    <row r="23" spans="2:14" ht="20.100000000000001" customHeight="1" x14ac:dyDescent="0.2">
      <c r="B23" s="1113"/>
      <c r="C23" s="1824"/>
      <c r="D23" s="1825"/>
      <c r="E23" s="1826"/>
      <c r="F23" s="1826"/>
      <c r="G23" s="1826"/>
      <c r="H23" s="1826"/>
      <c r="I23" s="1826"/>
      <c r="J23" s="1826"/>
      <c r="K23" s="1826"/>
      <c r="L23" s="1823"/>
      <c r="M23" s="1826"/>
    </row>
    <row r="24" spans="2:14" ht="20.100000000000001" customHeight="1" x14ac:dyDescent="0.2">
      <c r="B24" s="1113"/>
      <c r="C24" s="1824"/>
      <c r="D24" s="1825"/>
      <c r="E24" s="1826"/>
      <c r="F24" s="1826"/>
      <c r="G24" s="1826"/>
      <c r="H24" s="1826"/>
      <c r="I24" s="1826"/>
      <c r="J24" s="1826"/>
      <c r="K24" s="1826"/>
      <c r="L24" s="1823"/>
      <c r="M24" s="1826"/>
    </row>
    <row r="25" spans="2:14" ht="20.100000000000001" customHeight="1" x14ac:dyDescent="0.2">
      <c r="B25" s="1113"/>
      <c r="C25" s="1824"/>
      <c r="D25" s="1825"/>
      <c r="E25" s="1826"/>
      <c r="F25" s="1826"/>
      <c r="G25" s="1826"/>
      <c r="H25" s="1826"/>
      <c r="I25" s="1826"/>
      <c r="J25" s="1826"/>
      <c r="K25" s="1826"/>
      <c r="L25" s="1823"/>
      <c r="M25" s="1826"/>
    </row>
    <row r="26" spans="2:14" ht="20.100000000000001" customHeight="1" x14ac:dyDescent="0.2">
      <c r="B26" s="1113"/>
      <c r="C26" s="1824"/>
      <c r="D26" s="1825"/>
      <c r="E26" s="1826"/>
      <c r="F26" s="1826"/>
      <c r="G26" s="1826"/>
      <c r="H26" s="1826"/>
      <c r="I26" s="1826"/>
      <c r="J26" s="1826"/>
      <c r="K26" s="1826"/>
      <c r="L26" s="1823"/>
      <c r="M26" s="1826"/>
    </row>
    <row r="27" spans="2:14" ht="20.100000000000001" customHeight="1" x14ac:dyDescent="0.2">
      <c r="B27" s="1113"/>
      <c r="C27" s="1824"/>
      <c r="D27" s="1825"/>
      <c r="E27" s="1826"/>
      <c r="F27" s="1826"/>
      <c r="G27" s="1826"/>
      <c r="H27" s="1826"/>
      <c r="I27" s="1826"/>
      <c r="J27" s="1826"/>
      <c r="K27" s="1826"/>
      <c r="L27" s="1823"/>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zoomScale="120" zoomScaleNormal="120" workbookViewId="0">
      <selection activeCell="A14" sqref="A1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Livingston Co Spec Services Unit</v>
      </c>
      <c r="B1" s="2580"/>
      <c r="C1" s="2580"/>
      <c r="D1" s="2580"/>
      <c r="E1" s="2580"/>
      <c r="F1" s="2580"/>
    </row>
    <row r="2" spans="1:7" ht="13.5" customHeight="1" x14ac:dyDescent="0.2">
      <c r="A2" s="2568">
        <f>'Single Audit Cover'!E7</f>
        <v>17053000061</v>
      </c>
      <c r="B2" s="2568"/>
      <c r="C2" s="2568"/>
      <c r="D2" s="2568"/>
      <c r="E2" s="2568"/>
      <c r="F2" s="2568"/>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2124</v>
      </c>
      <c r="B7" s="2579"/>
      <c r="C7" s="2579"/>
      <c r="D7" s="2579"/>
      <c r="E7" s="2579"/>
      <c r="F7" s="257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2090</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2127</v>
      </c>
      <c r="B13" s="2579"/>
      <c r="C13" s="2579"/>
      <c r="D13" s="2579"/>
      <c r="E13" s="2579"/>
      <c r="F13" s="2579"/>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t="s">
        <v>2091</v>
      </c>
      <c r="C17" s="1061" t="s">
        <v>2092</v>
      </c>
      <c r="D17" s="2572">
        <v>250000</v>
      </c>
      <c r="E17" s="2572"/>
      <c r="F17" s="2572"/>
    </row>
    <row r="18" spans="1:6" ht="20.65" customHeight="1" x14ac:dyDescent="0.2">
      <c r="A18" s="1059"/>
      <c r="B18" s="1060" t="s">
        <v>2093</v>
      </c>
      <c r="C18" s="1061" t="s">
        <v>2092</v>
      </c>
      <c r="D18" s="2572">
        <v>30000</v>
      </c>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3" t="s">
        <v>2125</v>
      </c>
      <c r="B32" s="2573"/>
      <c r="C32" s="2573"/>
      <c r="D32" s="2573"/>
      <c r="E32" s="2573"/>
      <c r="F32" s="2573"/>
    </row>
    <row r="33" spans="1:6" ht="13.5" customHeight="1" x14ac:dyDescent="0.2">
      <c r="A33" s="306" t="s">
        <v>1417</v>
      </c>
      <c r="B33" s="306"/>
      <c r="C33" s="1064">
        <v>0</v>
      </c>
      <c r="D33" s="1526"/>
      <c r="E33" s="1062"/>
    </row>
    <row r="34" spans="1:6" ht="13.5" customHeight="1" x14ac:dyDescent="0.2">
      <c r="A34" s="306" t="s">
        <v>1808</v>
      </c>
      <c r="B34" s="306"/>
      <c r="C34" s="1065">
        <v>0</v>
      </c>
      <c r="D34" s="1526" t="s">
        <v>1572</v>
      </c>
      <c r="E34" s="2574">
        <f>+C33+C34</f>
        <v>0</v>
      </c>
      <c r="F34" s="257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t="s">
        <v>2094</v>
      </c>
      <c r="D38" s="1526"/>
      <c r="E38" s="1062"/>
    </row>
    <row r="39" spans="1:6" ht="14.25" customHeight="1" x14ac:dyDescent="0.2">
      <c r="A39" s="306"/>
      <c r="B39" s="306" t="s">
        <v>1419</v>
      </c>
      <c r="C39" s="1068" t="s">
        <v>2094</v>
      </c>
      <c r="D39" s="1526"/>
      <c r="E39" s="1062"/>
    </row>
    <row r="40" spans="1:6" ht="14.25" customHeight="1" x14ac:dyDescent="0.2">
      <c r="A40" s="306"/>
      <c r="B40" s="306" t="s">
        <v>1420</v>
      </c>
      <c r="C40" s="1068" t="s">
        <v>2094</v>
      </c>
      <c r="D40" s="1526"/>
      <c r="E40" s="1062"/>
    </row>
    <row r="41" spans="1:6" ht="14.25" customHeight="1" x14ac:dyDescent="0.2">
      <c r="A41" s="306"/>
      <c r="B41" s="306" t="s">
        <v>1421</v>
      </c>
      <c r="C41" s="1068" t="s">
        <v>2094</v>
      </c>
      <c r="D41" s="1526"/>
      <c r="E41" s="1062"/>
    </row>
    <row r="42" spans="1:6" ht="14.25" customHeight="1" x14ac:dyDescent="0.2">
      <c r="A42" s="306" t="s">
        <v>1422</v>
      </c>
      <c r="B42" s="306"/>
      <c r="C42" s="1524" t="s">
        <v>2095</v>
      </c>
      <c r="D42" s="1526"/>
      <c r="E42" s="1062"/>
    </row>
    <row r="43" spans="1:6" ht="14.25" customHeight="1" x14ac:dyDescent="0.2">
      <c r="A43" s="306" t="s">
        <v>1423</v>
      </c>
      <c r="B43" s="306"/>
      <c r="C43" s="1069" t="s">
        <v>2095</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1534</v>
      </c>
      <c r="C51" s="2571"/>
      <c r="D51" s="2571"/>
    </row>
    <row r="52" spans="1:5" ht="14.25" customHeight="1" x14ac:dyDescent="0.2">
      <c r="A52" s="1077"/>
      <c r="B52" s="2571"/>
      <c r="C52" s="2571"/>
      <c r="D52" s="257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J63"/>
  <sheetViews>
    <sheetView showGridLines="0" topLeftCell="A40" zoomScale="110" zoomScaleNormal="110" workbookViewId="0">
      <selection activeCell="I44" sqref="I44"/>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Livingston Co Spec Services Unit</v>
      </c>
      <c r="C1" s="2595"/>
      <c r="D1" s="2595"/>
      <c r="E1" s="2595"/>
      <c r="F1" s="2595"/>
      <c r="G1" s="2595"/>
      <c r="H1" s="2595"/>
      <c r="I1" s="2595"/>
      <c r="J1" s="1178"/>
    </row>
    <row r="2" spans="2:10" s="295" customFormat="1" ht="12.75" customHeight="1" x14ac:dyDescent="0.2">
      <c r="B2" s="2596">
        <f>'Single Audit Cover'!E7</f>
        <v>17053000061</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t="s">
        <v>815</v>
      </c>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2090</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t="s">
        <v>2090</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2090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2090</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2090</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t="s">
        <v>2096</v>
      </c>
      <c r="E29" s="2601"/>
      <c r="F29" s="2601"/>
      <c r="G29" s="2601"/>
      <c r="H29" s="2601"/>
      <c r="I29" s="2601"/>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2090</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602" t="s">
        <v>1725</v>
      </c>
      <c r="D37" s="2603"/>
      <c r="E37" s="2603"/>
      <c r="F37" s="2604"/>
      <c r="G37" s="2602" t="s">
        <v>1575</v>
      </c>
      <c r="H37" s="2603"/>
      <c r="I37" s="2604"/>
    </row>
    <row r="38" spans="2:9" ht="16.5" customHeight="1" x14ac:dyDescent="0.2">
      <c r="B38" s="1200">
        <v>84.173000000000002</v>
      </c>
      <c r="C38" s="2590" t="s">
        <v>2097</v>
      </c>
      <c r="D38" s="2591"/>
      <c r="E38" s="2591"/>
      <c r="F38" s="2592"/>
      <c r="G38" s="2605">
        <v>71379</v>
      </c>
      <c r="H38" s="2606"/>
      <c r="I38" s="2607"/>
    </row>
    <row r="39" spans="2:9" ht="16.5" customHeight="1" x14ac:dyDescent="0.2">
      <c r="B39" s="1200">
        <v>84.027000000000001</v>
      </c>
      <c r="C39" s="2590" t="s">
        <v>2098</v>
      </c>
      <c r="D39" s="2591"/>
      <c r="E39" s="2591"/>
      <c r="F39" s="2592"/>
      <c r="G39" s="2593">
        <v>1254367</v>
      </c>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1576</v>
      </c>
      <c r="D43" s="2584"/>
      <c r="E43" s="2584"/>
      <c r="F43" s="2585"/>
      <c r="G43" s="2586">
        <f>SUM(G38:I42)</f>
        <v>1325746</v>
      </c>
      <c r="H43" s="2586"/>
      <c r="I43" s="2586"/>
    </row>
    <row r="44" spans="2:9" ht="12.75" customHeight="1" x14ac:dyDescent="0.2"/>
    <row r="45" spans="2:9" ht="12.75" customHeight="1" x14ac:dyDescent="0.2">
      <c r="B45" s="1917" t="str">
        <f>"Total Federal Expenditures for 7/1/"&amp;MID('AFR20'!E2,3,2)-1&amp;"-6/30/"&amp;MID('AFR20'!E2,3,2)</f>
        <v>Total Federal Expenditures for 7/1/19-6/30/20</v>
      </c>
      <c r="C45" s="1918"/>
      <c r="D45" s="2587">
        <v>1468878</v>
      </c>
      <c r="E45" s="2588"/>
    </row>
    <row r="46" spans="2:9" ht="5.25" customHeight="1" x14ac:dyDescent="0.2">
      <c r="B46" s="1201"/>
      <c r="D46" s="1202"/>
      <c r="E46" s="1203"/>
    </row>
    <row r="47" spans="2:9" ht="12.75" customHeight="1" x14ac:dyDescent="0.2">
      <c r="B47" s="1076" t="s">
        <v>1577</v>
      </c>
      <c r="C47" s="1076"/>
      <c r="D47" s="1204">
        <f>+G43/D45</f>
        <v>0.90255691759288381</v>
      </c>
      <c r="E47" s="1205"/>
      <c r="F47" s="1206"/>
      <c r="I47" s="1207"/>
    </row>
    <row r="48" spans="2:9" ht="9.9499999999999993" customHeight="1" x14ac:dyDescent="0.2"/>
    <row r="49" spans="1:9" x14ac:dyDescent="0.2">
      <c r="B49" s="1138" t="s">
        <v>1262</v>
      </c>
      <c r="C49" s="1058"/>
      <c r="D49" s="1058"/>
      <c r="E49" s="2589">
        <v>750000</v>
      </c>
      <c r="F49" s="2589"/>
      <c r="G49" s="2589"/>
      <c r="H49" s="300"/>
    </row>
    <row r="51" spans="1:9" ht="13.5" customHeight="1" x14ac:dyDescent="0.2">
      <c r="B51" s="1138" t="s">
        <v>1261</v>
      </c>
      <c r="C51" s="1058"/>
      <c r="E51" s="1194"/>
      <c r="F51" s="1076" t="s">
        <v>879</v>
      </c>
      <c r="G51" s="1194" t="s">
        <v>2090</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topLeftCell="A10"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Livingston Co Spec Services Unit</v>
      </c>
      <c r="C1" s="2594"/>
      <c r="D1" s="2594"/>
      <c r="E1" s="2594"/>
      <c r="F1" s="2594"/>
      <c r="G1" s="2594"/>
      <c r="H1" s="2594"/>
      <c r="I1" s="2594"/>
      <c r="J1" s="2594"/>
      <c r="K1" s="2594"/>
      <c r="L1" s="1144"/>
      <c r="M1" s="1144"/>
    </row>
    <row r="2" spans="1:13" ht="12" customHeight="1" x14ac:dyDescent="0.2">
      <c r="B2" s="2596">
        <f>'Single Audit Cover'!E7</f>
        <v>17053000061</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9" t="str">
        <f>'AFR20'!$E$2&amp;"-"</f>
        <v>2020-</v>
      </c>
      <c r="D10" s="1155">
        <v>1</v>
      </c>
      <c r="E10" s="300"/>
      <c r="F10" s="1156" t="s">
        <v>1284</v>
      </c>
      <c r="G10" s="1157"/>
      <c r="H10" s="1158" t="s">
        <v>1283</v>
      </c>
      <c r="I10" s="1157" t="s">
        <v>2090</v>
      </c>
      <c r="J10" s="1159" t="s">
        <v>1282</v>
      </c>
      <c r="K10" s="300"/>
      <c r="L10" s="1151"/>
    </row>
    <row r="11" spans="1:13" ht="13.5" customHeight="1" x14ac:dyDescent="0.2">
      <c r="B11" s="300"/>
      <c r="C11" s="300"/>
      <c r="D11" s="300"/>
      <c r="E11" s="300"/>
      <c r="F11" s="300"/>
      <c r="G11" s="1153"/>
      <c r="H11" s="300"/>
      <c r="I11" s="1160" t="s">
        <v>1281</v>
      </c>
      <c r="J11" s="300"/>
      <c r="K11" s="1161">
        <v>2011</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t="s">
        <v>2099</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t="s">
        <v>2100</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3" t="s">
        <v>2101</v>
      </c>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2102</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2103</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2104</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8" t="s">
        <v>2105</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1"/>
  <sheetViews>
    <sheetView showGridLines="0" topLeftCell="A8" zoomScale="110" zoomScaleNormal="110" workbookViewId="0">
      <selection activeCell="B23" sqref="B23:K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Livingston Co Spec Services Unit</v>
      </c>
      <c r="C1" s="2594"/>
      <c r="D1" s="2594"/>
      <c r="E1" s="2594"/>
      <c r="F1" s="2594"/>
      <c r="G1" s="2594"/>
      <c r="H1" s="2594"/>
      <c r="I1" s="2594"/>
      <c r="J1" s="2594"/>
      <c r="K1" s="2594"/>
      <c r="L1" s="1144"/>
      <c r="M1" s="1144"/>
    </row>
    <row r="2" spans="1:13" ht="12" customHeight="1" x14ac:dyDescent="0.2">
      <c r="B2" s="2596">
        <f>'Single Audit Cover'!E7</f>
        <v>17053000061</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2037"/>
      <c r="M3" s="203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9" t="str">
        <f>'AFR20'!$E$2&amp;"-"</f>
        <v>2020-</v>
      </c>
      <c r="D10" s="1155">
        <v>2</v>
      </c>
      <c r="E10" s="300"/>
      <c r="F10" s="1156" t="s">
        <v>1284</v>
      </c>
      <c r="G10" s="1157" t="s">
        <v>2090</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t="s">
        <v>2106</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t="s">
        <v>2129</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3" t="s">
        <v>2128</v>
      </c>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2126</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2107</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2108</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8" t="s">
        <v>2109</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Livingston Co Spec Services Unit</v>
      </c>
      <c r="C1" s="2617"/>
      <c r="D1" s="2617"/>
      <c r="E1" s="2617"/>
      <c r="F1" s="2617"/>
      <c r="G1" s="2617"/>
      <c r="H1" s="2617"/>
      <c r="I1" s="2617"/>
      <c r="J1" s="2617"/>
      <c r="K1" s="2617"/>
      <c r="L1" s="1221"/>
    </row>
    <row r="2" spans="1:12" ht="12.75" customHeight="1" x14ac:dyDescent="0.2">
      <c r="B2" s="2618">
        <f>'Single Audit Cover'!E7</f>
        <v>17053000061</v>
      </c>
      <c r="C2" s="2618"/>
      <c r="D2" s="2618"/>
      <c r="E2" s="2618"/>
      <c r="F2" s="2618"/>
      <c r="G2" s="2618"/>
      <c r="H2" s="2618"/>
      <c r="I2" s="2618"/>
      <c r="J2" s="2618"/>
      <c r="K2" s="2618"/>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E73"/>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Livingston Co Spec Services Unit</v>
      </c>
      <c r="C1" s="2594"/>
      <c r="D1" s="2594"/>
      <c r="E1" s="1240"/>
    </row>
    <row r="2" spans="2:5" s="1058" customFormat="1" ht="12.75" customHeight="1" x14ac:dyDescent="0.2">
      <c r="B2" s="2596">
        <f>'Single Audit Cover'!E7</f>
        <v>17053000061</v>
      </c>
      <c r="C2" s="2596"/>
      <c r="D2" s="2596"/>
      <c r="E2" s="1241"/>
    </row>
    <row r="3" spans="2:5" ht="12.75" customHeight="1" x14ac:dyDescent="0.2">
      <c r="B3" s="2610" t="s">
        <v>1740</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t="s">
        <v>2110</v>
      </c>
      <c r="C7" s="302" t="s">
        <v>2114</v>
      </c>
      <c r="D7" s="302" t="s">
        <v>2112</v>
      </c>
      <c r="E7" s="302"/>
    </row>
    <row r="8" spans="2:5" ht="13.5" customHeight="1" x14ac:dyDescent="0.2">
      <c r="B8" s="1245"/>
      <c r="C8" s="302" t="s">
        <v>2113</v>
      </c>
      <c r="D8" s="302"/>
      <c r="E8" s="302"/>
    </row>
    <row r="9" spans="2:5" ht="13.5" customHeight="1" x14ac:dyDescent="0.2">
      <c r="B9" s="1246" t="s">
        <v>2111</v>
      </c>
      <c r="C9" s="301" t="s">
        <v>2115</v>
      </c>
      <c r="D9" s="301" t="s">
        <v>2116</v>
      </c>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terms/"/>
    <ds:schemaRef ds:uri="d21dc803-237d-4c68-8692-8d731fd29118"/>
    <ds:schemaRef ds:uri="http://schemas.openxmlformats.org/package/2006/metadata/core-properties"/>
    <ds:schemaRef ds:uri="http://schemas.microsoft.com/office/2006/metadata/properties"/>
    <ds:schemaRef ds:uri="http://purl.org/dc/dcmitype/"/>
    <ds:schemaRef ds:uri="http://purl.org/dc/elements/1.1/"/>
    <ds:schemaRef ds:uri="http://schemas.microsoft.com/sharepoint/v3"/>
    <ds:schemaRef ds:uri="http://schemas.microsoft.com/office/infopath/2007/PartnerControl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Sec-2 (2)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2020-10-15T21:36:09Z</cp:lastPrinted>
  <dcterms:created xsi:type="dcterms:W3CDTF">2003-10-29T19:06:34Z</dcterms:created>
  <dcterms:modified xsi:type="dcterms:W3CDTF">2020-11-13T20:09:12Z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