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5165DA5-E311-473A-8D88-6F1382BCE21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7" i="183" l="1"/>
  <c r="D26" i="183"/>
  <c r="D25" i="183"/>
  <c r="D23" i="183"/>
  <c r="D22" i="183"/>
  <c r="D18" i="183"/>
  <c r="M19" i="3"/>
  <c r="C39"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E19" i="183"/>
  <c r="E18" i="183"/>
  <c r="F18" i="183" s="1"/>
  <c r="F17" i="183"/>
  <c r="E17" i="183"/>
  <c r="D7887" i="106" l="1"/>
  <c r="D7886" i="106"/>
  <c r="B7887" i="106"/>
  <c r="B7886" i="106"/>
  <c r="F80" i="34"/>
  <c r="F76" i="34"/>
  <c r="F75" i="34"/>
  <c r="C39" i="145" l="1"/>
  <c r="C33" i="145"/>
  <c r="K18" i="145" l="1"/>
  <c r="K17" i="145"/>
  <c r="K16" i="145"/>
  <c r="K15" i="145"/>
  <c r="K14" i="145"/>
  <c r="K13" i="145"/>
  <c r="K12" i="145"/>
  <c r="J19" i="145"/>
  <c r="B3674" i="106" l="1"/>
  <c r="B3635" i="106"/>
  <c r="B7885" i="106"/>
  <c r="D7885" i="106" s="1"/>
  <c r="B7884" i="106"/>
  <c r="B7883" i="106"/>
  <c r="B7882" i="106"/>
  <c r="D7884" i="106"/>
  <c r="D7883" i="106"/>
  <c r="D7882" i="106"/>
  <c r="B11" i="7" l="1"/>
  <c r="D7836" i="106" l="1"/>
  <c r="D7817"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1124" i="106" l="1"/>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3447" i="106"/>
  <c r="D3447" i="106" s="1"/>
  <c r="L16" i="11" l="1"/>
  <c r="B2061" i="106" s="1"/>
  <c r="D2061" i="106" s="1"/>
  <c r="L114" i="29"/>
  <c r="F41" i="108"/>
  <c r="G43" i="108"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7834" i="106" l="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<sst xmlns="http://schemas.openxmlformats.org/spreadsheetml/2006/main" count="5115" uniqueCount="2059">
  <si>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</si>
  <si>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</si>
  <si>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</si>
  <si>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</si>
  <si>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</si>
  <si>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</si>
  <si>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</si>
  <si>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</si>
  <si>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</si>
  <si>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</si>
  <si>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</si>
  <si>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</si>
  <si>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</si>
  <si>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</si>
  <si>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</si>
  <si>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</si>
  <si>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</si>
  <si>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</si>
  <si>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</si>
  <si>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</si>
  <si>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</si>
  <si>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</si>
  <si>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</si>
  <si>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</si>
  <si>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</si>
  <si>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</si>
  <si>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</si>
  <si>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</si>
  <si>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</si>
  <si>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</si>
  <si>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</si>
  <si>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</si>
  <si>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</si>
  <si>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</si>
  <si>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</si>
  <si>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</si>
  <si>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</si>
  <si>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</si>
  <si>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</si>
  <si>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</si>
  <si>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</si>
  <si>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</si>
  <si>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</si>
  <si>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</si>
  <si>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</si>
  <si>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</si>
  <si>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</si>
  <si>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</si>
  <si>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</si>
  <si>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</si>
  <si>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</si>
  <si>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</si>
  <si>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</si>
  <si>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</si>
  <si>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</si>
  <si>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</si>
  <si>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</si>
  <si>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</si>
  <si>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</si>
  <si>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</si>
  <si>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</si>
  <si>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</si>
  <si>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</si>
  <si>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</si>
  <si>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</si>
  <si>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</si>
  <si>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</si>
  <si>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</si>
  <si>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</si>
  <si>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</si>
  <si>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</si>
  <si>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</si>
  <si>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</si>
  <si>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</si>
  <si>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</si>
  <si>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</si>
  <si>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</si>
  <si>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</si>
  <si>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</si>
  <si>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</si>
  <si>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</si>
  <si>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</si>
  <si>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</si>
  <si>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</si>
  <si>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</si>
  <si>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</si>
  <si>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</si>
  <si>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</si>
  <si>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</si>
  <si>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</si>
  <si>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</si>
  <si>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</si>
  <si>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</si>
  <si>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</si>
  <si>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</si>
  <si>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</si>
  <si>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</si>
  <si>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</si>
  <si>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</si>
  <si>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</si>
  <si>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</si>
  <si>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</si>
  <si>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</si>
  <si>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</si>
  <si>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</si>
  <si>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</si>
  <si>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</si>
  <si>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</si>
  <si>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</si>
  <si>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</si>
  <si>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</si>
  <si>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</si>
  <si>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</si>
  <si>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</si>
  <si>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</si>
  <si>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</si>
  <si>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</si>
  <si>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</si>
  <si>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</si>
  <si>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</si>
  <si>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</si>
  <si>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</si>
  <si>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</si>
  <si>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</si>
  <si>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</si>
  <si>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</si>
  <si>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</si>
  <si>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</si>
  <si>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</si>
  <si>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</si>
  <si>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</si>
  <si>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</si>
  <si>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</si>
  <si>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</si>
  <si>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</si>
  <si>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</si>
  <si>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</si>
  <si>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</si>
  <si>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</si>
  <si>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</si>
  <si>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</si>
  <si>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</si>
  <si>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</si>
  <si>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</si>
  <si>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</si>
  <si>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</si>
  <si>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</si>
  <si>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</si>
  <si>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</si>
  <si>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</si>
  <si>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</si>
  <si>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</si>
  <si>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</si>
  <si>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</si>
  <si>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</si>
  <si>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</si>
  <si>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</si>
  <si>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</si>
  <si>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</si>
  <si>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</si>
  <si>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</si>
  <si>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</si>
  <si>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</si>
  <si>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</si>
  <si>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</si>
  <si>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</si>
  <si>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</si>
  <si>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</si>
  <si>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</si>
  <si>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</si>
  <si>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</si>
  <si>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</si>
  <si>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</si>
  <si>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</si>
  <si>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</si>
  <si>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</si>
  <si>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</si>
  <si>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</si>
  <si>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</si>
  <si>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</si>
  <si>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</si>
  <si>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</si>
  <si>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</si>
  <si>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</si>
  <si>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</si>
  <si>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</si>
  <si>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</si>
  <si>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</si>
  <si>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</si>
  <si>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</si>
  <si>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</si>
  <si>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</si>
  <si>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</si>
  <si>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</si>
  <si>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</si>
  <si>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</si>
  <si>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</si>
  <si>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</si>
  <si>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</si>
  <si>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</si>
  <si>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</si>
  <si>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</si>
  <si>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</si>
  <si>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</si>
  <si>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</si>
  <si>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</si>
  <si>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</si>
  <si>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</si>
  <si>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</si>
  <si>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</si>
  <si>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</si>
  <si>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</si>
  <si>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</si>
  <si>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</si>
  <si>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</si>
  <si>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</si>
  <si>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</si>
  <si>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</si>
  <si>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</si>
  <si>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</si>
  <si>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</si>
  <si>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</si>
  <si>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</si>
  <si>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</si>
  <si>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</si>
  <si>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</si>
  <si>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</si>
  <si>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</si>
  <si>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</si>
  <si>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</si>
  <si>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</si>
  <si>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</si>
  <si>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</si>
  <si>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</si>
  <si>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</si>
  <si>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</si>
  <si>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</si>
  <si>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</si>
  <si>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</si>
  <si>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</si>
  <si>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</si>
  <si>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</si>
  <si>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</si>
  <si>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</si>
  <si>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</si>
  <si>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</si>
  <si>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</si>
  <si>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</si>
  <si>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</si>
  <si>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</si>
  <si>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</si>
  <si>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</si>
  <si>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</si>
  <si>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</si>
  <si>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</si>
  <si>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</si>
  <si>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</si>
  <si>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</si>
  <si>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</si>
  <si>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</si>
  <si>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</si>
  <si>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</si>
  <si>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</si>
  <si>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</si>
  <si>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</si>
  <si>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</si>
  <si>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</si>
  <si>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</si>
  <si>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</si>
  <si>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</si>
  <si>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</si>
  <si>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</si>
  <si>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</si>
  <si>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</si>
  <si>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</si>
  <si>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</si>
  <si>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</si>
  <si>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</si>
  <si>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</si>
  <si>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</si>
  <si>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</si>
  <si>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</si>
  <si>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</si>
  <si>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</si>
  <si>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</si>
  <si>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</si>
  <si>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</si>
  <si>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</si>
  <si>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</si>
  <si>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</si>
  <si>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</si>
  <si>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</si>
  <si>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</si>
  <si>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</si>
  <si>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</si>
  <si>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</si>
  <si>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</si>
  <si>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</si>
  <si>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</si>
  <si>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</si>
  <si>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</si>
  <si>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</si>
  <si>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</si>
  <si>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</si>
  <si>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</si>
  <si>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</si>
  <si>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</si>
  <si>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</si>
  <si>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</si>
  <si>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</si>
  <si>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</si>
  <si>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</si>
  <si>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</si>
  <si>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</si>
  <si>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</si>
  <si>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</si>
  <si>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</si>
  <si>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</si>
  <si>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</si>
  <si>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</si>
  <si>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</si>
  <si>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</si>
  <si>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</si>
  <si>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</si>
  <si>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</si>
  <si>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</si>
  <si>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</si>
  <si>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</si>
  <si>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</si>
  <si>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</si>
  <si>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</si>
  <si>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</si>
  <si>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</si>
  <si>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</si>
  <si>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</si>
  <si>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</si>
  <si>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</si>
  <si>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</si>
  <si>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</si>
  <si>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</si>
  <si>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</si>
  <si>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</si>
  <si>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</si>
  <si>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</si>
  <si>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</si>
  <si>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</si>
  <si>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</si>
  <si>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</si>
  <si>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</si>
  <si>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</si>
  <si>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</si>
  <si>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</si>
  <si>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</si>
  <si>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</si>
  <si>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</si>
  <si>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</si>
  <si>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</si>
  <si>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</si>
  <si>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</si>
  <si>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</si>
  <si>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</si>
  <si>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</si>
  <si>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</si>
  <si>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</si>
  <si>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</si>
  <si>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</si>
  <si>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</si>
  <si>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</si>
  <si>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</si>
  <si>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</si>
  <si>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</si>
  <si>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</si>
  <si>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</si>
  <si>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</si>
  <si>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</si>
  <si>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</si>
  <si>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</si>
  <si>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</si>
  <si>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</si>
  <si>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</si>
  <si>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</si>
  <si>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</si>
  <si>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</si>
  <si>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</si>
  <si>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</si>
  <si>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</si>
  <si>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</si>
  <si>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</si>
  <si>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</si>
  <si>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</si>
  <si>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</si>
  <si>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</si>
  <si>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</si>
  <si>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</si>
  <si>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</si>
  <si>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</si>
  <si>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</si>
  <si>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</si>
  <si>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</si>
  <si>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</si>
  <si>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</si>
  <si>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</si>
  <si>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</si>
  <si>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</si>
  <si>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</si>
  <si>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</si>
  <si>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</si>
  <si>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</si>
  <si>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</si>
  <si>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</si>
  <si>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</si>
  <si>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</si>
  <si>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</si>
  <si>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</si>
  <si>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</si>
  <si>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</si>
  <si>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</si>
  <si>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</si>
  <si>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</si>
  <si>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</si>
  <si>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</si>
  <si>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</si>
  <si>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</si>
  <si>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</si>
  <si>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</si>
  <si>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</si>
  <si>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</si>
  <si>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</si>
  <si>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</si>
  <si>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</si>
  <si>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</si>
  <si>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</si>
  <si>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</si>
  <si>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</si>
  <si>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</si>
  <si>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</si>
  <si>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</si>
  <si>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</si>
  <si>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</si>
  <si>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</si>
  <si>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</si>
  <si>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</si>
  <si>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</si>
  <si>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</si>
  <si>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</si>
  <si>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</si>
  <si>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</si>
  <si>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</si>
  <si>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</si>
  <si>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</si>
  <si>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</si>
  <si>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</si>
  <si>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</si>
  <si>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</si>
  <si>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</si>
  <si>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</si>
  <si>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</si>
  <si>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</si>
  <si>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</si>
  <si>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</si>
  <si>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</si>
  <si>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</si>
  <si>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</si>
  <si>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</si>
  <si>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</si>
  <si>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</si>
  <si>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</si>
  <si>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</si>
  <si>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</si>
  <si>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</si>
  <si>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</si>
  <si>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</si>
  <si>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</si>
  <si>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</si>
  <si>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</si>
  <si>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</si>
  <si>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</si>
  <si>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</si>
  <si>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</si>
  <si>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</si>
  <si>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</si>
  <si>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</si>
  <si>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</si>
  <si>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</si>
  <si>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</si>
  <si>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</si>
  <si>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</si>
  <si>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</si>
  <si>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</si>
  <si>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</si>
  <si>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</si>
  <si>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</si>
  <si>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</si>
  <si>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</si>
  <si>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</si>
  <si>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</si>
  <si>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</si>
  <si>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</si>
  <si>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</si>
  <si>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</si>
  <si>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</si>
  <si>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</si>
  <si>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</si>
  <si>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</si>
  <si>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</si>
  <si>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</si>
  <si>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</si>
  <si>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</si>
  <si>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</si>
  <si>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</si>
  <si>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</si>
  <si>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</si>
  <si>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</si>
  <si>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</si>
  <si>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</si>
  <si>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</si>
  <si>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</si>
  <si>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</si>
  <si>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</si>
  <si>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</si>
  <si>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</si>
  <si>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</si>
  <si>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</si>
  <si>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</si>
  <si>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</si>
  <si>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</si>
  <si>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</si>
  <si>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</si>
  <si>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</si>
  <si>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</si>
  <si>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</si>
  <si>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</si>
  <si>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</si>
  <si>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</si>
  <si>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</si>
  <si>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</si>
  <si>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</si>
  <si>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</si>
  <si>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</si>
  <si>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</si>
  <si>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</si>
  <si>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</si>
  <si>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</si>
  <si>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</si>
  <si>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</si>
  <si>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</si>
  <si>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</si>
  <si>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</si>
  <si>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</si>
  <si>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</si>
  <si>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</si>
  <si>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</si>
  <si>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</si>
  <si>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</si>
  <si>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</si>
  <si>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</si>
  <si>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</si>
  <si>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</si>
  <si>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</si>
  <si>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</si>
  <si>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</si>
  <si>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</si>
  <si>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</si>
  <si>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</si>
  <si>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</si>
  <si>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</si>
  <si>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</si>
  <si>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</si>
  <si>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</si>
  <si>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</si>
  <si>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</si>
  <si>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</si>
  <si>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</si>
  <si>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</si>
  <si>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</si>
  <si>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</si>
  <si>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</si>
  <si>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</si>
  <si>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</si>
  <si>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</si>
  <si>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</si>
  <si>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</si>
  <si>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</si>
  <si>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</si>
  <si>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</si>
  <si>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</si>
  <si>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</si>
  <si>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</si>
  <si>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</si>
  <si>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</si>
  <si>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</si>
  <si>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</si>
  <si>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</si>
  <si>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</si>
  <si>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</si>
  <si>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</si>
  <si>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</si>
  <si>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</si>
  <si>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</si>
  <si>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</si>
  <si>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</si>
  <si>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</si>
  <si>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</si>
  <si>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</si>
  <si>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</si>
  <si>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</si>
  <si>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</si>
  <si>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</si>
  <si>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</si>
  <si>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</si>
  <si>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</si>
  <si>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</si>
  <si>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</si>
  <si>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</si>
  <si>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</si>
  <si>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</si>
  <si>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</si>
  <si>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</si>
  <si>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</si>
  <si>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</si>
  <si>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</si>
  <si>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</si>
  <si>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</si>
  <si>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</si>
  <si>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</si>
  <si>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</si>
  <si>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</si>
  <si>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</si>
  <si>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</si>
  <si>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</si>
  <si>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</si>
  <si>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</si>
  <si>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</si>
  <si>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</si>
  <si>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</si>
  <si>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</si>
  <si>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</si>
  <si>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</si>
  <si>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</si>
  <si>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</si>
  <si>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</si>
  <si>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</si>
  <si>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</si>
  <si>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</si>
  <si>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</si>
  <si>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</si>
  <si>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</si>
  <si>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</si>
  <si>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</si>
  <si>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</si>
  <si>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</si>
  <si>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</si>
  <si>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</si>
  <si>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</si>
  <si>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</si>
  <si>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</si>
  <si>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</si>
  <si>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</si>
  <si>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</si>
  <si>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</si>
  <si>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</si>
  <si>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</si>
  <si>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</si>
  <si>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</si>
  <si>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</si>
  <si>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</si>
  <si>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</si>
  <si>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</si>
  <si>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</si>
  <si>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</si>
  <si>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</si>
  <si>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</si>
  <si>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</si>
  <si>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</si>
  <si>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</si>
  <si>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</si>
  <si>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</si>
  <si>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</si>
  <si>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</si>
  <si>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</si>
  <si>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</si>
  <si>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</si>
  <si>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</si>
  <si>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</si>
  <si>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</si>
  <si>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</si>
  <si>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</si>
  <si>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</si>
  <si>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</si>
  <si>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</si>
  <si>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</si>
  <si>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</si>
  <si>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</si>
  <si>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</si>
  <si>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</si>
  <si>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</si>
  <si>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</si>
  <si>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</si>
  <si>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</si>
  <si>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</si>
  <si>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</si>
  <si>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</si>
  <si>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</si>
  <si>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</si>
  <si>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</si>
  <si>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</si>
  <si>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</si>
  <si>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</si>
  <si>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</si>
  <si>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</si>
  <si>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</si>
  <si>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</si>
  <si>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</si>
  <si>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</si>
  <si>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</si>
  <si>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</si>
  <si>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</si>
  <si>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</si>
  <si>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</si>
  <si>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</si>
  <si>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</si>
  <si>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</si>
  <si>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</si>
  <si>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</si>
  <si>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</si>
  <si>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</si>
  <si>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</si>
  <si>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</si>
  <si>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</si>
  <si>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</si>
  <si>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</si>
  <si>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</si>
  <si>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</si>
  <si>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</si>
  <si>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</si>
  <si>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</si>
  <si>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</si>
  <si>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</si>
  <si>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</si>
  <si>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</si>
  <si>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</si>
  <si>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</si>
  <si>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</si>
  <si>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</si>
  <si>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</si>
  <si>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</si>
  <si>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</si>
  <si>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</si>
  <si>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</si>
  <si>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</si>
  <si>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</si>
  <si>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</si>
  <si>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</si>
  <si>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</si>
  <si>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</si>
  <si>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</si>
  <si>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</si>
  <si>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</si>
  <si>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</si>
  <si>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</si>
  <si>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</si>
  <si>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</si>
  <si>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</si>
  <si>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</si>
  <si>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</si>
  <si>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</si>
  <si>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</si>
  <si>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</si>
  <si>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</si>
  <si>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</si>
  <si>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</si>
  <si>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</si>
  <si>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</si>
  <si>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</si>
  <si>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</si>
  <si>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</si>
  <si>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</si>
  <si>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</si>
  <si>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</si>
  <si>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</si>
  <si>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</si>
  <si>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</si>
  <si>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</si>
  <si>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</si>
  <si>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</si>
  <si>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</si>
  <si>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</si>
  <si>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</si>
  <si>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</si>
  <si>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</si>
  <si>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</si>
  <si>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</si>
  <si>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</si>
  <si>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</si>
  <si>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</si>
  <si>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</si>
  <si>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</si>
  <si>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</si>
  <si>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</si>
  <si>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</si>
  <si>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</si>
  <si>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</si>
  <si>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</si>
  <si>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</si>
  <si>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</si>
  <si>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</si>
  <si>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</si>
  <si>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</si>
  <si>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</si>
  <si>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</si>
  <si>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</si>
  <si>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</si>
  <si>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</si>
  <si>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</si>
  <si>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</si>
  <si>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</si>
  <si>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</si>
  <si>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</si>
  <si>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</si>
  <si>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</si>
  <si>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</si>
  <si>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</si>
  <si>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</si>
  <si>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</si>
  <si>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</si>
  <si>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</si>
  <si>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</si>
  <si>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</si>
  <si>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</si>
  <si>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</si>
  <si>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</si>
  <si>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</si>
  <si>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</si>
  <si>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</si>
  <si>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</si>
  <si>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</si>
  <si>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</si>
  <si>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</si>
  <si>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</si>
  <si>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</si>
  <si>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</si>
  <si>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</si>
  <si>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</si>
  <si>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</si>
  <si>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</si>
  <si>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</si>
  <si>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</si>
  <si>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</si>
  <si>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</si>
  <si>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</si>
  <si>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</si>
  <si>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</si>
  <si>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</si>
  <si>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</si>
  <si>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</si>
  <si>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</si>
  <si>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</si>
  <si>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</si>
  <si>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</si>
  <si>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</si>
  <si>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</si>
  <si>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</si>
  <si>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</si>
  <si>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</si>
  <si>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</si>
  <si>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</si>
  <si>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</si>
  <si>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</si>
  <si>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</si>
  <si>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</si>
  <si>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</si>
  <si>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</si>
  <si>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</si>
  <si>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</si>
  <si>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</si>
  <si>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</si>
  <si>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</si>
  <si>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</si>
  <si>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</si>
  <si>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</si>
  <si>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</si>
  <si>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</si>
  <si>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</si>
  <si>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</si>
  <si>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</si>
  <si>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</si>
  <si>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</si>
  <si>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</si>
  <si>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</si>
  <si>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</si>
  <si>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</si>
  <si>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</si>
  <si>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</si>
  <si>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</si>
  <si>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</si>
  <si>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</si>
  <si>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</si>
  <si>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</si>
  <si>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</si>
  <si>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</si>
  <si>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</si>
  <si>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</si>
  <si>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</si>
  <si>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</si>
  <si>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</si>
  <si>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</si>
  <si>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</si>
  <si>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</si>
  <si>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</si>
  <si>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</si>
  <si>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</si>
  <si>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</si>
  <si>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</si>
  <si>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</si>
  <si>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</si>
  <si>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</si>
  <si>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</si>
  <si>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</si>
  <si>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</si>
  <si>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</si>
  <si>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</si>
  <si>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</si>
  <si>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</si>
  <si>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</si>
  <si>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</si>
  <si>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</si>
  <si>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</si>
  <si>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</si>
  <si>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</si>
  <si>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</si>
  <si>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</si>
  <si>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</si>
  <si>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</si>
  <si>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</si>
  <si>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</si>
  <si>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</si>
  <si>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</si>
  <si>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</si>
  <si>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</si>
  <si>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</si>
  <si>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</si>
  <si>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</si>
  <si>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</si>
  <si>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</si>
  <si>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</si>
  <si>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</si>
  <si>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</si>
  <si>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</si>
  <si>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</si>
  <si>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</si>
  <si>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</si>
  <si>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</si>
  <si>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</si>
  <si>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</si>
  <si>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</si>
  <si>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</si>
  <si>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</si>
  <si>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</si>
  <si>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</si>
  <si>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</si>
  <si>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</si>
  <si>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</si>
  <si>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</si>
  <si>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</si>
  <si>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</si>
  <si>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</si>
  <si>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</si>
  <si>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</si>
  <si>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</si>
  <si>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</si>
  <si>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</si>
  <si>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</si>
  <si>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</si>
  <si>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</si>
  <si>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</si>
  <si>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</si>
  <si>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</si>
  <si>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</si>
  <si>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</si>
  <si>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</si>
  <si>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</si>
  <si>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</si>
  <si>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</si>
  <si>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</si>
  <si>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</si>
  <si>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</si>
  <si>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</si>
  <si>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</si>
  <si>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</si>
  <si>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</si>
  <si>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</si>
  <si>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</si>
  <si>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</si>
  <si>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</si>
  <si>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</si>
  <si>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</si>
  <si>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</si>
  <si>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</si>
  <si>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</si>
  <si>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</si>
  <si>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</si>
  <si>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</si>
  <si>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</si>
  <si>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</si>
  <si>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</si>
  <si>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</si>
  <si>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</si>
  <si>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</si>
  <si>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</si>
  <si>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</si>
  <si>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</si>
  <si>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</si>
  <si>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</si>
  <si>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</si>
  <si>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</si>
  <si>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</si>
  <si>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</si>
  <si>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</si>
  <si>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</si>
  <si>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</si>
  <si>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</si>
  <si>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</si>
  <si>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</si>
  <si>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</si>
  <si>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</si>
  <si>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</si>
  <si>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</si>
  <si>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</si>
  <si>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</si>
  <si>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</si>
  <si>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</si>
  <si>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</si>
  <si>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</si>
  <si>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</si>
  <si>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</si>
  <si>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</si>
  <si>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</si>
  <si>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</si>
  <si>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</si>
  <si>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</si>
  <si>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</si>
  <si>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</si>
  <si>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</si>
  <si>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</si>
  <si>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</si>
  <si>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</si>
  <si>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</si>
  <si>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</si>
  <si>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</si>
  <si>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</si>
  <si>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</si>
  <si>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</si>
  <si>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</si>
  <si>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</si>
  <si>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</si>
  <si>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</si>
  <si>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</si>
  <si>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</si>
  <si>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</si>
  <si>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</si>
  <si>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</si>
  <si>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</si>
  <si>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</si>
  <si>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</si>
  <si>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</si>
  <si>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</si>
  <si>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</si>
  <si>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</si>
  <si>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</si>
  <si>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</si>
  <si>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</si>
  <si>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</si>
  <si>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</si>
  <si>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</si>
  <si>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</si>
  <si>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</si>
  <si>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</si>
  <si>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</si>
  <si>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</si>
  <si>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</si>
  <si>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</si>
  <si>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</si>
  <si>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</si>
  <si>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</si>
  <si>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</si>
  <si>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</si>
  <si>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</si>
  <si>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</si>
  <si>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</si>
  <si>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</si>
  <si>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</si>
  <si>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</si>
  <si>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</si>
  <si>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</si>
  <si>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</si>
  <si>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</si>
  <si>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</si>
  <si>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</si>
  <si>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</si>
  <si>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</si>
  <si>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</si>
  <si>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</si>
  <si>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</si>
  <si>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</si>
  <si>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</si>
  <si>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</si>
  <si>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</si>
  <si>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</si>
  <si>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</si>
  <si>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</si>
  <si>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</si>
  <si>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</si>
  <si>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</si>
  <si>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</si>
  <si>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</si>
  <si>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</si>
  <si>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</si>
  <si>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</si>
  <si>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</si>
  <si>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</si>
  <si>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</si>
  <si>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</si>
  <si>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</si>
  <si>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</si>
  <si>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</si>
  <si>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</si>
  <si>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</si>
  <si>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</si>
  <si>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</si>
  <si>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</si>
  <si>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</si>
  <si>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</si>
  <si>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</si>
  <si>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</si>
  <si>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</si>
  <si>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</si>
  <si>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</si>
  <si>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</si>
  <si>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</si>
  <si>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</si>
  <si>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</si>
  <si>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</si>
  <si>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</si>
  <si>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</si>
  <si>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</si>
  <si>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</si>
  <si>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</si>
  <si>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</si>
  <si>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</si>
  <si>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</si>
  <si>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</si>
  <si>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</si>
  <si>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</si>
  <si>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</si>
  <si>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</si>
  <si>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</si>
  <si>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</si>
  <si>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</si>
  <si>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</si>
  <si>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</si>
  <si>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</si>
  <si>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</si>
  <si>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</si>
  <si>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</si>
  <si>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</si>
  <si>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</si>
  <si>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</si>
  <si>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</si>
  <si>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</si>
  <si>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</si>
  <si>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</si>
  <si>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</si>
  <si>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</si>
  <si>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</si>
  <si>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</si>
  <si>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</si>
  <si>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</si>
  <si>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</si>
  <si>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</si>
  <si>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</si>
  <si>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</si>
  <si>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</si>
  <si>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</si>
  <si>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</si>
  <si>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</si>
  <si>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</si>
  <si>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</si>
  <si>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</si>
  <si>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</si>
  <si>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</si>
  <si>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</si>
  <si>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</si>
  <si>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</si>
  <si>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</si>
  <si>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</si>
  <si>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</si>
  <si>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</si>
  <si>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</si>
  <si>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</si>
  <si>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</si>
  <si>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</si>
  <si>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</si>
  <si>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</si>
  <si>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</si>
  <si>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</si>
  <si>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</si>
  <si>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</si>
  <si>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</si>
  <si>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</si>
  <si>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</si>
  <si>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</si>
  <si>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</si>
  <si>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</si>
  <si>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</si>
  <si>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</si>
  <si>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</si>
  <si>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</si>
  <si>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</si>
  <si>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</si>
  <si>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</si>
  <si>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</si>
  <si>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</si>
  <si>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</si>
  <si>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</si>
  <si>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</si>
  <si>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</si>
  <si>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</si>
  <si>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</si>
  <si>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</si>
  <si>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</si>
  <si>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</si>
  <si>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</si>
  <si>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</si>
  <si>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</si>
  <si>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</si>
  <si>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</si>
  <si>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</si>
  <si>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</si>
  <si>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</si>
  <si>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</si>
  <si>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</si>
  <si>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</si>
  <si>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</si>
  <si>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</si>
  <si>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</si>
  <si>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</si>
  <si>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</si>
  <si>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</si>
  <si>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</si>
  <si>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</si>
  <si>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</si>
  <si>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</si>
  <si>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</si>
  <si>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</si>
  <si>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</si>
  <si>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</si>
  <si>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</si>
  <si>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</si>
  <si>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</si>
  <si>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</si>
  <si>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</si>
  <si>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</si>
  <si>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</si>
  <si>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</si>
  <si>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</si>
  <si>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</si>
  <si>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</si>
  <si>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</si>
  <si>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</si>
  <si>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</si>
  <si>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</si>
  <si>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</si>
  <si>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</si>
  <si>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</si>
  <si>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</si>
  <si>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</si>
  <si>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</si>
  <si>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</si>
  <si>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</si>
  <si>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</si>
  <si>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</si>
  <si>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</si>
  <si>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</si>
  <si>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</si>
  <si>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</si>
  <si>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</si>
  <si>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</si>
  <si>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</si>
  <si>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</si>
  <si>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</si>
  <si>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</si>
  <si>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</si>
  <si>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</si>
  <si>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</si>
  <si>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</si>
  <si>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</si>
  <si>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</si>
  <si>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</si>
  <si>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</si>
  <si>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</si>
  <si>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</si>
  <si>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</si>
  <si>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</si>
  <si>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</si>
  <si>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</si>
  <si>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</si>
  <si>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</si>
  <si>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</si>
  <si>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</si>
  <si>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</si>
  <si>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</si>
  <si>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</si>
  <si>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</si>
  <si>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</si>
  <si>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</si>
  <si>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</si>
  <si>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</si>
  <si>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</si>
  <si>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</si>
  <si>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</si>
  <si>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</si>
  <si>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</si>
  <si>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</si>
  <si>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</si>
  <si>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</si>
  <si>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</si>
  <si>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</si>
  <si>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</si>
  <si>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</si>
  <si>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</si>
  <si>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</si>
  <si>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</si>
  <si>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</si>
  <si>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</si>
  <si>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</si>
  <si>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</si>
  <si>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</si>
  <si>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</si>
  <si>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</si>
  <si>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</si>
  <si>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</si>
  <si>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</si>
  <si>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</si>
  <si>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</si>
  <si>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</si>
  <si>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</si>
  <si>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</si>
  <si>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</si>
  <si>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</si>
  <si>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</si>
  <si>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</si>
  <si>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</si>
  <si>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</si>
  <si>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</si>
  <si>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</si>
  <si>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</si>
  <si>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</si>
  <si>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</si>
  <si>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</si>
  <si>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</si>
  <si>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</si>
  <si>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</si>
  <si>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</si>
  <si>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</si>
  <si>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</si>
  <si>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</si>
  <si>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</si>
  <si>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</si>
  <si>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</si>
  <si>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</si>
  <si>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</si>
  <si>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</si>
  <si>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</si>
  <si>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</si>
  <si>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</si>
  <si>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</si>
  <si>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</si>
  <si>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</si>
  <si>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</si>
  <si>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</si>
  <si>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</si>
  <si>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</si>
  <si>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</si>
  <si>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</si>
  <si>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</si>
  <si>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</si>
  <si>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</si>
  <si>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</si>
  <si>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</si>
  <si>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</si>
  <si>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</si>
  <si>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</si>
  <si>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</si>
  <si>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</si>
  <si>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</si>
  <si>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</si>
  <si>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</si>
  <si>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</si>
  <si>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</si>
  <si>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</si>
  <si>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</si>
  <si>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</si>
  <si>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</si>
  <si>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</si>
  <si>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</si>
  <si>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</si>
  <si>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</si>
  <si>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</si>
  <si>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</si>
  <si>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</si>
  <si>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</si>
  <si>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</si>
  <si>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</si>
  <si>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</si>
  <si>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</si>
  <si>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</si>
  <si>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</si>
  <si>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</si>
  <si>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</si>
  <si>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</si>
  <si>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</si>
  <si>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</si>
  <si>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</si>
  <si>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</si>
  <si>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</si>
  <si>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</si>
  <si>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</si>
  <si>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</si>
  <si>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</si>
  <si>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</si>
  <si>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</si>
  <si>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</si>
  <si>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</si>
  <si>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</si>
  <si>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</si>
  <si>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</si>
  <si>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</si>
  <si>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</si>
  <si>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</si>
  <si>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</si>
  <si>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</si>
  <si>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</si>
  <si>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</si>
  <si>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</si>
  <si>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</si>
  <si>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</si>
  <si>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</si>
  <si>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</si>
  <si>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</si>
  <si>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</si>
  <si>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</si>
  <si>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</si>
  <si>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</si>
  <si>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</si>
  <si>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</si>
  <si>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</si>
  <si>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</si>
  <si>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</si>
  <si>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</si>
  <si>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</si>
  <si>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</si>
  <si>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</si>
  <si>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</si>
  <si>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</si>
  <si>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</si>
  <si>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</si>
  <si>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</si>
  <si>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</si>
  <si>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</si>
  <si>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</si>
  <si>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</si>
  <si>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</si>
  <si>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</si>
  <si>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</si>
  <si>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</si>
  <si>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</si>
  <si>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</si>
  <si>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</si>
  <si>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</si>
  <si>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</si>
  <si>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</si>
  <si>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</si>
  <si>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</si>
  <si>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</si>
  <si>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</si>
  <si>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</si>
  <si>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</si>
  <si>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</si>
  <si>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</si>
  <si>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</si>
  <si>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</si>
  <si>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</si>
  <si>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</si>
  <si>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</si>
  <si>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</si>
  <si>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</si>
  <si>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</si>
  <si>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</si>
  <si>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</si>
  <si>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</si>
  <si>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</si>
  <si>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</si>
  <si>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</si>
  <si>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</si>
  <si>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</si>
  <si>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</si>
  <si>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</si>
  <si>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</si>
  <si>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</si>
  <si>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</si>
  <si>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</si>
  <si>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</si>
  <si>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</si>
  <si>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</si>
  <si>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</si>
  <si>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</si>
  <si>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</si>
  <si>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</si>
  <si>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</si>
  <si>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</si>
  <si>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</si>
  <si>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</si>
  <si>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</si>
  <si>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</si>
  <si>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</si>
  <si>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</si>
  <si>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</si>
  <si>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</si>
  <si>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</si>
  <si>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</si>
  <si>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</si>
  <si>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</si>
  <si>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</si>
  <si>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</si>
  <si>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</si>
  <si>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</si>
  <si>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</si>
  <si>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</si>
  <si>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</si>
  <si>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</si>
  <si>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</si>
  <si>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</si>
  <si>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</si>
  <si>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</si>
  <si>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</si>
  <si>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</si>
  <si>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</si>
  <si>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</si>
  <si>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</si>
  <si>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</si>
  <si>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</si>
  <si>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</si>
  <si>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</si>
  <si>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</si>
  <si>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</si>
  <si>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</si>
  <si>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</si>
  <si>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</si>
  <si>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</si>
  <si>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</si>
  <si>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</si>
  <si>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</si>
  <si>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</si>
  <si>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</si>
  <si>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</si>
  <si>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</si>
  <si>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</si>
  <si>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</si>
  <si>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</si>
  <si>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</si>
  <si>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</si>
  <si>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</si>
  <si>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</si>
  <si>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</si>
  <si>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</si>
  <si>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</si>
  <si>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</si>
  <si>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</si>
  <si>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</si>
  <si>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</si>
  <si>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</si>
  <si>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</si>
  <si>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</si>
  <si>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</si>
  <si>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</si>
  <si>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</si>
  <si>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</si>
  <si>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</si>
  <si>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</si>
  <si>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</si>
  <si>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</si>
  <si>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</si>
  <si>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</si>
  <si>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</si>
  <si>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</si>
  <si>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</si>
  <si>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</si>
  <si>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</si>
  <si>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</si>
  <si>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</si>
  <si>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</si>
  <si>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</si>
  <si>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</si>
  <si>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</si>
  <si>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</si>
  <si>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</si>
  <si>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</si>
  <si>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</si>
  <si>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</si>
  <si>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</si>
  <si>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</si>
  <si>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</si>
  <si>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</si>
  <si>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</si>
  <si>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</si>
  <si>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</si>
  <si>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</si>
  <si>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</si>
  <si>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</si>
  <si>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</si>
  <si>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</si>
  <si>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</si>
  <si>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</si>
  <si>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</si>
  <si>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</si>
  <si>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</si>
  <si>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</si>
  <si>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</si>
  <si>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</si>
  <si>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</si>
  <si>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</si>
  <si>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</si>
  <si>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</si>
  <si>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</si>
  <si>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</si>
  <si>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</si>
  <si>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</si>
  <si>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</si>
  <si>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</si>
  <si>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</si>
  <si>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</si>
  <si>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</si>
  <si>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</si>
  <si>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</si>
  <si>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</si>
  <si>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</si>
  <si>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</si>
  <si>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</si>
  <si>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</si>
  <si>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</si>
  <si>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</si>
  <si>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</si>
  <si>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</si>
  <si>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</si>
  <si>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</si>
  <si>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</si>
  <si>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</si>
  <si>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</si>
  <si>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</si>
  <si>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</si>
  <si>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</si>
  <si>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</si>
  <si>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</si>
  <si>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</si>
  <si>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</si>
  <si>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</si>
  <si>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</si>
  <si>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</si>
  <si>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</si>
  <si>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</si>
  <si>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</si>
  <si>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</si>
  <si>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</si>
  <si>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</si>
  <si>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</si>
  <si>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</si>
  <si>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</si>
  <si>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</si>
  <si>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</si>
  <si>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</si>
  <si>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</si>
  <si>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</si>
  <si>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</si>
  <si>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</si>
  <si>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</si>
  <si>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</si>
  <si>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</si>
  <si>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</si>
  <si>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</si>
  <si>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</si>
  <si>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</si>
  <si>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</si>
  <si>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</si>
  <si>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</si>
  <si>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</si>
  <si>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</si>
  <si>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</si>
  <si>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</si>
  <si>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</si>
  <si>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</si>
  <si>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</si>
  <si>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</si>
  <si>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</si>
  <si>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</si>
  <si>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</si>
  <si>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</si>
  <si>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</si>
  <si>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</si>
  <si>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</si>
  <si>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</si>
  <si>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</si>
  <si>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</si>
  <si>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</si>
  <si>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</si>
  <si>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</si>
  <si>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</si>
  <si>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</si>
  <si>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</si>
  <si>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</si>
  <si>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</si>
  <si>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</si>
  <si>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</si>
  <si>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</si>
  <si>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</si>
  <si>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</si>
  <si>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</si>
  <si>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</si>
  <si>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</si>
  <si>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</si>
  <si>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</si>
  <si>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</si>
  <si>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</si>
  <si>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</si>
  <si>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</si>
  <si>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</si>
  <si>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</si>
  <si>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</si>
  <si>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</si>
  <si>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</si>
  <si>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</si>
  <si>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</si>
  <si>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</si>
  <si>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</si>
  <si>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</si>
  <si>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</si>
  <si>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</si>
  <si>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</si>
  <si>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</si>
  <si>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</si>
  <si>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</si>
  <si>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</si>
  <si>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</si>
  <si>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</si>
  <si>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</si>
  <si>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</si>
  <si>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</si>
  <si>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</si>
  <si>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</si>
  <si>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</si>
  <si>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</si>
  <si>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</si>
  <si>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</si>
  <si>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</si>
  <si>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</si>
  <si>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</si>
  <si>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</si>
  <si>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</si>
  <si>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</si>
  <si>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</si>
  <si>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</si>
  <si>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</si>
  <si>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</si>
  <si>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</si>
  <si>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</si>
  <si>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</si>
  <si>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</si>
  <si>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</si>
  <si>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</si>
  <si>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</si>
  <si>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</si>
  <si>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</si>
  <si>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</si>
  <si>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</si>
  <si>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</si>
  <si>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</si>
  <si>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</si>
  <si>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</si>
  <si>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</si>
  <si>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</si>
  <si>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</si>
  <si>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</si>
  <si>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</si>
  <si>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</si>
  <si>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</si>
  <si>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</si>
  <si>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</si>
  <si>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</si>
  <si>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</si>
  <si>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</si>
  <si>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</si>
  <si>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</si>
  <si>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</si>
  <si>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</si>
  <si>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</si>
  <si>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</si>
  <si>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</si>
  <si>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</si>
  <si>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</si>
  <si>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</si>
  <si>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</si>
  <si>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</si>
  <si>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</si>
  <si>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</si>
  <si>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</si>
  <si>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</si>
  <si>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</si>
  <si>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</si>
  <si>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</si>
  <si>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</si>
  <si>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</si>
  <si>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</si>
  <si>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</si>
  <si>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</si>
  <si>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</si>
  <si>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</si>
  <si>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</si>
  <si>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</si>
  <si>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</si>
  <si>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</si>
  <si>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</si>
  <si>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</si>
  <si>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</si>
  <si>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</si>
  <si>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</si>
  <si>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</si>
  <si>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</si>
  <si>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</si>
  <si>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</si>
  <si>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</si>
  <si>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</si>
  <si>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</si>
  <si>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</si>
  <si>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</si>
  <si>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</si>
  <si>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</si>
  <si>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</si>
  <si>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</si>
  <si>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</si>
  <si>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</si>
  <si>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</si>
  <si>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</si>
  <si>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</si>
  <si>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</si>
  <si>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</si>
  <si>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</si>
  <si>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</si>
  <si>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</si>
  <si>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</si>
  <si>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</si>
  <si>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</si>
  <si>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</si>
  <si>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</si>
  <si>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</si>
  <si>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</si>
  <si>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</si>
  <si>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</si>
  <si>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</si>
  <si>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</si>
  <si>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</si>
  <si>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</si>
  <si>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</si>
  <si>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</si>
  <si>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</si>
  <si>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</si>
  <si>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</si>
  <si>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</si>
  <si>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</si>
  <si>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</si>
  <si>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</si>
  <si>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</si>
  <si>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</si>
  <si>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</si>
  <si>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</si>
  <si>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</si>
  <si>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</si>
  <si>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</si>
  <si>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</si>
  <si>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</si>
  <si>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</si>
  <si>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</si>
  <si>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</si>
  <si>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</si>
  <si>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</si>
  <si>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</si>
  <si>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</si>
  <si>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</si>
  <si>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</si>
  <si>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</si>
  <si>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</si>
  <si>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</si>
  <si>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</si>
  <si>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</si>
  <si>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</si>
  <si>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</si>
  <si>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</si>
  <si>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</si>
  <si>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</si>
  <si>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</si>
  <si>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</si>
  <si>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</si>
  <si>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</si>
  <si>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</si>
  <si>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</si>
  <si>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</si>
  <si>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</si>
  <si>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</si>
  <si>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</si>
  <si>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</si>
  <si>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</si>
  <si>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</si>
  <si>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</si>
  <si>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</si>
  <si>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</si>
  <si>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</si>
  <si>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</si>
  <si>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</si>
  <si>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</si>
  <si>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</si>
  <si>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</si>
  <si>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</si>
  <si>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</si>
  <si>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</si>
  <si>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</si>
  <si>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</si>
  <si>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</si>
  <si>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</si>
  <si>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</si>
  <si>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</si>
  <si>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</si>
  <si>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</si>
  <si>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</si>
  <si>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</si>
  <si>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</si>
  <si>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</si>
  <si>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</si>
  <si>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</si>
  <si>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</si>
  <si>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</si>
  <si>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</si>
  <si>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</si>
  <si>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</si>
  <si>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</si>
  <si>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</si>
  <si>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</si>
  <si>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</si>
  <si>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</si>
  <si>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</si>
  <si>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</si>
  <si>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</si>
  <si>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</si>
  <si>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</si>
  <si>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</si>
  <si>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</si>
  <si>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</si>
  <si>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</si>
  <si>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</si>
  <si>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</si>
  <si>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</si>
  <si>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</si>
  <si>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</si>
  <si>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</si>
  <si>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</si>
  <si>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</si>
  <si>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</si>
  <si>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</si>
  <si>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</si>
  <si>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</si>
  <si>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</si>
  <si>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</si>
  <si>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</si>
  <si>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</si>
  <si>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</si>
  <si>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</si>
  <si>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</si>
  <si>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</si>
  <si>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</si>
  <si>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</si>
  <si>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</si>
  <si>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</si>
  <si>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</si>
  <si>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</si>
  <si>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</si>
  <si>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</si>
  <si>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</si>
  <si>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</si>
  <si>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</si>
  <si>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</si>
  <si>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</si>
  <si>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</si>
  <si>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</si>
  <si>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</si>
  <si>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</si>
  <si>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</si>
  <si>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</si>
  <si>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</si>
  <si>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</si>
  <si>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</si>
  <si>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</si>
  <si>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</si>
  <si>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</si>
  <si>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</si>
  <si>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</si>
  <si>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</si>
  <si>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</si>
  <si>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</si>
  <si>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</si>
  <si>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</si>
  <si>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</si>
  <si>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</si>
  <si>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</si>
  <si>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</si>
  <si>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</si>
  <si>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DeKalb</t>
  </si>
  <si>
    <t>600 East Lions Road</t>
  </si>
  <si>
    <t>Sandwich</t>
  </si>
  <si>
    <t>jbarbic@ivvc.net</t>
  </si>
  <si>
    <t>Joseph Barbic</t>
  </si>
  <si>
    <t>815-786-7616</t>
  </si>
  <si>
    <t>815-786-6928</t>
  </si>
  <si>
    <t>Mack &amp; Associates, P.C.</t>
  </si>
  <si>
    <t>Tawnya Mack, CPA</t>
  </si>
  <si>
    <t>116 E. Washington Street, Suite One</t>
  </si>
  <si>
    <t>Morris</t>
  </si>
  <si>
    <t>IL</t>
  </si>
  <si>
    <t>815-942-3306</t>
  </si>
  <si>
    <t>815-942-9430</t>
  </si>
  <si>
    <t>066-005100</t>
  </si>
  <si>
    <t>tmack@mackcpas.com</t>
  </si>
  <si>
    <t>See PDF in Opinion Page with signature.</t>
  </si>
  <si>
    <t>Ed - Board of Ed - Purchased Services</t>
  </si>
  <si>
    <t>Marco Technologies</t>
  </si>
  <si>
    <t>Decision Systems Co.</t>
  </si>
  <si>
    <t>CTS of Illinois</t>
  </si>
  <si>
    <t>Mack &amp; Associates</t>
  </si>
  <si>
    <t>Ramza Insurance Group</t>
  </si>
  <si>
    <t>Ed - Tort - Purchased Services</t>
  </si>
  <si>
    <t>Employers Preferred Ins. Co.</t>
  </si>
  <si>
    <t>Ed - O&amp;M - Purchased Services</t>
  </si>
  <si>
    <t>Community Disposal Services</t>
  </si>
  <si>
    <t>Beery Heating, Cooling &amp; Plumbing</t>
  </si>
  <si>
    <t>Comcast Cable</t>
  </si>
  <si>
    <t>Northern Illinois University</t>
  </si>
  <si>
    <t>VALEES</t>
  </si>
  <si>
    <t>SEE BELOW FOR MEMBER DISTRICTS OF IVVC JOINT AGREEMENT</t>
  </si>
  <si>
    <t>PLANO SCHOOL DISTRICT #88; SANDWICH SCHOOL DISTRICT #430; SERENA SCHOOL DISTRICT #2; SOMONAUK SCHOOL DISTRICT #432; YORKVILLE SCHOOL DISTRICT #115.</t>
  </si>
  <si>
    <t>Revenues, Line 220, Function 4799 - CTE - Other - Perkins Grant</t>
  </si>
  <si>
    <t>Revenues, Line 107, Function 1999 - Other Local Revenues -  Reimbursement from VALEES &amp; Miscellaneous Receipts.</t>
  </si>
  <si>
    <t>EARLVILLE SCHOOL DISTRICT #9; HINCKLEY-BIG ROCK SCHOOL DISTRICT #429; INDIAN CREEK SCHOOL DISTRICT #425; LELAND SCHOOL DISTRICT #1; NEWARK SCHOOL DISTRICT #18;</t>
  </si>
  <si>
    <t xml:space="preserve"> Indian Valley Area Vocational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</si>
</sst>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X14A0T</a:t>
          </a:r>
        </a:p>
      </xdr:txBody>
    </xdr:sp>
    <xdr:clientData/>
  </xdr:twoCellAnchor>
  <xdr:twoCellAnchor>
    <xdr:from>
      <xdr:col>4</xdr:col>
      <xdr:colOff>1209675</xdr:colOff>
      <xdr:row>6</xdr:row>
      <xdr:rowOff>466725</xdr:rowOff>
    </xdr:from>
    <xdr:to>
      <xdr:col>4</xdr:col>
      <xdr:colOff>1273175</xdr:colOff>
      <xdr:row>6</xdr:row>
      <xdr:rowOff>569317</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910590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twoCellAnchor>
    <xdr:from>
      <xdr:col>5</xdr:col>
      <xdr:colOff>609600</xdr:colOff>
      <xdr:row>6</xdr:row>
      <xdr:rowOff>466725</xdr:rowOff>
    </xdr:from>
    <xdr:to>
      <xdr:col>5</xdr:col>
      <xdr:colOff>673100</xdr:colOff>
      <xdr:row>6</xdr:row>
      <xdr:rowOff>569317</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1007745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X18A0T</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1l4];/" TargetMode="External"/><Relationship Id="rId13" Type="http://schemas.openxmlformats.org/officeDocument/2006/relationships/hyperlink" Target="http://[s1l14];/" TargetMode="External"/><Relationship Id="rId18" Type="http://schemas.openxmlformats.org/officeDocument/2006/relationships/hyperlink" Target="https://www.isbe.net/Documents/Accounting-Rules-Part-100.pdf" TargetMode="External"/><Relationship Id="rId3" Type="http://schemas.openxmlformats.org/officeDocument/2006/relationships/hyperlink" Target="https://sec1.isbe.net/attachmgr/default.aspx" TargetMode="External"/><Relationship Id="rId7" Type="http://schemas.openxmlformats.org/officeDocument/2006/relationships/hyperlink" Target="http://[s1l3];/" TargetMode="External"/><Relationship Id="rId12" Type="http://schemas.openxmlformats.org/officeDocument/2006/relationships/hyperlink" Target="http://[s1l13];/" TargetMode="External"/><Relationship Id="rId17" Type="http://schemas.openxmlformats.org/officeDocument/2006/relationships/hyperlink" Target="http://[s1l22];/" TargetMode="External"/><Relationship Id="rId2" Type="http://schemas.openxmlformats.org/officeDocument/2006/relationships/hyperlink" Target="http://www.isbe.net/rules/archive/pdfs/100ARK.pdf" TargetMode="External"/><Relationship Id="rId16" Type="http://schemas.openxmlformats.org/officeDocument/2006/relationships/hyperlink" Target="http://[s1l17];/" TargetMode="External"/><Relationship Id="rId1" Type="http://schemas.openxmlformats.org/officeDocument/2006/relationships/hyperlink" Target="https://www.isbe.net/Pages/Single-Audit.aspx" TargetMode="External"/><Relationship Id="rId6" Type="http://schemas.openxmlformats.org/officeDocument/2006/relationships/hyperlink" Target="http://[s1l2];/" TargetMode="External"/><Relationship Id="rId11" Type="http://schemas.openxmlformats.org/officeDocument/2006/relationships/hyperlink" Target="http://[s1l7];/" TargetMode="External"/><Relationship Id="rId5" Type="http://schemas.openxmlformats.org/officeDocument/2006/relationships/hyperlink" Target="http://[s1l1];/" TargetMode="External"/><Relationship Id="rId15" Type="http://schemas.openxmlformats.org/officeDocument/2006/relationships/hyperlink" Target="http://[s1l16];/" TargetMode="External"/><Relationship Id="rId10" Type="http://schemas.openxmlformats.org/officeDocument/2006/relationships/hyperlink" Target="http://[s1l6];/" TargetMode="External"/><Relationship Id="rId19" Type="http://schemas.openxmlformats.org/officeDocument/2006/relationships/printerSettings" Target="../printerSettings/printerSettings2.bin"/><Relationship Id="rId4" Type="http://schemas.openxmlformats.org/officeDocument/2006/relationships/hyperlink" Target="http://[s1l0];/" TargetMode="External"/><Relationship Id="rId9" Type="http://schemas.openxmlformats.org/officeDocument/2006/relationships/hyperlink" Target="http://[s1l5];/" TargetMode="External"/><Relationship Id="rId14" Type="http://schemas.openxmlformats.org/officeDocument/2006/relationships/hyperlink" Target="http://[s1l1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5.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topLeftCell="A4"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0">
        <f>+'AFR20'!E4</f>
        <v>44119</v>
      </c>
      <c r="C1" s="1990"/>
      <c r="D1" s="1991"/>
      <c r="I1" s="2069" t="s">
        <v>402</v>
      </c>
      <c r="J1" s="2070"/>
      <c r="K1" s="2070"/>
      <c r="L1" s="2070"/>
      <c r="M1" s="2070"/>
      <c r="N1" s="2070"/>
      <c r="O1" s="2070"/>
      <c r="P1" s="2070"/>
      <c r="Q1" s="2070"/>
      <c r="R1" s="2070"/>
      <c r="S1" s="2070"/>
    </row>
    <row r="2" spans="1:32" ht="12" customHeight="1" x14ac:dyDescent="0.2">
      <c r="A2" s="1889" t="str">
        <f>"Due to ISBE on "</f>
        <v xml:space="preserve">Due to ISBE on </v>
      </c>
      <c r="B2" s="1992">
        <f>+'AFR20'!F4</f>
        <v>44151</v>
      </c>
      <c r="C2" s="1992"/>
      <c r="D2" s="1993"/>
      <c r="I2" s="2071" t="s">
        <v>2006</v>
      </c>
      <c r="J2" s="2070"/>
      <c r="K2" s="2070"/>
      <c r="L2" s="2070"/>
      <c r="M2" s="2070"/>
      <c r="N2" s="2070"/>
      <c r="O2" s="2070"/>
      <c r="P2" s="2070"/>
      <c r="Q2" s="2070"/>
      <c r="R2" s="2070"/>
      <c r="S2" s="2070"/>
    </row>
    <row r="3" spans="1:32" ht="12" customHeight="1" x14ac:dyDescent="0.2">
      <c r="A3" s="1892"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521</v>
      </c>
      <c r="J4" s="2070"/>
      <c r="K4" s="2070"/>
      <c r="L4" s="2070"/>
      <c r="M4" s="2070"/>
      <c r="N4" s="2070"/>
      <c r="O4" s="2070"/>
      <c r="P4" s="2070"/>
      <c r="Q4" s="2070"/>
      <c r="R4" s="2070"/>
      <c r="S4" s="2070"/>
    </row>
    <row r="5" spans="1:32" ht="14.1" customHeight="1" x14ac:dyDescent="0.2">
      <c r="B5" s="101"/>
      <c r="C5" s="26" t="s">
        <v>904</v>
      </c>
      <c r="D5" s="81"/>
      <c r="E5" s="81"/>
      <c r="H5" s="38"/>
      <c r="I5" s="2078" t="s">
        <v>675</v>
      </c>
      <c r="J5" s="2023"/>
      <c r="K5" s="2023"/>
      <c r="L5" s="2023"/>
      <c r="M5" s="2023"/>
      <c r="N5" s="2023"/>
      <c r="O5" s="2023"/>
      <c r="P5" s="2023"/>
      <c r="Q5" s="2023"/>
      <c r="R5" s="2023"/>
      <c r="S5" s="2023"/>
      <c r="AF5" s="1885"/>
    </row>
    <row r="6" spans="1:32" ht="14.1" customHeight="1" x14ac:dyDescent="0.2">
      <c r="B6" s="101" t="s">
        <v>2021</v>
      </c>
      <c r="C6" s="26" t="s">
        <v>905</v>
      </c>
      <c r="D6" s="81"/>
      <c r="E6" s="81"/>
      <c r="I6" s="2077" t="s">
        <v>877</v>
      </c>
      <c r="J6" s="2023"/>
      <c r="K6" s="2023"/>
      <c r="L6" s="2023"/>
      <c r="M6" s="2023"/>
      <c r="N6" s="2023"/>
      <c r="O6" s="2023"/>
      <c r="P6" s="2023"/>
      <c r="Q6" s="2023"/>
      <c r="R6" s="2023"/>
      <c r="S6" s="2023"/>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669</v>
      </c>
      <c r="J9" s="2075"/>
      <c r="K9" s="2075"/>
      <c r="L9" s="2075"/>
      <c r="M9" s="2075"/>
      <c r="N9" s="2075"/>
      <c r="O9" s="2075"/>
      <c r="P9" s="2075"/>
      <c r="Q9" s="2075"/>
      <c r="R9" s="2075"/>
      <c r="S9" s="2076"/>
      <c r="T9" s="2019" t="s">
        <v>530</v>
      </c>
      <c r="U9" s="2020"/>
      <c r="V9" s="2020"/>
      <c r="W9" s="2020"/>
      <c r="X9" s="2020"/>
      <c r="Y9" s="2020"/>
      <c r="Z9" s="2020"/>
      <c r="AA9" s="2021"/>
    </row>
    <row r="10" spans="1:32" ht="13.5" customHeight="1" x14ac:dyDescent="0.2">
      <c r="A10" s="2028" t="s">
        <v>670</v>
      </c>
      <c r="B10" s="2029"/>
      <c r="C10" s="2029"/>
      <c r="D10" s="2029"/>
      <c r="E10" s="2029"/>
      <c r="F10" s="2029"/>
      <c r="G10" s="2029"/>
      <c r="H10" s="2030"/>
      <c r="I10" s="29"/>
      <c r="J10" s="30"/>
      <c r="K10" s="28"/>
      <c r="R10" s="30"/>
      <c r="S10" s="30"/>
      <c r="T10" s="2022"/>
      <c r="U10" s="2023"/>
      <c r="V10" s="2023"/>
      <c r="W10" s="2023"/>
      <c r="X10" s="2023"/>
      <c r="Y10" s="2023"/>
      <c r="Z10" s="2023"/>
      <c r="AA10" s="2024"/>
    </row>
    <row r="11" spans="1:32" ht="14.25" customHeight="1" x14ac:dyDescent="0.2">
      <c r="A11" s="2031" t="s">
        <v>949</v>
      </c>
      <c r="B11" s="2032"/>
      <c r="C11" s="2032"/>
      <c r="D11" s="2032"/>
      <c r="E11" s="2032"/>
      <c r="F11" s="2032"/>
      <c r="G11" s="2032"/>
      <c r="H11" s="2033"/>
      <c r="I11" s="27"/>
      <c r="J11" s="71"/>
      <c r="K11" s="27"/>
      <c r="O11" s="144" t="s">
        <v>2021</v>
      </c>
      <c r="P11" s="97" t="s">
        <v>199</v>
      </c>
      <c r="Q11" s="30"/>
      <c r="R11" s="28"/>
      <c r="S11" s="27"/>
      <c r="T11" s="2025"/>
      <c r="U11" s="2026"/>
      <c r="V11" s="2026"/>
      <c r="W11" s="2026"/>
      <c r="X11" s="2026"/>
      <c r="Y11" s="2026"/>
      <c r="Z11" s="2026"/>
      <c r="AA11" s="202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9">
        <v>16019430040</v>
      </c>
      <c r="B13" s="2040"/>
      <c r="C13" s="2040"/>
      <c r="D13" s="2040"/>
      <c r="E13" s="2040"/>
      <c r="F13" s="2040"/>
      <c r="G13" s="2040"/>
      <c r="H13" s="2041"/>
      <c r="I13" s="31"/>
      <c r="J13" s="30"/>
      <c r="K13" s="28"/>
      <c r="L13" s="30"/>
      <c r="M13" s="30"/>
      <c r="N13" s="30"/>
      <c r="O13" s="30"/>
      <c r="P13" s="30"/>
      <c r="Q13" s="30"/>
      <c r="R13" s="30"/>
      <c r="S13" s="30"/>
      <c r="T13" s="2044" t="s">
        <v>2029</v>
      </c>
      <c r="U13" s="2045"/>
      <c r="V13" s="2045"/>
      <c r="W13" s="2045"/>
      <c r="X13" s="2045"/>
      <c r="Y13" s="2046"/>
      <c r="Z13" s="2046"/>
      <c r="AA13" s="204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7" t="s">
        <v>2022</v>
      </c>
      <c r="B15" s="2042"/>
      <c r="C15" s="2042"/>
      <c r="D15" s="2042"/>
      <c r="E15" s="2042"/>
      <c r="F15" s="2042"/>
      <c r="G15" s="2042"/>
      <c r="H15" s="2043"/>
      <c r="T15" s="2005" t="s">
        <v>2030</v>
      </c>
      <c r="U15" s="2006"/>
      <c r="V15" s="2006"/>
      <c r="W15" s="2006"/>
      <c r="X15" s="2006"/>
      <c r="Y15" s="2048"/>
      <c r="Z15" s="2048"/>
      <c r="AA15" s="204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7" t="s">
        <v>2058</v>
      </c>
      <c r="B17" s="2067"/>
      <c r="C17" s="2067"/>
      <c r="D17" s="2067"/>
      <c r="E17" s="2067"/>
      <c r="F17" s="2067"/>
      <c r="G17" s="2067"/>
      <c r="H17" s="2068"/>
      <c r="T17" s="2054" t="s">
        <v>2031</v>
      </c>
      <c r="U17" s="2055"/>
      <c r="V17" s="2055"/>
      <c r="W17" s="2055"/>
      <c r="X17" s="2055"/>
      <c r="Y17" s="2055"/>
      <c r="Z17" s="2055"/>
      <c r="AA17" s="2056"/>
    </row>
    <row r="18" spans="1:27" ht="13.5" customHeight="1" x14ac:dyDescent="0.2">
      <c r="A18" s="82" t="s">
        <v>527</v>
      </c>
      <c r="B18" s="73"/>
      <c r="C18" s="69"/>
      <c r="D18" s="73"/>
      <c r="E18" s="73"/>
      <c r="F18" s="73"/>
      <c r="G18" s="73"/>
      <c r="H18" s="53"/>
      <c r="I18" s="206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x14ac:dyDescent="0.2">
      <c r="A19" s="2037" t="s">
        <v>2023</v>
      </c>
      <c r="B19" s="2038"/>
      <c r="C19" s="2038"/>
      <c r="D19" s="2038"/>
      <c r="E19" s="2038"/>
      <c r="F19" s="2038"/>
      <c r="G19" s="2038"/>
      <c r="H19" s="2036"/>
      <c r="I19" s="30"/>
      <c r="J19" s="96"/>
      <c r="K19" s="40"/>
      <c r="L19" s="38"/>
      <c r="M19" s="109" t="s">
        <v>312</v>
      </c>
      <c r="P19" s="27"/>
      <c r="Q19" s="27"/>
      <c r="R19" s="27"/>
      <c r="S19" s="31"/>
      <c r="T19" s="2037" t="s">
        <v>2032</v>
      </c>
      <c r="U19" s="2035"/>
      <c r="V19" s="2035"/>
      <c r="W19" s="2036"/>
      <c r="X19" s="2052" t="s">
        <v>2033</v>
      </c>
      <c r="Y19" s="2053"/>
      <c r="Z19" s="2050">
        <v>60450</v>
      </c>
      <c r="AA19" s="205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4" t="s">
        <v>2024</v>
      </c>
      <c r="B21" s="2035"/>
      <c r="C21" s="2035"/>
      <c r="D21" s="2035"/>
      <c r="E21" s="2035"/>
      <c r="F21" s="2035"/>
      <c r="G21" s="2035"/>
      <c r="H21" s="2036"/>
      <c r="I21" s="2060" t="s">
        <v>673</v>
      </c>
      <c r="J21" s="2023"/>
      <c r="K21" s="2023"/>
      <c r="L21" s="2023"/>
      <c r="M21" s="2023"/>
      <c r="N21" s="2023"/>
      <c r="O21" s="2023"/>
      <c r="P21" s="2023"/>
      <c r="Q21" s="2023"/>
      <c r="R21" s="2023"/>
      <c r="S21" s="2024"/>
      <c r="T21" s="2002" t="s">
        <v>2034</v>
      </c>
      <c r="U21" s="2003"/>
      <c r="V21" s="2003"/>
      <c r="W21" s="2003"/>
      <c r="X21" s="2016" t="s">
        <v>2035</v>
      </c>
      <c r="Y21" s="2017"/>
      <c r="Z21" s="2017"/>
      <c r="AA21" s="2018"/>
    </row>
    <row r="22" spans="1:27" ht="13.5" customHeight="1" x14ac:dyDescent="0.2">
      <c r="A22" s="84" t="s">
        <v>528</v>
      </c>
      <c r="B22" s="56"/>
      <c r="C22" s="56"/>
      <c r="D22" s="56"/>
      <c r="E22" s="56"/>
      <c r="F22" s="56"/>
      <c r="G22" s="56"/>
      <c r="H22" s="57"/>
      <c r="I22" s="2061" t="s">
        <v>1415</v>
      </c>
      <c r="J22" s="2062"/>
      <c r="K22" s="2062"/>
      <c r="L22" s="2062"/>
      <c r="M22" s="2062"/>
      <c r="N22" s="2062"/>
      <c r="O22" s="2062"/>
      <c r="P22" s="2062"/>
      <c r="Q22" s="2062"/>
      <c r="R22" s="2062"/>
      <c r="S22" s="2063"/>
      <c r="T22" s="82" t="s">
        <v>1502</v>
      </c>
      <c r="U22" s="48"/>
      <c r="V22" s="69"/>
      <c r="W22" s="48"/>
      <c r="X22" s="155" t="s">
        <v>1309</v>
      </c>
      <c r="Z22" s="43"/>
      <c r="AA22" s="44"/>
    </row>
    <row r="23" spans="1:27" ht="13.5" customHeight="1" x14ac:dyDescent="0.2">
      <c r="A23" s="2057" t="s">
        <v>2025</v>
      </c>
      <c r="B23" s="2058"/>
      <c r="C23" s="2058"/>
      <c r="D23" s="2058"/>
      <c r="E23" s="2058"/>
      <c r="F23" s="2058"/>
      <c r="G23" s="2058"/>
      <c r="H23" s="2059"/>
      <c r="T23" s="1997" t="s">
        <v>2036</v>
      </c>
      <c r="U23" s="1998"/>
      <c r="V23" s="1998"/>
      <c r="W23" s="1998"/>
      <c r="X23" s="2013">
        <v>44530</v>
      </c>
      <c r="Y23" s="2014"/>
      <c r="Z23" s="2014"/>
      <c r="AA23" s="2015"/>
    </row>
    <row r="24" spans="1:27" ht="14.1" customHeight="1" x14ac:dyDescent="0.2">
      <c r="A24" s="85" t="s">
        <v>672</v>
      </c>
      <c r="B24" s="46"/>
      <c r="C24" s="46"/>
      <c r="D24" s="46"/>
      <c r="E24" s="46"/>
      <c r="F24" s="46"/>
      <c r="G24" s="46"/>
      <c r="H24" s="58"/>
      <c r="J24" s="2099" t="str">
        <f>IF(B5="x",IF(AUDITCHECK!D29="AFR form Incomplete.","",IF(AUDITCHECK!D29="Deficit reduction plan is required.","School District must complete a deficit reduction plan in the 2019-2020 Budget",)),"")</f>
        <v/>
      </c>
      <c r="K24" s="2099"/>
      <c r="L24" s="2099"/>
      <c r="M24" s="2099"/>
      <c r="N24" s="2099"/>
      <c r="O24" s="2099"/>
      <c r="P24" s="2099"/>
      <c r="Q24" s="2099"/>
      <c r="R24" s="2099"/>
      <c r="S24" s="2100"/>
      <c r="T24" s="102" t="s">
        <v>528</v>
      </c>
      <c r="U24" s="103"/>
      <c r="V24" s="103"/>
      <c r="W24" s="103"/>
      <c r="X24" s="104"/>
      <c r="Y24" s="104"/>
      <c r="Z24" s="104"/>
      <c r="AA24" s="105"/>
    </row>
    <row r="25" spans="1:27" ht="14.1" customHeight="1" x14ac:dyDescent="0.2">
      <c r="A25" s="2034">
        <v>60548</v>
      </c>
      <c r="B25" s="2035"/>
      <c r="C25" s="2035"/>
      <c r="D25" s="2035"/>
      <c r="E25" s="2035"/>
      <c r="F25" s="2035"/>
      <c r="G25" s="2035"/>
      <c r="H25" s="2036"/>
      <c r="I25" s="110"/>
      <c r="J25" s="2101"/>
      <c r="K25" s="2101"/>
      <c r="L25" s="2101"/>
      <c r="M25" s="2101"/>
      <c r="N25" s="2101"/>
      <c r="O25" s="2101"/>
      <c r="P25" s="2101"/>
      <c r="Q25" s="2101"/>
      <c r="R25" s="2101"/>
      <c r="S25" s="2102"/>
      <c r="T25" s="1994" t="s">
        <v>2037</v>
      </c>
      <c r="U25" s="1995"/>
      <c r="V25" s="1995"/>
      <c r="W25" s="1995"/>
      <c r="X25" s="1995"/>
      <c r="Y25" s="1995"/>
      <c r="Z25" s="1995"/>
      <c r="AA25" s="199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2" t="s">
        <v>1497</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8"/>
      <c r="Q35" s="2035"/>
      <c r="R35" s="20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7" t="s">
        <v>2026</v>
      </c>
      <c r="B38" s="2067"/>
      <c r="C38" s="2067"/>
      <c r="D38" s="2067"/>
      <c r="E38" s="2067"/>
      <c r="F38" s="2035"/>
      <c r="G38" s="2035"/>
      <c r="H38" s="2036"/>
      <c r="I38" s="2086"/>
      <c r="J38" s="2006"/>
      <c r="K38" s="2006"/>
      <c r="L38" s="2006"/>
      <c r="M38" s="2006"/>
      <c r="N38" s="2006"/>
      <c r="O38" s="2006"/>
      <c r="P38" s="2007"/>
      <c r="Q38" s="2007"/>
      <c r="R38" s="2007"/>
      <c r="S38" s="2008"/>
      <c r="T38" s="2005"/>
      <c r="U38" s="2006"/>
      <c r="V38" s="2006"/>
      <c r="W38" s="2006"/>
      <c r="X38" s="2007"/>
      <c r="Y38" s="2007"/>
      <c r="Z38" s="2007"/>
      <c r="AA38" s="2008"/>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3" t="s">
        <v>2025</v>
      </c>
      <c r="B40" s="2094"/>
      <c r="C40" s="2095"/>
      <c r="D40" s="2095"/>
      <c r="E40" s="2095"/>
      <c r="F40" s="2096"/>
      <c r="G40" s="2096"/>
      <c r="H40" s="2097"/>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3" t="s">
        <v>2027</v>
      </c>
      <c r="B42" s="2084"/>
      <c r="C42" s="2085"/>
      <c r="D42" s="2098" t="s">
        <v>2028</v>
      </c>
      <c r="E42" s="2084"/>
      <c r="F42" s="2084"/>
      <c r="G42" s="2084"/>
      <c r="H42" s="2085"/>
      <c r="I42" s="2004"/>
      <c r="J42" s="2000"/>
      <c r="K42" s="2000"/>
      <c r="L42" s="2000"/>
      <c r="M42" s="2000"/>
      <c r="N42" s="2000"/>
      <c r="O42" s="2001"/>
      <c r="P42" s="1999"/>
      <c r="Q42" s="2000"/>
      <c r="R42" s="2000"/>
      <c r="S42" s="2001"/>
      <c r="T42" s="2004"/>
      <c r="U42" s="2000"/>
      <c r="V42" s="2000"/>
      <c r="W42" s="2001"/>
      <c r="X42" s="1999"/>
      <c r="Y42" s="2000"/>
      <c r="Z42" s="2000"/>
      <c r="AA42" s="200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15" sqref="T15:AA1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T15" sqref="T15:AA1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7" t="s">
        <v>625</v>
      </c>
      <c r="B1" s="2248"/>
      <c r="C1" s="585"/>
    </row>
    <row r="2" spans="1:7" ht="33.75" x14ac:dyDescent="0.2">
      <c r="A2" s="2256" t="s">
        <v>1782</v>
      </c>
      <c r="B2" s="225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0" t="s">
        <v>1106</v>
      </c>
      <c r="B3" s="2261"/>
      <c r="C3" s="2249"/>
      <c r="D3" s="2250"/>
      <c r="E3" s="2250"/>
      <c r="F3" s="2251"/>
    </row>
    <row r="4" spans="1:7" ht="12.75" customHeight="1" thickBot="1" x14ac:dyDescent="0.25">
      <c r="A4" s="2258" t="s">
        <v>626</v>
      </c>
      <c r="B4" s="2259"/>
      <c r="C4" s="1706"/>
      <c r="D4" s="1706"/>
      <c r="E4" s="1706"/>
      <c r="F4" s="1782">
        <f>SUM(C4+D4)-E4</f>
        <v>0</v>
      </c>
    </row>
    <row r="5" spans="1:7" ht="15.75" customHeight="1" thickTop="1" x14ac:dyDescent="0.2">
      <c r="A5" s="2243" t="s">
        <v>1103</v>
      </c>
      <c r="B5" s="2244"/>
      <c r="C5" s="2252"/>
      <c r="D5" s="2253"/>
      <c r="E5" s="2253"/>
      <c r="F5" s="225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5" t="s">
        <v>627</v>
      </c>
      <c r="B15" s="2246"/>
      <c r="C15" s="1782">
        <f>SUM(C6:C14)</f>
        <v>0</v>
      </c>
      <c r="D15" s="1782">
        <f>SUM(D6:D14)</f>
        <v>0</v>
      </c>
      <c r="E15" s="1782">
        <f>SUM(E6:E14)</f>
        <v>0</v>
      </c>
      <c r="F15" s="1782">
        <f>SUM(F6:F14)</f>
        <v>0</v>
      </c>
      <c r="G15" s="473"/>
    </row>
    <row r="16" spans="1:7" s="197" customFormat="1" ht="15.75" customHeight="1" thickTop="1" x14ac:dyDescent="0.2">
      <c r="A16" s="2255" t="s">
        <v>1104</v>
      </c>
      <c r="B16" s="2244"/>
      <c r="C16" s="2252"/>
      <c r="D16" s="2253"/>
      <c r="E16" s="2253"/>
      <c r="F16" s="2254"/>
    </row>
    <row r="17" spans="1:11" ht="12.75" customHeight="1" thickBot="1" x14ac:dyDescent="0.25">
      <c r="A17" s="2268" t="s">
        <v>64</v>
      </c>
      <c r="B17" s="2269"/>
      <c r="C17" s="1783"/>
      <c r="D17" s="1714"/>
      <c r="E17" s="1783"/>
      <c r="F17" s="1782">
        <f>SUM(C17+D17)-E17</f>
        <v>0</v>
      </c>
    </row>
    <row r="18" spans="1:11" ht="12.75" customHeight="1" thickTop="1" thickBot="1" x14ac:dyDescent="0.25">
      <c r="A18" s="2268" t="s">
        <v>6</v>
      </c>
      <c r="B18" s="2269"/>
      <c r="C18" s="1783"/>
      <c r="D18" s="1714"/>
      <c r="E18" s="1783"/>
      <c r="F18" s="1782">
        <f>SUM(C18+D18)-E18</f>
        <v>0</v>
      </c>
    </row>
    <row r="19" spans="1:11" ht="12.75" customHeight="1" thickTop="1" thickBot="1" x14ac:dyDescent="0.25">
      <c r="A19" s="2268" t="s">
        <v>385</v>
      </c>
      <c r="B19" s="2269"/>
      <c r="C19" s="1783"/>
      <c r="D19" s="1714"/>
      <c r="E19" s="1783"/>
      <c r="F19" s="1782">
        <f>SUM(C19+D19)-E19</f>
        <v>0</v>
      </c>
    </row>
    <row r="20" spans="1:11" ht="12.75" customHeight="1" thickTop="1" thickBot="1" x14ac:dyDescent="0.25">
      <c r="A20" s="2268" t="s">
        <v>445</v>
      </c>
      <c r="B20" s="2269"/>
      <c r="C20" s="1783"/>
      <c r="D20" s="1714"/>
      <c r="E20" s="1783"/>
      <c r="F20" s="1782">
        <f>SUM(C20+D20)-E20</f>
        <v>0</v>
      </c>
    </row>
    <row r="21" spans="1:11" ht="14.25" thickTop="1" thickBot="1" x14ac:dyDescent="0.25">
      <c r="A21" s="2245" t="s">
        <v>628</v>
      </c>
      <c r="B21" s="2246"/>
      <c r="C21" s="1782">
        <f>SUM(C17:C20)</f>
        <v>0</v>
      </c>
      <c r="D21" s="1782">
        <f>SUM(D17:D20)</f>
        <v>0</v>
      </c>
      <c r="E21" s="1782">
        <f>SUM(E17:E20)</f>
        <v>0</v>
      </c>
      <c r="F21" s="1782">
        <f>SUM(F17:F20)</f>
        <v>0</v>
      </c>
      <c r="G21" s="473"/>
    </row>
    <row r="22" spans="1:11" ht="15.75" customHeight="1" thickTop="1" x14ac:dyDescent="0.2">
      <c r="A22" s="2270" t="s">
        <v>1105</v>
      </c>
      <c r="B22" s="2244"/>
      <c r="C22" s="2252"/>
      <c r="D22" s="2253"/>
      <c r="E22" s="2253"/>
      <c r="F22" s="2254"/>
    </row>
    <row r="23" spans="1:11" ht="13.5" thickBot="1" x14ac:dyDescent="0.25">
      <c r="A23" s="2258" t="s">
        <v>629</v>
      </c>
      <c r="B23" s="2259"/>
      <c r="C23" s="1706"/>
      <c r="D23" s="1706"/>
      <c r="E23" s="1706"/>
      <c r="F23" s="1782">
        <f>SUM(C23+D23)-E23</f>
        <v>0</v>
      </c>
      <c r="G23" s="473"/>
    </row>
    <row r="24" spans="1:11" ht="15.75" customHeight="1" thickTop="1" x14ac:dyDescent="0.2">
      <c r="A24" s="2270" t="s">
        <v>2009</v>
      </c>
      <c r="B24" s="2244"/>
      <c r="C24" s="2252"/>
      <c r="D24" s="2253"/>
      <c r="E24" s="2253"/>
      <c r="F24" s="2254"/>
    </row>
    <row r="25" spans="1:11" ht="13.5" thickBot="1" x14ac:dyDescent="0.25">
      <c r="A25" s="2258" t="s">
        <v>2010</v>
      </c>
      <c r="B25" s="2259"/>
      <c r="C25" s="1706"/>
      <c r="D25" s="1706"/>
      <c r="E25" s="1706"/>
      <c r="F25" s="1782">
        <f>SUM(C25+D25)-E25</f>
        <v>0</v>
      </c>
      <c r="G25" s="473"/>
    </row>
    <row r="26" spans="1:11" ht="15.75" customHeight="1" thickTop="1" x14ac:dyDescent="0.2">
      <c r="A26" s="2243" t="s">
        <v>652</v>
      </c>
      <c r="B26" s="2244"/>
      <c r="C26" s="589"/>
      <c r="D26" s="589"/>
      <c r="E26" s="589"/>
      <c r="F26" s="590"/>
    </row>
    <row r="27" spans="1:11" ht="13.5" thickBot="1" x14ac:dyDescent="0.25">
      <c r="A27" s="2245" t="s">
        <v>1063</v>
      </c>
      <c r="B27" s="2246"/>
      <c r="C27" s="1714"/>
      <c r="D27" s="1714"/>
      <c r="E27" s="1714"/>
      <c r="F27" s="1782">
        <f>SUM(C27+D27)-E27</f>
        <v>0</v>
      </c>
      <c r="G27" s="473"/>
    </row>
    <row r="28" spans="1:11" ht="7.5" customHeight="1" thickTop="1" x14ac:dyDescent="0.2">
      <c r="A28" s="489"/>
    </row>
    <row r="29" spans="1:11" ht="23.25" customHeight="1" x14ac:dyDescent="0.2">
      <c r="A29" s="2271" t="s">
        <v>578</v>
      </c>
      <c r="B29" s="2248"/>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2" t="s">
        <v>580</v>
      </c>
      <c r="C52" s="2263"/>
      <c r="D52" s="2263"/>
      <c r="E52" s="603" t="s">
        <v>840</v>
      </c>
      <c r="F52" s="2264"/>
      <c r="G52" s="2265"/>
      <c r="H52" s="596"/>
      <c r="I52" s="596"/>
      <c r="J52" s="600"/>
    </row>
    <row r="53" spans="1:11" ht="11.25" customHeight="1" x14ac:dyDescent="0.2">
      <c r="A53" s="604" t="s">
        <v>907</v>
      </c>
      <c r="B53" s="605" t="s">
        <v>945</v>
      </c>
      <c r="C53" s="600"/>
      <c r="D53" s="597"/>
      <c r="E53" s="603" t="s">
        <v>494</v>
      </c>
      <c r="F53" s="2266"/>
      <c r="G53" s="2267"/>
      <c r="H53" s="596"/>
      <c r="I53" s="596"/>
      <c r="J53" s="600"/>
    </row>
    <row r="54" spans="1:11" ht="11.25" customHeight="1" x14ac:dyDescent="0.2">
      <c r="A54" s="606" t="s">
        <v>908</v>
      </c>
      <c r="B54" s="601" t="s">
        <v>946</v>
      </c>
      <c r="C54" s="600"/>
      <c r="D54" s="597"/>
      <c r="E54" s="603" t="s">
        <v>495</v>
      </c>
      <c r="F54" s="2266"/>
      <c r="G54" s="226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T15" sqref="T15:AA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8" t="s">
        <v>851</v>
      </c>
      <c r="B1" s="2299"/>
      <c r="C1" s="2299"/>
      <c r="D1" s="2299"/>
      <c r="E1" s="2299"/>
      <c r="F1" s="2299"/>
      <c r="G1" s="2300"/>
      <c r="H1" s="1343"/>
      <c r="I1" s="614"/>
      <c r="J1" s="400"/>
    </row>
    <row r="2" spans="1:11" ht="26.25" x14ac:dyDescent="0.2">
      <c r="A2" s="2275" t="s">
        <v>1661</v>
      </c>
      <c r="B2" s="2276"/>
      <c r="C2" s="2276"/>
      <c r="D2" s="2276"/>
      <c r="E2" s="2277"/>
      <c r="F2" s="615" t="s">
        <v>898</v>
      </c>
      <c r="G2" s="616" t="s">
        <v>1658</v>
      </c>
      <c r="H2" s="616" t="s">
        <v>407</v>
      </c>
      <c r="I2" s="616" t="s">
        <v>1150</v>
      </c>
      <c r="J2" s="616" t="s">
        <v>1792</v>
      </c>
      <c r="K2" s="616" t="s">
        <v>137</v>
      </c>
    </row>
    <row r="3" spans="1:11" x14ac:dyDescent="0.2">
      <c r="A3" s="2278" t="str">
        <f>"Cash Basis Fund Balance as of July 1, "&amp;'AFR20'!E2-1</f>
        <v>Cash Basis Fund Balance as of July 1, 2019</v>
      </c>
      <c r="B3" s="2279"/>
      <c r="C3" s="2279"/>
      <c r="D3" s="2279"/>
      <c r="E3" s="2280"/>
      <c r="F3" s="617"/>
      <c r="G3" s="1794"/>
      <c r="H3" s="1794"/>
      <c r="I3" s="1794"/>
      <c r="J3" s="1795"/>
      <c r="K3" s="1795"/>
    </row>
    <row r="4" spans="1:11" x14ac:dyDescent="0.2">
      <c r="A4" s="2281" t="s">
        <v>366</v>
      </c>
      <c r="B4" s="2282"/>
      <c r="C4" s="2282"/>
      <c r="D4" s="2282"/>
      <c r="E4" s="2263"/>
      <c r="F4" s="620"/>
      <c r="G4" s="1796"/>
      <c r="H4" s="1797"/>
      <c r="I4" s="1796"/>
      <c r="J4" s="1798"/>
      <c r="K4" s="1798"/>
    </row>
    <row r="5" spans="1:11" x14ac:dyDescent="0.2">
      <c r="A5" s="2301" t="s">
        <v>1062</v>
      </c>
      <c r="B5" s="2272"/>
      <c r="C5" s="2272"/>
      <c r="D5" s="2272"/>
      <c r="E5" s="2302"/>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1" t="s">
        <v>1793</v>
      </c>
      <c r="B10" s="2272"/>
      <c r="C10" s="2272"/>
      <c r="D10" s="2272"/>
      <c r="E10" s="2303"/>
      <c r="F10" s="633" t="s">
        <v>857</v>
      </c>
      <c r="G10" s="1803"/>
      <c r="H10" s="1804"/>
      <c r="I10" s="1794"/>
      <c r="J10" s="1795"/>
      <c r="K10" s="1795"/>
    </row>
    <row r="11" spans="1:11" x14ac:dyDescent="0.2">
      <c r="A11" s="2301" t="s">
        <v>159</v>
      </c>
      <c r="B11" s="2272"/>
      <c r="C11" s="2272"/>
      <c r="D11" s="2272"/>
      <c r="E11" s="2302"/>
      <c r="F11" s="622" t="s">
        <v>847</v>
      </c>
      <c r="G11" s="1799"/>
      <c r="H11" s="1794"/>
      <c r="I11" s="1794"/>
      <c r="J11" s="1795"/>
      <c r="K11" s="1801"/>
    </row>
    <row r="12" spans="1:11" ht="13.5" thickBot="1" x14ac:dyDescent="0.25">
      <c r="A12" s="2289" t="s">
        <v>899</v>
      </c>
      <c r="B12" s="2290"/>
      <c r="C12" s="2290"/>
      <c r="D12" s="2290"/>
      <c r="E12" s="2291"/>
      <c r="F12" s="1482"/>
      <c r="G12" s="1805">
        <f>SUM(G5:G11)</f>
        <v>0</v>
      </c>
      <c r="H12" s="1805">
        <f>SUM(H5:H11)</f>
        <v>0</v>
      </c>
      <c r="I12" s="1805">
        <f>SUM(I5:I11)</f>
        <v>0</v>
      </c>
      <c r="J12" s="1805">
        <f>SUM(J5:J11)</f>
        <v>0</v>
      </c>
      <c r="K12" s="1805">
        <f>SUM(K5:K11)</f>
        <v>0</v>
      </c>
    </row>
    <row r="13" spans="1:11" ht="13.5" thickTop="1" x14ac:dyDescent="0.2">
      <c r="A13" s="2283" t="s">
        <v>367</v>
      </c>
      <c r="B13" s="2284"/>
      <c r="C13" s="2284"/>
      <c r="D13" s="2284"/>
      <c r="E13" s="2285"/>
      <c r="F13" s="634"/>
      <c r="G13" s="1806"/>
      <c r="H13" s="1807"/>
      <c r="I13" s="1808"/>
      <c r="J13" s="1808"/>
      <c r="K13" s="1808"/>
    </row>
    <row r="14" spans="1:11" x14ac:dyDescent="0.2">
      <c r="A14" s="2307" t="s">
        <v>453</v>
      </c>
      <c r="B14" s="2307"/>
      <c r="C14" s="2307"/>
      <c r="D14" s="2307"/>
      <c r="E14" s="2308"/>
      <c r="F14" s="635" t="s">
        <v>849</v>
      </c>
      <c r="G14" s="1803"/>
      <c r="H14" s="1794"/>
      <c r="I14" s="1799"/>
      <c r="J14" s="1801"/>
      <c r="K14" s="1795"/>
    </row>
    <row r="15" spans="1:11" x14ac:dyDescent="0.2">
      <c r="A15" s="2272" t="s">
        <v>4</v>
      </c>
      <c r="B15" s="2272"/>
      <c r="C15" s="2272"/>
      <c r="D15" s="2272"/>
      <c r="E15" s="2302"/>
      <c r="F15" s="635" t="s">
        <v>850</v>
      </c>
      <c r="G15" s="1799"/>
      <c r="H15" s="1794"/>
      <c r="I15" s="1794"/>
      <c r="J15" s="1795"/>
      <c r="K15" s="1795"/>
    </row>
    <row r="16" spans="1:11" x14ac:dyDescent="0.2">
      <c r="A16" s="2272" t="s">
        <v>295</v>
      </c>
      <c r="B16" s="2272"/>
      <c r="C16" s="2272"/>
      <c r="D16" s="2272"/>
      <c r="E16" s="2302"/>
      <c r="F16" s="635" t="s">
        <v>917</v>
      </c>
      <c r="G16" s="1800"/>
      <c r="H16" s="1796"/>
      <c r="I16" s="1796"/>
      <c r="J16" s="1798"/>
      <c r="K16" s="1798"/>
    </row>
    <row r="17" spans="1:15" x14ac:dyDescent="0.2">
      <c r="A17" s="2296" t="s">
        <v>929</v>
      </c>
      <c r="B17" s="2296"/>
      <c r="C17" s="2296"/>
      <c r="D17" s="2296"/>
      <c r="E17" s="2297"/>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309" t="s">
        <v>1789</v>
      </c>
      <c r="B19" s="2309"/>
      <c r="C19" s="2309"/>
      <c r="D19" s="2309"/>
      <c r="E19" s="2310"/>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292" t="s">
        <v>633</v>
      </c>
      <c r="B21" s="2292"/>
      <c r="C21" s="2292"/>
      <c r="D21" s="2292"/>
      <c r="E21" s="2292"/>
      <c r="F21" s="1483"/>
      <c r="G21" s="1810"/>
      <c r="H21" s="1814"/>
      <c r="I21" s="1814"/>
      <c r="J21" s="1815">
        <f>SUM(J18:J20)</f>
        <v>0</v>
      </c>
      <c r="K21" s="1811"/>
    </row>
    <row r="22" spans="1:15" ht="13.5" thickTop="1" x14ac:dyDescent="0.2">
      <c r="A22" s="2272" t="s">
        <v>1795</v>
      </c>
      <c r="B22" s="2272"/>
      <c r="C22" s="2272"/>
      <c r="D22" s="2272"/>
      <c r="E22" s="2302"/>
      <c r="F22" s="635" t="s">
        <v>857</v>
      </c>
      <c r="G22" s="1803"/>
      <c r="H22" s="1794"/>
      <c r="I22" s="1794"/>
      <c r="J22" s="1816"/>
      <c r="K22" s="1795"/>
    </row>
    <row r="23" spans="1:15" ht="13.5" thickBot="1" x14ac:dyDescent="0.25">
      <c r="A23" s="2293" t="s">
        <v>900</v>
      </c>
      <c r="B23" s="2292"/>
      <c r="C23" s="2292"/>
      <c r="D23" s="2292"/>
      <c r="E23" s="2292"/>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294" t="str">
        <f>"Ending Cash Basis Fund Balance as of June 30, "&amp;'AFR20'!E2</f>
        <v>Ending Cash Basis Fund Balance as of June 30, 2020</v>
      </c>
      <c r="B24" s="2295"/>
      <c r="C24" s="2295"/>
      <c r="D24" s="2295"/>
      <c r="E24" s="2295"/>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4"/>
      <c r="I31" s="2305"/>
      <c r="J31" s="2305"/>
      <c r="K31" s="2305"/>
    </row>
    <row r="32" spans="1:15" x14ac:dyDescent="0.2">
      <c r="A32" s="649"/>
      <c r="B32" s="232"/>
      <c r="C32" s="232"/>
      <c r="D32" s="232"/>
      <c r="E32" s="645"/>
      <c r="F32" s="651" t="s">
        <v>537</v>
      </c>
      <c r="G32" s="618"/>
      <c r="H32" s="2306"/>
      <c r="I32" s="2305"/>
      <c r="J32" s="2305"/>
      <c r="K32" s="2305"/>
    </row>
    <row r="33" spans="1:11" ht="1.5" customHeight="1" x14ac:dyDescent="0.2">
      <c r="A33" s="652" t="s">
        <v>1161</v>
      </c>
      <c r="B33" s="341"/>
      <c r="C33" s="341"/>
      <c r="D33" s="341"/>
      <c r="E33" s="341"/>
      <c r="F33" s="341"/>
      <c r="G33" s="653"/>
      <c r="H33" s="2306"/>
      <c r="I33" s="2305"/>
      <c r="J33" s="2305"/>
      <c r="K33" s="230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2" t="s">
        <v>538</v>
      </c>
      <c r="B41" s="2273"/>
      <c r="C41" s="2273"/>
      <c r="D41" s="2273"/>
      <c r="E41" s="2273"/>
      <c r="F41" s="227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T15" sqref="T15:AA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102964</v>
      </c>
      <c r="D5" s="1820"/>
      <c r="E5" s="1820"/>
      <c r="F5" s="1815">
        <f>(C5+D5)-E5</f>
        <v>102964</v>
      </c>
      <c r="G5" s="676"/>
      <c r="H5" s="680"/>
      <c r="I5" s="680"/>
      <c r="J5" s="680"/>
      <c r="K5" s="637"/>
      <c r="L5" s="1491">
        <f>F5-K5</f>
        <v>102964</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3562716</v>
      </c>
      <c r="D8" s="1821"/>
      <c r="E8" s="1821"/>
      <c r="F8" s="1815">
        <f>(C8+D8)-E8</f>
        <v>3562716</v>
      </c>
      <c r="G8" s="681">
        <v>50</v>
      </c>
      <c r="H8" s="619">
        <v>1355722</v>
      </c>
      <c r="I8" s="619">
        <v>71475</v>
      </c>
      <c r="J8" s="619"/>
      <c r="K8" s="1491">
        <f>(H8+I8)-J8</f>
        <v>1427197</v>
      </c>
      <c r="L8" s="1491">
        <f>F8-K8</f>
        <v>2135519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183907</v>
      </c>
      <c r="D10" s="1822"/>
      <c r="E10" s="1822"/>
      <c r="F10" s="1823">
        <f>(C10+D10)-E10</f>
        <v>183907</v>
      </c>
      <c r="G10" s="681">
        <v>20</v>
      </c>
      <c r="H10" s="683">
        <v>112681</v>
      </c>
      <c r="I10" s="683">
        <v>5177</v>
      </c>
      <c r="J10" s="683"/>
      <c r="K10" s="1491">
        <f>(H10+I10)-J10</f>
        <v>117858</v>
      </c>
      <c r="L10" s="1491">
        <f>F10-K10</f>
        <v>66049</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306810</v>
      </c>
      <c r="D12" s="1821">
        <v>19935</v>
      </c>
      <c r="E12" s="1821"/>
      <c r="F12" s="1815">
        <f>(C12+D12)-E12</f>
        <v>326745</v>
      </c>
      <c r="G12" s="681">
        <v>10</v>
      </c>
      <c r="H12" s="619">
        <v>237023</v>
      </c>
      <c r="I12" s="619">
        <v>20404</v>
      </c>
      <c r="J12" s="619"/>
      <c r="K12" s="1491">
        <f>(H12+I12)-J12</f>
        <v>257427</v>
      </c>
      <c r="L12" s="1491">
        <f>F12-K12</f>
        <v>69318</v>
      </c>
    </row>
    <row r="13" spans="1:14" ht="14.25" thickTop="1" thickBot="1" x14ac:dyDescent="0.25">
      <c r="A13" s="684" t="s">
        <v>1114</v>
      </c>
      <c r="B13" s="679">
        <v>252</v>
      </c>
      <c r="C13" s="1821">
        <v>6100</v>
      </c>
      <c r="D13" s="1821">
        <v>794</v>
      </c>
      <c r="E13" s="1821"/>
      <c r="F13" s="1815">
        <f>(C13+D13)-E13</f>
        <v>6894</v>
      </c>
      <c r="G13" s="681">
        <v>5</v>
      </c>
      <c r="H13" s="619">
        <v>6100</v>
      </c>
      <c r="I13" s="619">
        <v>159</v>
      </c>
      <c r="J13" s="619"/>
      <c r="K13" s="1491">
        <f>(H13+I13)-J13</f>
        <v>6259</v>
      </c>
      <c r="L13" s="1491">
        <f>F13-K13</f>
        <v>635</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4162497</v>
      </c>
      <c r="D16" s="1815">
        <f>SUM(D3,D5:D6,D8:D10,D12:D15)</f>
        <v>20729</v>
      </c>
      <c r="E16" s="1815">
        <f>SUM(E3,E5:E6,E8:E10,E12:E15)</f>
        <v>0</v>
      </c>
      <c r="F16" s="1815">
        <f>SUM(F3,F5:F6,F8:F10,F12:F15)</f>
        <v>4183226</v>
      </c>
      <c r="G16" s="681"/>
      <c r="H16" s="1484">
        <f>SUM(H3,H6,H8:H10,H12:H14,)</f>
        <v>1711526</v>
      </c>
      <c r="I16" s="1484">
        <f>SUM(I3,I6,I8:I10,I12:I14,)</f>
        <v>97215</v>
      </c>
      <c r="J16" s="1484">
        <f>SUM(J3,J6,J8:J10,J12:J14,)</f>
        <v>0</v>
      </c>
      <c r="K16" s="1484">
        <f>(H16+I16)-J16</f>
        <v>1808741</v>
      </c>
      <c r="L16" s="1484">
        <f>F16-K16</f>
        <v>2374485</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97215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6" colorId="8" zoomScale="110" zoomScaleNormal="110" workbookViewId="0">
      <selection activeCell="T15" sqref="T15:AA1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1836588</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1836588</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8065</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0</v>
      </c>
      <c r="G53" s="701"/>
    </row>
    <row r="54" spans="1:7" x14ac:dyDescent="0.2">
      <c r="A54" s="705" t="s">
        <v>456</v>
      </c>
      <c r="B54" s="705" t="s">
        <v>1462</v>
      </c>
      <c r="C54" s="724" t="s">
        <v>975</v>
      </c>
      <c r="D54" s="720" t="s">
        <v>1088</v>
      </c>
      <c r="E54" s="704"/>
      <c r="F54" s="1832">
        <f>'Expenditures 15-22'!G114</f>
        <v>16668</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24733</v>
      </c>
      <c r="G77" s="701"/>
    </row>
    <row r="78" spans="1:9" s="728" customFormat="1" ht="12" customHeight="1" thickTop="1" thickBot="1" x14ac:dyDescent="0.25">
      <c r="A78" s="1499"/>
      <c r="B78" s="1497"/>
      <c r="C78" s="1494"/>
      <c r="D78" s="1498" t="s">
        <v>2015</v>
      </c>
      <c r="E78" s="1496"/>
      <c r="F78" s="1838">
        <f>(F14-F77)</f>
        <v>1811855</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46507</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10839</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939</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296825</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31727</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386837</v>
      </c>
    </row>
    <row r="176" spans="1:7" ht="12" customHeight="1" x14ac:dyDescent="0.2">
      <c r="A176" s="1492"/>
      <c r="B176" s="1502"/>
      <c r="C176" s="1503"/>
      <c r="D176" s="1504" t="s">
        <v>2017</v>
      </c>
      <c r="E176" s="1505"/>
      <c r="F176" s="1843">
        <f>'PCTC-OEPP 27-28'!F78-F175</f>
        <v>1425018</v>
      </c>
    </row>
    <row r="177" spans="1:9" ht="12" customHeight="1" x14ac:dyDescent="0.2">
      <c r="A177" s="1492"/>
      <c r="B177" s="1502"/>
      <c r="C177" s="1503"/>
      <c r="D177" s="1504" t="s">
        <v>1797</v>
      </c>
      <c r="E177" s="1505"/>
      <c r="F177" s="1843">
        <f>'Cap Outlay Deprec 26'!I18</f>
        <v>97215</v>
      </c>
    </row>
    <row r="178" spans="1:9" ht="12" customHeight="1" x14ac:dyDescent="0.2">
      <c r="A178" s="1492"/>
      <c r="B178" s="1502"/>
      <c r="C178" s="1503"/>
      <c r="D178" s="1504" t="s">
        <v>2018</v>
      </c>
      <c r="E178" s="1505"/>
      <c r="F178" s="1843">
        <f>F176+F177</f>
        <v>1522233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7" zoomScaleNormal="100" workbookViewId="0">
      <selection activeCell="B20" sqref="B20"/>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2039</v>
      </c>
      <c r="B18" s="1971">
        <v>102300300</v>
      </c>
      <c r="C18" s="1989" t="s">
        <v>2040</v>
      </c>
      <c r="D18" s="1949">
        <f>183.11+373+487.19+733.7+183.11+522+487.19+183.11+183.11+10+183.11+612.85+183.11+10+173.11+183.11-1500+183.11+112.52+183.11+2500+510.8+183.11</f>
        <v>6863.4599999999991</v>
      </c>
      <c r="E18" s="1969">
        <f t="shared" ref="E18:E81" si="0">IF(D18&lt;25000,D18,"25,000")</f>
        <v>6863.4599999999991</v>
      </c>
      <c r="F18" s="1969" t="str">
        <f t="shared" ref="F18:F81" si="1">IF(D18&gt;=25000,(D18-E18),"0")</f>
        <v>0</v>
      </c>
      <c r="G18" s="1950"/>
    </row>
    <row r="19" spans="1:7" x14ac:dyDescent="0.25">
      <c r="A19" s="1988" t="s">
        <v>2039</v>
      </c>
      <c r="B19" s="1971">
        <v>102300300</v>
      </c>
      <c r="C19" s="1989" t="s">
        <v>2041</v>
      </c>
      <c r="D19" s="1949">
        <v>2918</v>
      </c>
      <c r="E19" s="1969">
        <f t="shared" si="0"/>
        <v>2918</v>
      </c>
      <c r="F19" s="1969" t="str">
        <f t="shared" si="1"/>
        <v>0</v>
      </c>
    </row>
    <row r="20" spans="1:7" x14ac:dyDescent="0.25">
      <c r="A20" s="1988" t="s">
        <v>2039</v>
      </c>
      <c r="B20" s="1971">
        <v>102300300</v>
      </c>
      <c r="C20" s="1989" t="s">
        <v>2042</v>
      </c>
      <c r="D20" s="1949">
        <v>2881</v>
      </c>
      <c r="E20" s="1969">
        <f t="shared" si="0"/>
        <v>2881</v>
      </c>
      <c r="F20" s="1969" t="str">
        <f t="shared" si="1"/>
        <v>0</v>
      </c>
    </row>
    <row r="21" spans="1:7" x14ac:dyDescent="0.25">
      <c r="A21" s="1988" t="s">
        <v>2039</v>
      </c>
      <c r="B21" s="1971">
        <v>102300300</v>
      </c>
      <c r="C21" s="1989" t="s">
        <v>2043</v>
      </c>
      <c r="D21" s="1949">
        <v>6630</v>
      </c>
      <c r="E21" s="1969">
        <f t="shared" si="0"/>
        <v>6630</v>
      </c>
      <c r="F21" s="1969" t="str">
        <f t="shared" si="1"/>
        <v>0</v>
      </c>
    </row>
    <row r="22" spans="1:7" x14ac:dyDescent="0.25">
      <c r="A22" s="1988" t="s">
        <v>2039</v>
      </c>
      <c r="B22" s="1971">
        <v>102300300</v>
      </c>
      <c r="C22" s="1989" t="s">
        <v>2044</v>
      </c>
      <c r="D22" s="1949">
        <f>28514+8461</f>
        <v>36975</v>
      </c>
      <c r="E22" s="1969" t="str">
        <f t="shared" si="0"/>
        <v>25,000</v>
      </c>
      <c r="F22" s="1969">
        <f t="shared" si="1"/>
        <v>11975</v>
      </c>
    </row>
    <row r="23" spans="1:7" x14ac:dyDescent="0.25">
      <c r="A23" s="1988" t="s">
        <v>2045</v>
      </c>
      <c r="B23" s="1971">
        <v>102300300</v>
      </c>
      <c r="C23" s="1989" t="s">
        <v>2046</v>
      </c>
      <c r="D23" s="1949">
        <f>791.76+3772.24</f>
        <v>4564</v>
      </c>
      <c r="E23" s="1969">
        <f t="shared" si="0"/>
        <v>4564</v>
      </c>
      <c r="F23" s="1969" t="str">
        <f t="shared" si="1"/>
        <v>0</v>
      </c>
    </row>
    <row r="24" spans="1:7" x14ac:dyDescent="0.25">
      <c r="A24" s="1988" t="s">
        <v>2047</v>
      </c>
      <c r="B24" s="1971">
        <v>102540300</v>
      </c>
      <c r="C24" s="1989" t="s">
        <v>2048</v>
      </c>
      <c r="D24" s="1949">
        <v>4576</v>
      </c>
      <c r="E24" s="1969">
        <f t="shared" si="0"/>
        <v>4576</v>
      </c>
      <c r="F24" s="1969" t="str">
        <f t="shared" si="1"/>
        <v>0</v>
      </c>
    </row>
    <row r="25" spans="1:7" x14ac:dyDescent="0.25">
      <c r="A25" s="1988" t="s">
        <v>2047</v>
      </c>
      <c r="B25" s="1971">
        <v>102540300</v>
      </c>
      <c r="C25" s="1989" t="s">
        <v>2049</v>
      </c>
      <c r="D25" s="1949">
        <f>5147+1447+1985+2260</f>
        <v>10839</v>
      </c>
      <c r="E25" s="1969">
        <f t="shared" si="0"/>
        <v>10839</v>
      </c>
      <c r="F25" s="1969" t="str">
        <f t="shared" si="1"/>
        <v>0</v>
      </c>
    </row>
    <row r="26" spans="1:7" x14ac:dyDescent="0.25">
      <c r="A26" s="1988" t="s">
        <v>2047</v>
      </c>
      <c r="B26" s="1971">
        <v>102540300</v>
      </c>
      <c r="C26" s="1989" t="s">
        <v>2050</v>
      </c>
      <c r="D26" s="1949">
        <f>161.75*12</f>
        <v>1941</v>
      </c>
      <c r="E26" s="1969">
        <f t="shared" si="0"/>
        <v>1941</v>
      </c>
      <c r="F26" s="1969" t="str">
        <f t="shared" si="1"/>
        <v>0</v>
      </c>
    </row>
    <row r="27" spans="1:7" x14ac:dyDescent="0.25">
      <c r="A27" s="1988" t="s">
        <v>2047</v>
      </c>
      <c r="B27" s="1971">
        <v>102540300</v>
      </c>
      <c r="C27" s="1989" t="s">
        <v>2051</v>
      </c>
      <c r="D27" s="1949">
        <f>1640+3200</f>
        <v>4840</v>
      </c>
      <c r="E27" s="1969">
        <f t="shared" si="0"/>
        <v>4840</v>
      </c>
      <c r="F27" s="1969" t="str">
        <f t="shared" si="1"/>
        <v>0</v>
      </c>
    </row>
    <row r="28" spans="1:7" hidden="1" x14ac:dyDescent="0.25">
      <c r="A28" s="1951"/>
      <c r="B28" s="1971"/>
      <c r="C28" s="1952"/>
      <c r="D28" s="1949"/>
      <c r="E28" s="1969">
        <f t="shared" si="0"/>
        <v>0</v>
      </c>
      <c r="F28" s="1969" t="str">
        <f t="shared" si="1"/>
        <v>0</v>
      </c>
    </row>
    <row r="29" spans="1:7" hidden="1" x14ac:dyDescent="0.25">
      <c r="A29" s="1951"/>
      <c r="B29" s="1971"/>
      <c r="C29" s="1952"/>
      <c r="D29" s="1949"/>
      <c r="E29" s="1969">
        <f t="shared" si="0"/>
        <v>0</v>
      </c>
      <c r="F29" s="1969" t="str">
        <f t="shared" si="1"/>
        <v>0</v>
      </c>
    </row>
    <row r="30" spans="1:7" hidden="1" x14ac:dyDescent="0.25">
      <c r="A30" s="1951"/>
      <c r="B30" s="1971"/>
      <c r="C30" s="1952"/>
      <c r="D30" s="1949"/>
      <c r="E30" s="1969">
        <f t="shared" si="0"/>
        <v>0</v>
      </c>
      <c r="F30" s="1969" t="str">
        <f t="shared" si="1"/>
        <v>0</v>
      </c>
    </row>
    <row r="31" spans="1:7" hidden="1" x14ac:dyDescent="0.25">
      <c r="A31" s="1951"/>
      <c r="B31" s="1971"/>
      <c r="C31" s="1952"/>
      <c r="D31" s="1949"/>
      <c r="E31" s="1969">
        <f t="shared" si="0"/>
        <v>0</v>
      </c>
      <c r="F31" s="1969" t="str">
        <f t="shared" si="1"/>
        <v>0</v>
      </c>
    </row>
    <row r="32" spans="1:7" hidden="1" x14ac:dyDescent="0.25">
      <c r="A32" s="1951"/>
      <c r="B32" s="1971"/>
      <c r="C32" s="1952"/>
      <c r="D32" s="1949"/>
      <c r="E32" s="1969">
        <f t="shared" si="0"/>
        <v>0</v>
      </c>
      <c r="F32" s="1969" t="str">
        <f t="shared" si="1"/>
        <v>0</v>
      </c>
    </row>
    <row r="33" spans="1:6" hidden="1" x14ac:dyDescent="0.25">
      <c r="A33" s="1951"/>
      <c r="B33" s="1971"/>
      <c r="C33" s="1952"/>
      <c r="D33" s="1949"/>
      <c r="E33" s="1969">
        <f t="shared" si="0"/>
        <v>0</v>
      </c>
      <c r="F33" s="1969" t="str">
        <f t="shared" si="1"/>
        <v>0</v>
      </c>
    </row>
    <row r="34" spans="1:6" hidden="1" x14ac:dyDescent="0.25">
      <c r="A34" s="1951"/>
      <c r="B34" s="1971"/>
      <c r="C34" s="1952"/>
      <c r="D34" s="1949"/>
      <c r="E34" s="1969">
        <f t="shared" si="0"/>
        <v>0</v>
      </c>
      <c r="F34" s="1969" t="str">
        <f t="shared" si="1"/>
        <v>0</v>
      </c>
    </row>
    <row r="35" spans="1:6" hidden="1" x14ac:dyDescent="0.25">
      <c r="A35" s="1951"/>
      <c r="B35" s="1971"/>
      <c r="C35" s="1952"/>
      <c r="D35" s="1949"/>
      <c r="E35" s="1969">
        <f t="shared" si="0"/>
        <v>0</v>
      </c>
      <c r="F35" s="1969" t="str">
        <f t="shared" si="1"/>
        <v>0</v>
      </c>
    </row>
    <row r="36" spans="1:6" hidden="1" x14ac:dyDescent="0.25">
      <c r="A36" s="1951"/>
      <c r="B36" s="1971"/>
      <c r="C36" s="1952"/>
      <c r="D36" s="1949"/>
      <c r="E36" s="1969">
        <f t="shared" si="0"/>
        <v>0</v>
      </c>
      <c r="F36" s="1969" t="str">
        <f t="shared" si="1"/>
        <v>0</v>
      </c>
    </row>
    <row r="37" spans="1:6" hidden="1" x14ac:dyDescent="0.25">
      <c r="A37" s="1951"/>
      <c r="B37" s="1971"/>
      <c r="C37" s="1952"/>
      <c r="D37" s="1949"/>
      <c r="E37" s="1969">
        <f t="shared" si="0"/>
        <v>0</v>
      </c>
      <c r="F37" s="1969" t="str">
        <f t="shared" si="1"/>
        <v>0</v>
      </c>
    </row>
    <row r="38" spans="1:6" hidden="1" x14ac:dyDescent="0.25">
      <c r="A38" s="1951"/>
      <c r="B38" s="1971"/>
      <c r="C38" s="1952"/>
      <c r="D38" s="1949"/>
      <c r="E38" s="1969">
        <f t="shared" si="0"/>
        <v>0</v>
      </c>
      <c r="F38" s="1969" t="str">
        <f t="shared" si="1"/>
        <v>0</v>
      </c>
    </row>
    <row r="39" spans="1:6" hidden="1" x14ac:dyDescent="0.25">
      <c r="A39" s="1951"/>
      <c r="B39" s="1972"/>
      <c r="C39" s="1952"/>
      <c r="D39" s="1949"/>
      <c r="E39" s="1969">
        <f t="shared" si="0"/>
        <v>0</v>
      </c>
      <c r="F39" s="1969" t="str">
        <f t="shared" si="1"/>
        <v>0</v>
      </c>
    </row>
    <row r="40" spans="1:6" hidden="1" x14ac:dyDescent="0.25">
      <c r="A40" s="1951"/>
      <c r="B40" s="1972"/>
      <c r="C40" s="1952"/>
      <c r="D40" s="1949"/>
      <c r="E40" s="1969">
        <f t="shared" si="0"/>
        <v>0</v>
      </c>
      <c r="F40" s="1969" t="str">
        <f t="shared" si="1"/>
        <v>0</v>
      </c>
    </row>
    <row r="41" spans="1:6" hidden="1" x14ac:dyDescent="0.25">
      <c r="A41" s="1951"/>
      <c r="B41" s="1972"/>
      <c r="C41" s="1952"/>
      <c r="D41" s="1949"/>
      <c r="E41" s="1969">
        <f t="shared" si="0"/>
        <v>0</v>
      </c>
      <c r="F41" s="1969" t="str">
        <f t="shared" si="1"/>
        <v>0</v>
      </c>
    </row>
    <row r="42" spans="1:6" hidden="1" x14ac:dyDescent="0.25">
      <c r="A42" s="1951"/>
      <c r="B42" s="1972"/>
      <c r="C42" s="1952"/>
      <c r="D42" s="1949"/>
      <c r="E42" s="1969">
        <f t="shared" si="0"/>
        <v>0</v>
      </c>
      <c r="F42" s="1969" t="str">
        <f t="shared" si="1"/>
        <v>0</v>
      </c>
    </row>
    <row r="43" spans="1:6" hidden="1" x14ac:dyDescent="0.25">
      <c r="A43" s="1951"/>
      <c r="B43" s="1972"/>
      <c r="C43" s="1952"/>
      <c r="D43" s="1949"/>
      <c r="E43" s="1969">
        <f t="shared" si="0"/>
        <v>0</v>
      </c>
      <c r="F43" s="1969" t="str">
        <f t="shared" si="1"/>
        <v>0</v>
      </c>
    </row>
    <row r="44" spans="1:6" hidden="1" x14ac:dyDescent="0.25">
      <c r="A44" s="1951"/>
      <c r="B44" s="1972"/>
      <c r="C44" s="1952"/>
      <c r="D44" s="1949"/>
      <c r="E44" s="1969">
        <f t="shared" si="0"/>
        <v>0</v>
      </c>
      <c r="F44" s="1969" t="str">
        <f t="shared" si="1"/>
        <v>0</v>
      </c>
    </row>
    <row r="45" spans="1:6" hidden="1" x14ac:dyDescent="0.25">
      <c r="A45" s="1951"/>
      <c r="B45" s="1972"/>
      <c r="C45" s="1952"/>
      <c r="D45" s="1949"/>
      <c r="E45" s="1969">
        <f t="shared" si="0"/>
        <v>0</v>
      </c>
      <c r="F45" s="1969" t="str">
        <f t="shared" si="1"/>
        <v>0</v>
      </c>
    </row>
    <row r="46" spans="1:6" hidden="1" x14ac:dyDescent="0.25">
      <c r="A46" s="1951"/>
      <c r="B46" s="1972"/>
      <c r="C46" s="1952"/>
      <c r="D46" s="1949"/>
      <c r="E46" s="1969">
        <f t="shared" si="0"/>
        <v>0</v>
      </c>
      <c r="F46" s="1969" t="str">
        <f t="shared" si="1"/>
        <v>0</v>
      </c>
    </row>
    <row r="47" spans="1:6" hidden="1" x14ac:dyDescent="0.25">
      <c r="A47" s="1951"/>
      <c r="B47" s="1972"/>
      <c r="C47" s="1952"/>
      <c r="D47" s="1949"/>
      <c r="E47" s="1969">
        <f t="shared" si="0"/>
        <v>0</v>
      </c>
      <c r="F47" s="1969" t="str">
        <f t="shared" si="1"/>
        <v>0</v>
      </c>
    </row>
    <row r="48" spans="1:6" hidden="1" x14ac:dyDescent="0.25">
      <c r="A48" s="1951"/>
      <c r="B48" s="1972"/>
      <c r="C48" s="1952"/>
      <c r="D48" s="1949"/>
      <c r="E48" s="1969">
        <f t="shared" si="0"/>
        <v>0</v>
      </c>
      <c r="F48" s="1969" t="str">
        <f t="shared" si="1"/>
        <v>0</v>
      </c>
    </row>
    <row r="49" spans="1:6" hidden="1" x14ac:dyDescent="0.25">
      <c r="A49" s="1951"/>
      <c r="B49" s="1972"/>
      <c r="C49" s="1952"/>
      <c r="D49" s="1949"/>
      <c r="E49" s="1969">
        <f t="shared" si="0"/>
        <v>0</v>
      </c>
      <c r="F49" s="1969" t="str">
        <f t="shared" si="1"/>
        <v>0</v>
      </c>
    </row>
    <row r="50" spans="1:6" hidden="1" x14ac:dyDescent="0.25">
      <c r="A50" s="1951"/>
      <c r="B50" s="1972"/>
      <c r="C50" s="1952"/>
      <c r="D50" s="1949"/>
      <c r="E50" s="1969">
        <f t="shared" si="0"/>
        <v>0</v>
      </c>
      <c r="F50" s="1969" t="str">
        <f t="shared" si="1"/>
        <v>0</v>
      </c>
    </row>
    <row r="51" spans="1:6" hidden="1" x14ac:dyDescent="0.25">
      <c r="A51" s="1951"/>
      <c r="B51" s="1972"/>
      <c r="C51" s="1952"/>
      <c r="D51" s="1949"/>
      <c r="E51" s="1969">
        <f t="shared" si="0"/>
        <v>0</v>
      </c>
      <c r="F51" s="1969" t="str">
        <f t="shared" si="1"/>
        <v>0</v>
      </c>
    </row>
    <row r="52" spans="1:6" hidden="1" x14ac:dyDescent="0.25">
      <c r="A52" s="1951"/>
      <c r="B52" s="1972"/>
      <c r="C52" s="1952"/>
      <c r="D52" s="1949"/>
      <c r="E52" s="1969">
        <f t="shared" si="0"/>
        <v>0</v>
      </c>
      <c r="F52" s="1969" t="str">
        <f t="shared" si="1"/>
        <v>0</v>
      </c>
    </row>
    <row r="53" spans="1:6" hidden="1" x14ac:dyDescent="0.25">
      <c r="A53" s="1951"/>
      <c r="B53" s="1972"/>
      <c r="C53" s="1952"/>
      <c r="D53" s="1949"/>
      <c r="E53" s="1969">
        <f t="shared" si="0"/>
        <v>0</v>
      </c>
      <c r="F53" s="1969" t="str">
        <f t="shared" si="1"/>
        <v>0</v>
      </c>
    </row>
    <row r="54" spans="1:6" hidden="1" x14ac:dyDescent="0.25">
      <c r="A54" s="1951"/>
      <c r="B54" s="1972"/>
      <c r="C54" s="1952"/>
      <c r="D54" s="1949"/>
      <c r="E54" s="1969">
        <f t="shared" si="0"/>
        <v>0</v>
      </c>
      <c r="F54" s="1969" t="str">
        <f t="shared" si="1"/>
        <v>0</v>
      </c>
    </row>
    <row r="55" spans="1:6" hidden="1" x14ac:dyDescent="0.25">
      <c r="A55" s="1951"/>
      <c r="B55" s="1972"/>
      <c r="C55" s="1952"/>
      <c r="D55" s="1949"/>
      <c r="E55" s="1969">
        <f t="shared" si="0"/>
        <v>0</v>
      </c>
      <c r="F55" s="1969" t="str">
        <f t="shared" si="1"/>
        <v>0</v>
      </c>
    </row>
    <row r="56" spans="1:6" hidden="1" x14ac:dyDescent="0.25">
      <c r="A56" s="1951"/>
      <c r="B56" s="1972"/>
      <c r="C56" s="1952"/>
      <c r="D56" s="1949"/>
      <c r="E56" s="1969">
        <f t="shared" si="0"/>
        <v>0</v>
      </c>
      <c r="F56" s="1969" t="str">
        <f t="shared" si="1"/>
        <v>0</v>
      </c>
    </row>
    <row r="57" spans="1:6" hidden="1" x14ac:dyDescent="0.25">
      <c r="A57" s="1951"/>
      <c r="B57" s="1972"/>
      <c r="C57" s="1952"/>
      <c r="D57" s="1949"/>
      <c r="E57" s="1969">
        <f t="shared" si="0"/>
        <v>0</v>
      </c>
      <c r="F57" s="1969" t="str">
        <f t="shared" si="1"/>
        <v>0</v>
      </c>
    </row>
    <row r="58" spans="1:6" hidden="1" x14ac:dyDescent="0.25">
      <c r="A58" s="1951"/>
      <c r="B58" s="1972"/>
      <c r="C58" s="1952"/>
      <c r="D58" s="1949"/>
      <c r="E58" s="1969">
        <f t="shared" si="0"/>
        <v>0</v>
      </c>
      <c r="F58" s="1969" t="str">
        <f t="shared" si="1"/>
        <v>0</v>
      </c>
    </row>
    <row r="59" spans="1:6" hidden="1" x14ac:dyDescent="0.25">
      <c r="A59" s="1951"/>
      <c r="B59" s="1972"/>
      <c r="C59" s="1952"/>
      <c r="D59" s="1949"/>
      <c r="E59" s="1969">
        <f t="shared" si="0"/>
        <v>0</v>
      </c>
      <c r="F59" s="1969" t="str">
        <f t="shared" si="1"/>
        <v>0</v>
      </c>
    </row>
    <row r="60" spans="1:6" hidden="1" x14ac:dyDescent="0.25">
      <c r="A60" s="1951"/>
      <c r="B60" s="1972"/>
      <c r="C60" s="1952"/>
      <c r="D60" s="1949"/>
      <c r="E60" s="1969">
        <f t="shared" si="0"/>
        <v>0</v>
      </c>
      <c r="F60" s="1969" t="str">
        <f t="shared" si="1"/>
        <v>0</v>
      </c>
    </row>
    <row r="61" spans="1:6" hidden="1" x14ac:dyDescent="0.25">
      <c r="A61" s="1951"/>
      <c r="B61" s="1972"/>
      <c r="C61" s="1952"/>
      <c r="D61" s="1949"/>
      <c r="E61" s="1969">
        <f t="shared" si="0"/>
        <v>0</v>
      </c>
      <c r="F61" s="1969" t="str">
        <f t="shared" si="1"/>
        <v>0</v>
      </c>
    </row>
    <row r="62" spans="1:6" hidden="1" x14ac:dyDescent="0.25">
      <c r="A62" s="1951"/>
      <c r="B62" s="1972"/>
      <c r="C62" s="1952"/>
      <c r="D62" s="1949"/>
      <c r="E62" s="1969">
        <f t="shared" si="0"/>
        <v>0</v>
      </c>
      <c r="F62" s="1969" t="str">
        <f t="shared" si="1"/>
        <v>0</v>
      </c>
    </row>
    <row r="63" spans="1:6" hidden="1" x14ac:dyDescent="0.25">
      <c r="A63" s="1951"/>
      <c r="B63" s="1972"/>
      <c r="C63" s="1952"/>
      <c r="D63" s="1949"/>
      <c r="E63" s="1969">
        <f t="shared" si="0"/>
        <v>0</v>
      </c>
      <c r="F63" s="1969" t="str">
        <f t="shared" si="1"/>
        <v>0</v>
      </c>
    </row>
    <row r="64" spans="1:6" hidden="1" x14ac:dyDescent="0.25">
      <c r="A64" s="1951"/>
      <c r="B64" s="1972"/>
      <c r="C64" s="1952"/>
      <c r="D64" s="1949"/>
      <c r="E64" s="1969">
        <f t="shared" si="0"/>
        <v>0</v>
      </c>
      <c r="F64" s="1969" t="str">
        <f t="shared" si="1"/>
        <v>0</v>
      </c>
    </row>
    <row r="65" spans="1:6" hidden="1" x14ac:dyDescent="0.25">
      <c r="A65" s="1947"/>
      <c r="B65" s="1972"/>
      <c r="C65" s="1948"/>
      <c r="D65" s="1949"/>
      <c r="E65" s="1969">
        <f t="shared" si="0"/>
        <v>0</v>
      </c>
      <c r="F65" s="1969" t="str">
        <f t="shared" si="1"/>
        <v>0</v>
      </c>
    </row>
    <row r="66" spans="1:6" hidden="1" x14ac:dyDescent="0.25">
      <c r="A66" s="1951"/>
      <c r="B66" s="1972"/>
      <c r="C66" s="1952"/>
      <c r="D66" s="1949"/>
      <c r="E66" s="1969">
        <f t="shared" si="0"/>
        <v>0</v>
      </c>
      <c r="F66" s="1969" t="str">
        <f t="shared" si="1"/>
        <v>0</v>
      </c>
    </row>
    <row r="67" spans="1:6" hidden="1" x14ac:dyDescent="0.25">
      <c r="A67" s="1951"/>
      <c r="B67" s="1972"/>
      <c r="C67" s="1952"/>
      <c r="D67" s="1949"/>
      <c r="E67" s="1969">
        <f t="shared" si="0"/>
        <v>0</v>
      </c>
      <c r="F67" s="1969" t="str">
        <f t="shared" si="1"/>
        <v>0</v>
      </c>
    </row>
    <row r="68" spans="1:6" hidden="1" x14ac:dyDescent="0.25">
      <c r="A68" s="1951"/>
      <c r="B68" s="1972"/>
      <c r="C68" s="1952"/>
      <c r="D68" s="1949"/>
      <c r="E68" s="1969">
        <f t="shared" si="0"/>
        <v>0</v>
      </c>
      <c r="F68" s="1969" t="str">
        <f t="shared" si="1"/>
        <v>0</v>
      </c>
    </row>
    <row r="69" spans="1:6" hidden="1" x14ac:dyDescent="0.25">
      <c r="A69" s="1951"/>
      <c r="B69" s="1972"/>
      <c r="C69" s="1952"/>
      <c r="D69" s="1949"/>
      <c r="E69" s="1969">
        <f t="shared" si="0"/>
        <v>0</v>
      </c>
      <c r="F69" s="1969" t="str">
        <f t="shared" si="1"/>
        <v>0</v>
      </c>
    </row>
    <row r="70" spans="1:6" hidden="1" x14ac:dyDescent="0.25">
      <c r="A70" s="1951"/>
      <c r="B70" s="1972"/>
      <c r="C70" s="1952"/>
      <c r="D70" s="1949"/>
      <c r="E70" s="1969">
        <f t="shared" si="0"/>
        <v>0</v>
      </c>
      <c r="F70" s="1969" t="str">
        <f t="shared" si="1"/>
        <v>0</v>
      </c>
    </row>
    <row r="71" spans="1:6" hidden="1" x14ac:dyDescent="0.25">
      <c r="A71" s="1951"/>
      <c r="B71" s="1972"/>
      <c r="C71" s="1952"/>
      <c r="D71" s="1949"/>
      <c r="E71" s="1969">
        <f t="shared" si="0"/>
        <v>0</v>
      </c>
      <c r="F71" s="1969" t="str">
        <f t="shared" si="1"/>
        <v>0</v>
      </c>
    </row>
    <row r="72" spans="1:6" hidden="1" x14ac:dyDescent="0.25">
      <c r="A72" s="1951"/>
      <c r="B72" s="1972"/>
      <c r="C72" s="1952"/>
      <c r="D72" s="1949"/>
      <c r="E72" s="1969">
        <f t="shared" si="0"/>
        <v>0</v>
      </c>
      <c r="F72" s="1969" t="str">
        <f t="shared" si="1"/>
        <v>0</v>
      </c>
    </row>
    <row r="73" spans="1:6" hidden="1" x14ac:dyDescent="0.25">
      <c r="A73" s="1951"/>
      <c r="B73" s="1972"/>
      <c r="C73" s="1952"/>
      <c r="D73" s="1949"/>
      <c r="E73" s="1969">
        <f t="shared" si="0"/>
        <v>0</v>
      </c>
      <c r="F73" s="1969" t="str">
        <f t="shared" si="1"/>
        <v>0</v>
      </c>
    </row>
    <row r="74" spans="1:6" hidden="1" x14ac:dyDescent="0.25">
      <c r="A74" s="1951"/>
      <c r="B74" s="1972"/>
      <c r="C74" s="1952"/>
      <c r="D74" s="1949"/>
      <c r="E74" s="1969">
        <f t="shared" si="0"/>
        <v>0</v>
      </c>
      <c r="F74" s="1969" t="str">
        <f t="shared" si="1"/>
        <v>0</v>
      </c>
    </row>
    <row r="75" spans="1:6" hidden="1" x14ac:dyDescent="0.25">
      <c r="A75" s="1951"/>
      <c r="B75" s="1972"/>
      <c r="C75" s="1952"/>
      <c r="D75" s="1949"/>
      <c r="E75" s="1969">
        <f t="shared" si="0"/>
        <v>0</v>
      </c>
      <c r="F75" s="1969" t="str">
        <f t="shared" si="1"/>
        <v>0</v>
      </c>
    </row>
    <row r="76" spans="1:6" hidden="1" x14ac:dyDescent="0.25">
      <c r="A76" s="1951"/>
      <c r="B76" s="1972"/>
      <c r="C76" s="1952"/>
      <c r="D76" s="1949"/>
      <c r="E76" s="1969">
        <f t="shared" si="0"/>
        <v>0</v>
      </c>
      <c r="F76" s="1969" t="str">
        <f t="shared" si="1"/>
        <v>0</v>
      </c>
    </row>
    <row r="77" spans="1:6" hidden="1" x14ac:dyDescent="0.25">
      <c r="A77" s="1951"/>
      <c r="B77" s="1972"/>
      <c r="C77" s="1952"/>
      <c r="D77" s="1949"/>
      <c r="E77" s="1969">
        <f t="shared" si="0"/>
        <v>0</v>
      </c>
      <c r="F77" s="1969" t="str">
        <f t="shared" si="1"/>
        <v>0</v>
      </c>
    </row>
    <row r="78" spans="1:6" hidden="1" x14ac:dyDescent="0.25">
      <c r="A78" s="1951"/>
      <c r="B78" s="1972"/>
      <c r="C78" s="1952"/>
      <c r="D78" s="1949"/>
      <c r="E78" s="1969">
        <f t="shared" si="0"/>
        <v>0</v>
      </c>
      <c r="F78" s="1969" t="str">
        <f t="shared" si="1"/>
        <v>0</v>
      </c>
    </row>
    <row r="79" spans="1:6" hidden="1" x14ac:dyDescent="0.25">
      <c r="A79" s="1951"/>
      <c r="B79" s="1972"/>
      <c r="C79" s="1952"/>
      <c r="D79" s="1949"/>
      <c r="E79" s="1969">
        <f t="shared" si="0"/>
        <v>0</v>
      </c>
      <c r="F79" s="1969" t="str">
        <f t="shared" si="1"/>
        <v>0</v>
      </c>
    </row>
    <row r="80" spans="1:6" hidden="1" x14ac:dyDescent="0.25">
      <c r="A80" s="1951"/>
      <c r="B80" s="1972"/>
      <c r="C80" s="1952"/>
      <c r="D80" s="1949"/>
      <c r="E80" s="1969">
        <f t="shared" si="0"/>
        <v>0</v>
      </c>
      <c r="F80" s="1969" t="str">
        <f t="shared" si="1"/>
        <v>0</v>
      </c>
    </row>
    <row r="81" spans="1:6" hidden="1" x14ac:dyDescent="0.25">
      <c r="A81" s="1951"/>
      <c r="B81" s="1972"/>
      <c r="C81" s="1952"/>
      <c r="D81" s="1949"/>
      <c r="E81" s="1969">
        <f t="shared" si="0"/>
        <v>0</v>
      </c>
      <c r="F81" s="1969" t="str">
        <f t="shared" si="1"/>
        <v>0</v>
      </c>
    </row>
    <row r="82" spans="1:6" hidden="1" x14ac:dyDescent="0.25">
      <c r="A82" s="1951"/>
      <c r="B82" s="1972"/>
      <c r="C82" s="1952"/>
      <c r="D82" s="1949"/>
      <c r="E82" s="1969">
        <f t="shared" ref="E82:E141" si="2">IF(D82&lt;25000,D82,"25,000")</f>
        <v>0</v>
      </c>
      <c r="F82" s="1969" t="str">
        <f t="shared" ref="F82:F141" si="3">IF(D82&gt;=25000,(D82-E82),"0")</f>
        <v>0</v>
      </c>
    </row>
    <row r="83" spans="1:6" hidden="1" x14ac:dyDescent="0.25">
      <c r="A83" s="1951"/>
      <c r="B83" s="1972"/>
      <c r="C83" s="1952"/>
      <c r="D83" s="1949"/>
      <c r="E83" s="1969">
        <f t="shared" si="2"/>
        <v>0</v>
      </c>
      <c r="F83" s="1969" t="str">
        <f t="shared" si="3"/>
        <v>0</v>
      </c>
    </row>
    <row r="84" spans="1:6" hidden="1" x14ac:dyDescent="0.25">
      <c r="A84" s="1951"/>
      <c r="B84" s="1972"/>
      <c r="C84" s="1952"/>
      <c r="D84" s="1949"/>
      <c r="E84" s="1969">
        <f t="shared" si="2"/>
        <v>0</v>
      </c>
      <c r="F84" s="1969" t="str">
        <f t="shared" si="3"/>
        <v>0</v>
      </c>
    </row>
    <row r="85" spans="1:6" hidden="1" x14ac:dyDescent="0.25">
      <c r="A85" s="1951"/>
      <c r="B85" s="1972"/>
      <c r="C85" s="1952"/>
      <c r="D85" s="1949"/>
      <c r="E85" s="1969">
        <f t="shared" si="2"/>
        <v>0</v>
      </c>
      <c r="F85" s="1969" t="str">
        <f t="shared" si="3"/>
        <v>0</v>
      </c>
    </row>
    <row r="86" spans="1:6" hidden="1" x14ac:dyDescent="0.25">
      <c r="A86" s="1951"/>
      <c r="B86" s="1972"/>
      <c r="C86" s="1952"/>
      <c r="D86" s="1949"/>
      <c r="E86" s="1969">
        <f t="shared" si="2"/>
        <v>0</v>
      </c>
      <c r="F86" s="1969" t="str">
        <f t="shared" si="3"/>
        <v>0</v>
      </c>
    </row>
    <row r="87" spans="1:6" hidden="1" x14ac:dyDescent="0.25">
      <c r="A87" s="1951"/>
      <c r="B87" s="1972"/>
      <c r="C87" s="1952"/>
      <c r="D87" s="1949"/>
      <c r="E87" s="1969">
        <f t="shared" si="2"/>
        <v>0</v>
      </c>
      <c r="F87" s="1969" t="str">
        <f t="shared" si="3"/>
        <v>0</v>
      </c>
    </row>
    <row r="88" spans="1:6" hidden="1" x14ac:dyDescent="0.25">
      <c r="A88" s="1951"/>
      <c r="B88" s="1972"/>
      <c r="C88" s="1952"/>
      <c r="D88" s="1949"/>
      <c r="E88" s="1969">
        <f t="shared" si="2"/>
        <v>0</v>
      </c>
      <c r="F88" s="1969" t="str">
        <f t="shared" si="3"/>
        <v>0</v>
      </c>
    </row>
    <row r="89" spans="1:6" hidden="1" x14ac:dyDescent="0.25">
      <c r="A89" s="1951"/>
      <c r="B89" s="1972"/>
      <c r="C89" s="1952"/>
      <c r="D89" s="1949"/>
      <c r="E89" s="1969">
        <f t="shared" si="2"/>
        <v>0</v>
      </c>
      <c r="F89" s="1969" t="str">
        <f t="shared" si="3"/>
        <v>0</v>
      </c>
    </row>
    <row r="90" spans="1:6" hidden="1" x14ac:dyDescent="0.25">
      <c r="A90" s="1951"/>
      <c r="B90" s="1972"/>
      <c r="C90" s="1952"/>
      <c r="D90" s="1949"/>
      <c r="E90" s="1969">
        <f t="shared" si="2"/>
        <v>0</v>
      </c>
      <c r="F90" s="1969" t="str">
        <f t="shared" si="3"/>
        <v>0</v>
      </c>
    </row>
    <row r="91" spans="1:6" hidden="1" x14ac:dyDescent="0.25">
      <c r="A91" s="1951"/>
      <c r="B91" s="1972"/>
      <c r="C91" s="1952"/>
      <c r="D91" s="1949"/>
      <c r="E91" s="1969">
        <f t="shared" si="2"/>
        <v>0</v>
      </c>
      <c r="F91" s="1969" t="str">
        <f t="shared" si="3"/>
        <v>0</v>
      </c>
    </row>
    <row r="92" spans="1:6" hidden="1" x14ac:dyDescent="0.25">
      <c r="A92" s="1951"/>
      <c r="B92" s="1972"/>
      <c r="C92" s="1952"/>
      <c r="D92" s="1949"/>
      <c r="E92" s="1969">
        <f t="shared" si="2"/>
        <v>0</v>
      </c>
      <c r="F92" s="1969" t="str">
        <f t="shared" si="3"/>
        <v>0</v>
      </c>
    </row>
    <row r="93" spans="1:6" hidden="1" x14ac:dyDescent="0.25">
      <c r="A93" s="1951"/>
      <c r="B93" s="1972"/>
      <c r="C93" s="1952"/>
      <c r="D93" s="1949"/>
      <c r="E93" s="1969">
        <f t="shared" si="2"/>
        <v>0</v>
      </c>
      <c r="F93" s="1969" t="str">
        <f t="shared" si="3"/>
        <v>0</v>
      </c>
    </row>
    <row r="94" spans="1:6" hidden="1" x14ac:dyDescent="0.25">
      <c r="A94" s="1951"/>
      <c r="B94" s="1972"/>
      <c r="C94" s="1952"/>
      <c r="D94" s="1949"/>
      <c r="E94" s="1969">
        <f t="shared" si="2"/>
        <v>0</v>
      </c>
      <c r="F94" s="1969" t="str">
        <f t="shared" si="3"/>
        <v>0</v>
      </c>
    </row>
    <row r="95" spans="1:6" hidden="1" x14ac:dyDescent="0.25">
      <c r="A95" s="1951"/>
      <c r="B95" s="1972"/>
      <c r="C95" s="1952"/>
      <c r="D95" s="1949"/>
      <c r="E95" s="1969">
        <f t="shared" si="2"/>
        <v>0</v>
      </c>
      <c r="F95" s="1969" t="str">
        <f t="shared" si="3"/>
        <v>0</v>
      </c>
    </row>
    <row r="96" spans="1:6" hidden="1" x14ac:dyDescent="0.25">
      <c r="A96" s="1951"/>
      <c r="B96" s="1972"/>
      <c r="C96" s="1952"/>
      <c r="D96" s="1949"/>
      <c r="E96" s="1969">
        <f t="shared" si="2"/>
        <v>0</v>
      </c>
      <c r="F96" s="1969" t="str">
        <f t="shared" si="3"/>
        <v>0</v>
      </c>
    </row>
    <row r="97" spans="1:6" hidden="1" x14ac:dyDescent="0.25">
      <c r="A97" s="1951"/>
      <c r="B97" s="1972"/>
      <c r="C97" s="1952"/>
      <c r="D97" s="1949"/>
      <c r="E97" s="1969">
        <f t="shared" si="2"/>
        <v>0</v>
      </c>
      <c r="F97" s="1969" t="str">
        <f t="shared" si="3"/>
        <v>0</v>
      </c>
    </row>
    <row r="98" spans="1:6" hidden="1" x14ac:dyDescent="0.25">
      <c r="A98" s="1951"/>
      <c r="B98" s="1972"/>
      <c r="C98" s="1952"/>
      <c r="D98" s="1949"/>
      <c r="E98" s="1969">
        <f t="shared" si="2"/>
        <v>0</v>
      </c>
      <c r="F98" s="1969" t="str">
        <f t="shared" si="3"/>
        <v>0</v>
      </c>
    </row>
    <row r="99" spans="1:6" hidden="1" x14ac:dyDescent="0.25">
      <c r="A99" s="1951"/>
      <c r="B99" s="1972"/>
      <c r="C99" s="1952"/>
      <c r="D99" s="1949"/>
      <c r="E99" s="1969">
        <f t="shared" si="2"/>
        <v>0</v>
      </c>
      <c r="F99" s="1969" t="str">
        <f t="shared" si="3"/>
        <v>0</v>
      </c>
    </row>
    <row r="100" spans="1:6" hidden="1" x14ac:dyDescent="0.25">
      <c r="A100" s="1951"/>
      <c r="B100" s="1972"/>
      <c r="C100" s="1952"/>
      <c r="D100" s="1949"/>
      <c r="E100" s="1969">
        <f t="shared" si="2"/>
        <v>0</v>
      </c>
      <c r="F100" s="1969" t="str">
        <f t="shared" si="3"/>
        <v>0</v>
      </c>
    </row>
    <row r="101" spans="1:6" hidden="1" x14ac:dyDescent="0.25">
      <c r="A101" s="1951"/>
      <c r="B101" s="1972"/>
      <c r="C101" s="1952"/>
      <c r="D101" s="1949"/>
      <c r="E101" s="1969">
        <f t="shared" si="2"/>
        <v>0</v>
      </c>
      <c r="F101" s="1969" t="str">
        <f t="shared" si="3"/>
        <v>0</v>
      </c>
    </row>
    <row r="102" spans="1:6" hidden="1" x14ac:dyDescent="0.25">
      <c r="A102" s="1951"/>
      <c r="B102" s="1972"/>
      <c r="C102" s="1952"/>
      <c r="D102" s="1949"/>
      <c r="E102" s="1969">
        <f t="shared" si="2"/>
        <v>0</v>
      </c>
      <c r="F102" s="1969" t="str">
        <f t="shared" si="3"/>
        <v>0</v>
      </c>
    </row>
    <row r="103" spans="1:6" hidden="1" x14ac:dyDescent="0.25">
      <c r="A103" s="1951"/>
      <c r="B103" s="1972"/>
      <c r="C103" s="1952"/>
      <c r="D103" s="1949"/>
      <c r="E103" s="1969">
        <f t="shared" si="2"/>
        <v>0</v>
      </c>
      <c r="F103" s="1969" t="str">
        <f t="shared" si="3"/>
        <v>0</v>
      </c>
    </row>
    <row r="104" spans="1:6" hidden="1" x14ac:dyDescent="0.25">
      <c r="A104" s="1951"/>
      <c r="B104" s="1972"/>
      <c r="C104" s="1952"/>
      <c r="D104" s="1949"/>
      <c r="E104" s="1969">
        <f t="shared" si="2"/>
        <v>0</v>
      </c>
      <c r="F104" s="1969" t="str">
        <f t="shared" si="3"/>
        <v>0</v>
      </c>
    </row>
    <row r="105" spans="1:6" hidden="1" x14ac:dyDescent="0.25">
      <c r="A105" s="1951"/>
      <c r="B105" s="1972"/>
      <c r="C105" s="1952"/>
      <c r="D105" s="1949"/>
      <c r="E105" s="1969">
        <f t="shared" si="2"/>
        <v>0</v>
      </c>
      <c r="F105" s="1969" t="str">
        <f t="shared" si="3"/>
        <v>0</v>
      </c>
    </row>
    <row r="106" spans="1:6" hidden="1" x14ac:dyDescent="0.25">
      <c r="A106" s="1951"/>
      <c r="B106" s="1972"/>
      <c r="C106" s="1952"/>
      <c r="D106" s="1949"/>
      <c r="E106" s="1969">
        <f t="shared" si="2"/>
        <v>0</v>
      </c>
      <c r="F106" s="1969" t="str">
        <f t="shared" si="3"/>
        <v>0</v>
      </c>
    </row>
    <row r="107" spans="1:6" hidden="1" x14ac:dyDescent="0.25">
      <c r="A107" s="1951"/>
      <c r="B107" s="1972"/>
      <c r="C107" s="1952"/>
      <c r="D107" s="1949"/>
      <c r="E107" s="1969">
        <f t="shared" si="2"/>
        <v>0</v>
      </c>
      <c r="F107" s="1969" t="str">
        <f t="shared" si="3"/>
        <v>0</v>
      </c>
    </row>
    <row r="108" spans="1:6" hidden="1" x14ac:dyDescent="0.25">
      <c r="A108" s="1951"/>
      <c r="B108" s="1972"/>
      <c r="C108" s="1952"/>
      <c r="D108" s="1949"/>
      <c r="E108" s="1969">
        <f t="shared" si="2"/>
        <v>0</v>
      </c>
      <c r="F108" s="1969" t="str">
        <f t="shared" si="3"/>
        <v>0</v>
      </c>
    </row>
    <row r="109" spans="1:6" hidden="1" x14ac:dyDescent="0.25">
      <c r="A109" s="1951"/>
      <c r="B109" s="1972"/>
      <c r="C109" s="1952"/>
      <c r="D109" s="1949"/>
      <c r="E109" s="1969">
        <f t="shared" si="2"/>
        <v>0</v>
      </c>
      <c r="F109" s="1969" t="str">
        <f t="shared" si="3"/>
        <v>0</v>
      </c>
    </row>
    <row r="110" spans="1:6" hidden="1" x14ac:dyDescent="0.25">
      <c r="A110" s="1951"/>
      <c r="B110" s="1972"/>
      <c r="C110" s="1952"/>
      <c r="D110" s="1949"/>
      <c r="E110" s="1969">
        <f t="shared" si="2"/>
        <v>0</v>
      </c>
      <c r="F110" s="1969" t="str">
        <f t="shared" si="3"/>
        <v>0</v>
      </c>
    </row>
    <row r="111" spans="1:6" hidden="1" x14ac:dyDescent="0.25">
      <c r="A111" s="1951"/>
      <c r="B111" s="1972"/>
      <c r="C111" s="1952"/>
      <c r="D111" s="1949"/>
      <c r="E111" s="1969">
        <f t="shared" si="2"/>
        <v>0</v>
      </c>
      <c r="F111" s="1969" t="str">
        <f t="shared" si="3"/>
        <v>0</v>
      </c>
    </row>
    <row r="112" spans="1:6" hidden="1" x14ac:dyDescent="0.25">
      <c r="A112" s="1951"/>
      <c r="B112" s="1972"/>
      <c r="C112" s="1952"/>
      <c r="D112" s="1949"/>
      <c r="E112" s="1969">
        <f t="shared" si="2"/>
        <v>0</v>
      </c>
      <c r="F112" s="1969" t="str">
        <f t="shared" si="3"/>
        <v>0</v>
      </c>
    </row>
    <row r="113" spans="1:6" hidden="1" x14ac:dyDescent="0.25">
      <c r="A113" s="1951"/>
      <c r="B113" s="1972"/>
      <c r="C113" s="1952"/>
      <c r="D113" s="1949"/>
      <c r="E113" s="1969">
        <f t="shared" si="2"/>
        <v>0</v>
      </c>
      <c r="F113" s="1969" t="str">
        <f t="shared" si="3"/>
        <v>0</v>
      </c>
    </row>
    <row r="114" spans="1:6" hidden="1" x14ac:dyDescent="0.25">
      <c r="A114" s="1951"/>
      <c r="B114" s="1972"/>
      <c r="C114" s="1952"/>
      <c r="D114" s="1949"/>
      <c r="E114" s="1969">
        <f t="shared" si="2"/>
        <v>0</v>
      </c>
      <c r="F114" s="1969" t="str">
        <f t="shared" si="3"/>
        <v>0</v>
      </c>
    </row>
    <row r="115" spans="1:6" hidden="1" x14ac:dyDescent="0.25">
      <c r="A115" s="1951"/>
      <c r="B115" s="1972"/>
      <c r="C115" s="1952"/>
      <c r="D115" s="1949"/>
      <c r="E115" s="1969">
        <f t="shared" si="2"/>
        <v>0</v>
      </c>
      <c r="F115" s="1969" t="str">
        <f t="shared" si="3"/>
        <v>0</v>
      </c>
    </row>
    <row r="116" spans="1:6" hidden="1" x14ac:dyDescent="0.25">
      <c r="A116" s="1951"/>
      <c r="B116" s="1972"/>
      <c r="C116" s="1952"/>
      <c r="D116" s="1949"/>
      <c r="E116" s="1969">
        <f t="shared" si="2"/>
        <v>0</v>
      </c>
      <c r="F116" s="1969" t="str">
        <f t="shared" si="3"/>
        <v>0</v>
      </c>
    </row>
    <row r="117" spans="1:6" hidden="1" x14ac:dyDescent="0.25">
      <c r="A117" s="1951"/>
      <c r="B117" s="1972"/>
      <c r="C117" s="1952"/>
      <c r="D117" s="1949"/>
      <c r="E117" s="1969">
        <f t="shared" si="2"/>
        <v>0</v>
      </c>
      <c r="F117" s="1969" t="str">
        <f t="shared" si="3"/>
        <v>0</v>
      </c>
    </row>
    <row r="118" spans="1:6" hidden="1" x14ac:dyDescent="0.25">
      <c r="A118" s="1951"/>
      <c r="B118" s="1972"/>
      <c r="C118" s="1952"/>
      <c r="D118" s="1949"/>
      <c r="E118" s="1969">
        <f t="shared" si="2"/>
        <v>0</v>
      </c>
      <c r="F118" s="1969" t="str">
        <f t="shared" si="3"/>
        <v>0</v>
      </c>
    </row>
    <row r="119" spans="1:6" hidden="1" x14ac:dyDescent="0.25">
      <c r="A119" s="1951"/>
      <c r="B119" s="1972"/>
      <c r="C119" s="1952"/>
      <c r="D119" s="1949"/>
      <c r="E119" s="1969">
        <f t="shared" si="2"/>
        <v>0</v>
      </c>
      <c r="F119" s="1969" t="str">
        <f t="shared" si="3"/>
        <v>0</v>
      </c>
    </row>
    <row r="120" spans="1:6" hidden="1" x14ac:dyDescent="0.25">
      <c r="A120" s="1951"/>
      <c r="B120" s="1972"/>
      <c r="C120" s="1952"/>
      <c r="D120" s="1949"/>
      <c r="E120" s="1969">
        <f t="shared" si="2"/>
        <v>0</v>
      </c>
      <c r="F120" s="1969" t="str">
        <f t="shared" si="3"/>
        <v>0</v>
      </c>
    </row>
    <row r="121" spans="1:6" hidden="1" x14ac:dyDescent="0.25">
      <c r="A121" s="1951"/>
      <c r="B121" s="1972"/>
      <c r="C121" s="1952"/>
      <c r="D121" s="1949"/>
      <c r="E121" s="1969">
        <f t="shared" si="2"/>
        <v>0</v>
      </c>
      <c r="F121" s="1969" t="str">
        <f t="shared" si="3"/>
        <v>0</v>
      </c>
    </row>
    <row r="122" spans="1:6" hidden="1" x14ac:dyDescent="0.25">
      <c r="A122" s="1951"/>
      <c r="B122" s="1972"/>
      <c r="C122" s="1952"/>
      <c r="D122" s="1949"/>
      <c r="E122" s="1969">
        <f t="shared" si="2"/>
        <v>0</v>
      </c>
      <c r="F122" s="1969" t="str">
        <f t="shared" si="3"/>
        <v>0</v>
      </c>
    </row>
    <row r="123" spans="1:6" hidden="1" x14ac:dyDescent="0.25">
      <c r="A123" s="1951"/>
      <c r="B123" s="1972"/>
      <c r="C123" s="1952"/>
      <c r="D123" s="1949"/>
      <c r="E123" s="1969">
        <f t="shared" si="2"/>
        <v>0</v>
      </c>
      <c r="F123" s="1969" t="str">
        <f t="shared" si="3"/>
        <v>0</v>
      </c>
    </row>
    <row r="124" spans="1:6" hidden="1" x14ac:dyDescent="0.25">
      <c r="A124" s="1951"/>
      <c r="B124" s="1972"/>
      <c r="C124" s="1952"/>
      <c r="D124" s="1949"/>
      <c r="E124" s="1969">
        <f t="shared" si="2"/>
        <v>0</v>
      </c>
      <c r="F124" s="1969" t="str">
        <f t="shared" si="3"/>
        <v>0</v>
      </c>
    </row>
    <row r="125" spans="1:6" hidden="1" x14ac:dyDescent="0.25">
      <c r="A125" s="1951"/>
      <c r="B125" s="1972"/>
      <c r="C125" s="1952"/>
      <c r="D125" s="1949"/>
      <c r="E125" s="1969">
        <f t="shared" si="2"/>
        <v>0</v>
      </c>
      <c r="F125" s="1969" t="str">
        <f t="shared" si="3"/>
        <v>0</v>
      </c>
    </row>
    <row r="126" spans="1:6" hidden="1" x14ac:dyDescent="0.25">
      <c r="A126" s="1951"/>
      <c r="B126" s="1972"/>
      <c r="C126" s="1952"/>
      <c r="D126" s="1949"/>
      <c r="E126" s="1969">
        <f t="shared" si="2"/>
        <v>0</v>
      </c>
      <c r="F126" s="1969" t="str">
        <f t="shared" si="3"/>
        <v>0</v>
      </c>
    </row>
    <row r="127" spans="1:6" hidden="1" x14ac:dyDescent="0.25">
      <c r="A127" s="1951"/>
      <c r="B127" s="1972"/>
      <c r="C127" s="1952"/>
      <c r="D127" s="1949"/>
      <c r="E127" s="1969">
        <f t="shared" si="2"/>
        <v>0</v>
      </c>
      <c r="F127" s="1969" t="str">
        <f t="shared" si="3"/>
        <v>0</v>
      </c>
    </row>
    <row r="128" spans="1:6" hidden="1" x14ac:dyDescent="0.25">
      <c r="A128" s="1951"/>
      <c r="B128" s="1972"/>
      <c r="C128" s="1952"/>
      <c r="D128" s="1949"/>
      <c r="E128" s="1969">
        <f t="shared" si="2"/>
        <v>0</v>
      </c>
      <c r="F128" s="1969" t="str">
        <f t="shared" si="3"/>
        <v>0</v>
      </c>
    </row>
    <row r="129" spans="1:6" hidden="1" x14ac:dyDescent="0.25">
      <c r="A129" s="1951"/>
      <c r="B129" s="1972"/>
      <c r="C129" s="1952"/>
      <c r="D129" s="1949"/>
      <c r="E129" s="1969">
        <f t="shared" si="2"/>
        <v>0</v>
      </c>
      <c r="F129" s="1969" t="str">
        <f t="shared" si="3"/>
        <v>0</v>
      </c>
    </row>
    <row r="130" spans="1:6" hidden="1" x14ac:dyDescent="0.25">
      <c r="A130" s="1951"/>
      <c r="B130" s="1972"/>
      <c r="C130" s="1952"/>
      <c r="D130" s="1949"/>
      <c r="E130" s="1969">
        <f t="shared" si="2"/>
        <v>0</v>
      </c>
      <c r="F130" s="1969" t="str">
        <f t="shared" si="3"/>
        <v>0</v>
      </c>
    </row>
    <row r="131" spans="1:6" hidden="1" x14ac:dyDescent="0.25">
      <c r="A131" s="1951"/>
      <c r="B131" s="1972"/>
      <c r="C131" s="1952"/>
      <c r="D131" s="1949"/>
      <c r="E131" s="1969">
        <f t="shared" si="2"/>
        <v>0</v>
      </c>
      <c r="F131" s="1969" t="str">
        <f t="shared" si="3"/>
        <v>0</v>
      </c>
    </row>
    <row r="132" spans="1:6" hidden="1" x14ac:dyDescent="0.25">
      <c r="A132" s="1951"/>
      <c r="B132" s="1972"/>
      <c r="C132" s="1952"/>
      <c r="D132" s="1949"/>
      <c r="E132" s="1969">
        <f t="shared" si="2"/>
        <v>0</v>
      </c>
      <c r="F132" s="1969" t="str">
        <f t="shared" si="3"/>
        <v>0</v>
      </c>
    </row>
    <row r="133" spans="1:6" hidden="1" x14ac:dyDescent="0.25">
      <c r="A133" s="1951"/>
      <c r="B133" s="1972"/>
      <c r="C133" s="1952"/>
      <c r="D133" s="1949"/>
      <c r="E133" s="1969">
        <f t="shared" si="2"/>
        <v>0</v>
      </c>
      <c r="F133" s="1969" t="str">
        <f t="shared" si="3"/>
        <v>0</v>
      </c>
    </row>
    <row r="134" spans="1:6" hidden="1" x14ac:dyDescent="0.25">
      <c r="A134" s="1951"/>
      <c r="B134" s="1972"/>
      <c r="C134" s="1952"/>
      <c r="D134" s="1949"/>
      <c r="E134" s="1969">
        <f t="shared" si="2"/>
        <v>0</v>
      </c>
      <c r="F134" s="1969" t="str">
        <f t="shared" si="3"/>
        <v>0</v>
      </c>
    </row>
    <row r="135" spans="1:6" hidden="1" x14ac:dyDescent="0.25">
      <c r="A135" s="1951"/>
      <c r="B135" s="1972"/>
      <c r="C135" s="1952"/>
      <c r="D135" s="1949"/>
      <c r="E135" s="1969">
        <f t="shared" si="2"/>
        <v>0</v>
      </c>
      <c r="F135" s="1969" t="str">
        <f t="shared" si="3"/>
        <v>0</v>
      </c>
    </row>
    <row r="136" spans="1:6" hidden="1" x14ac:dyDescent="0.25">
      <c r="A136" s="1951"/>
      <c r="B136" s="1972"/>
      <c r="C136" s="1952"/>
      <c r="D136" s="1949"/>
      <c r="E136" s="1969">
        <f t="shared" si="2"/>
        <v>0</v>
      </c>
      <c r="F136" s="1969" t="str">
        <f t="shared" si="3"/>
        <v>0</v>
      </c>
    </row>
    <row r="137" spans="1:6" hidden="1" x14ac:dyDescent="0.25">
      <c r="A137" s="1951"/>
      <c r="B137" s="1972"/>
      <c r="C137" s="1952"/>
      <c r="D137" s="1949"/>
      <c r="E137" s="1969">
        <f t="shared" si="2"/>
        <v>0</v>
      </c>
      <c r="F137" s="1969" t="str">
        <f t="shared" si="3"/>
        <v>0</v>
      </c>
    </row>
    <row r="138" spans="1:6" hidden="1" x14ac:dyDescent="0.25">
      <c r="A138" s="1951"/>
      <c r="B138" s="1972"/>
      <c r="C138" s="1952"/>
      <c r="D138" s="1949"/>
      <c r="E138" s="1969">
        <f t="shared" si="2"/>
        <v>0</v>
      </c>
      <c r="F138" s="1969" t="str">
        <f t="shared" si="3"/>
        <v>0</v>
      </c>
    </row>
    <row r="139" spans="1:6" hidden="1" x14ac:dyDescent="0.25">
      <c r="A139" s="1951"/>
      <c r="B139" s="1972"/>
      <c r="C139" s="1952"/>
      <c r="D139" s="1949"/>
      <c r="E139" s="1969">
        <f t="shared" si="2"/>
        <v>0</v>
      </c>
      <c r="F139" s="1969" t="str">
        <f t="shared" si="3"/>
        <v>0</v>
      </c>
    </row>
    <row r="140" spans="1:6" hidden="1" x14ac:dyDescent="0.25">
      <c r="A140" s="1951"/>
      <c r="B140" s="1972"/>
      <c r="C140" s="1952"/>
      <c r="D140" s="1949"/>
      <c r="E140" s="1969">
        <f t="shared" si="2"/>
        <v>0</v>
      </c>
      <c r="F140" s="1969" t="str">
        <f t="shared" si="3"/>
        <v>0</v>
      </c>
    </row>
    <row r="141" spans="1:6" hidden="1" x14ac:dyDescent="0.25">
      <c r="A141" s="1951"/>
      <c r="B141" s="1973"/>
      <c r="C141" s="1952"/>
      <c r="D141" s="1949"/>
      <c r="E141" s="1969">
        <f t="shared" si="2"/>
        <v>0</v>
      </c>
      <c r="F141" s="1969" t="str">
        <f t="shared" si="3"/>
        <v>0</v>
      </c>
    </row>
    <row r="142" spans="1:6" x14ac:dyDescent="0.25">
      <c r="A142" s="1953" t="s">
        <v>155</v>
      </c>
      <c r="B142" s="1974"/>
      <c r="C142" s="1954"/>
      <c r="D142" s="1955">
        <f>SUM(D18:D141)</f>
        <v>83027.459999999992</v>
      </c>
      <c r="E142" s="1956">
        <f>SUM(E18:E141)</f>
        <v>46052.46</v>
      </c>
      <c r="F142" s="1957">
        <f>SUM(F18:F141)</f>
        <v>11975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T15" sqref="T15:AA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1180680</v>
      </c>
      <c r="F19" s="1852"/>
      <c r="G19" s="1854">
        <f>'Expenditures 15-22'!K33-SUM('Expenditures 15-22'!G33,'Expenditures 15-22'!I33)+'Expenditures 15-22'!D229</f>
        <v>1180680</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0</v>
      </c>
      <c r="F21" s="1855"/>
      <c r="G21" s="185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55"/>
      <c r="E22" s="1857">
        <f>'Expenditures 15-22'!K47-SUM('Expenditures 15-22'!G47,'Expenditures 15-22'!I47)+'Expenditures 15-22'!D243</f>
        <v>5510</v>
      </c>
      <c r="F22" s="1855"/>
      <c r="G22" s="1858">
        <f>'Expenditures 15-22'!K47-SUM('Expenditures 15-22'!G47,'Expenditures 15-22'!I47)+'Expenditures 15-22'!D243</f>
        <v>5510</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306734</v>
      </c>
      <c r="F23" s="1855"/>
      <c r="G23" s="1857">
        <f>'Expenditures 15-22'!K53-SUM('Expenditures 15-22'!G53,'Expenditures 15-22'!I53)+'Expenditures 15-22'!D257+'Expenditures 15-22'!K330-SUM('Expenditures 15-22'!G330,'Expenditures 15-22'!I330)</f>
        <v>306734</v>
      </c>
      <c r="H23" s="817"/>
      <c r="I23" s="157"/>
    </row>
    <row r="24" spans="1:9" s="542" customFormat="1" ht="12" customHeight="1" x14ac:dyDescent="0.2">
      <c r="A24" s="824" t="s">
        <v>562</v>
      </c>
      <c r="B24" s="825"/>
      <c r="C24" s="823">
        <v>2400</v>
      </c>
      <c r="D24" s="1855"/>
      <c r="E24" s="1857">
        <f>'Expenditures 15-22'!K57-SUM('Expenditures 15-22'!G57,'Expenditures 15-22'!I57)+'Expenditures 15-22'!D261</f>
        <v>99381</v>
      </c>
      <c r="F24" s="1855"/>
      <c r="G24" s="1858">
        <f>'Expenditures 15-22'!K57-SUM('Expenditures 15-22'!G57,'Expenditures 15-22'!I57)+'Expenditures 15-22'!D261</f>
        <v>99381</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60099</v>
      </c>
      <c r="E27" s="1857">
        <f>E8</f>
        <v>0</v>
      </c>
      <c r="F27" s="1857">
        <f>'Expenditures 15-22'!K60-SUM('Expenditures 15-22'!G60,'Expenditures 15-22'!I60)+'Expenditures 15-22'!D264-E8</f>
        <v>60099</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163631</v>
      </c>
      <c r="F28" s="1859">
        <f>'Expenditures 15-22'!K61-SUM('Expenditures 15-22'!G61,'Expenditures 15-22'!I61)+'Expenditures 15-22'!K124-SUM('Expenditures 15-22'!G124,'Expenditures 15-22'!I124)+'Expenditures 15-22'!D266-E9</f>
        <v>163631</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3885</v>
      </c>
      <c r="F35" s="1855"/>
      <c r="G35" s="1857">
        <f>'Expenditures 15-22'!K69-SUM('Expenditures 15-22'!G69,'Expenditures 15-22'!I69)+'Expenditures 15-22'!D274</f>
        <v>3885</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-11975</v>
      </c>
      <c r="F40" s="1855"/>
      <c r="G40" s="1859">
        <f>-'Contracts Paid in CY 29'!F142</f>
        <v>-11975</v>
      </c>
    </row>
    <row r="41" spans="1:7" ht="12" customHeight="1" x14ac:dyDescent="0.2">
      <c r="A41" s="828" t="s">
        <v>155</v>
      </c>
      <c r="B41" s="829"/>
      <c r="C41" s="830"/>
      <c r="D41" s="1859">
        <f>SUM(D19:D39)</f>
        <v>60099</v>
      </c>
      <c r="E41" s="1859">
        <f>SUM(E19:E40)</f>
        <v>1747846</v>
      </c>
      <c r="F41" s="1859">
        <f>SUM(F19:F39)</f>
        <v>223730</v>
      </c>
      <c r="G41" s="1859">
        <f>SUM(G19:G40)</f>
        <v>1584215</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60099</v>
      </c>
      <c r="F43" s="1507" t="s">
        <v>470</v>
      </c>
      <c r="G43" s="1860">
        <f>F41</f>
        <v>223730</v>
      </c>
    </row>
    <row r="44" spans="1:7" ht="12" customHeight="1" x14ac:dyDescent="0.2">
      <c r="A44" s="817"/>
      <c r="B44" s="157"/>
      <c r="C44" s="831"/>
      <c r="D44" s="1507" t="s">
        <v>471</v>
      </c>
      <c r="E44" s="1860">
        <f>E41</f>
        <v>1747846</v>
      </c>
      <c r="F44" s="1507" t="s">
        <v>471</v>
      </c>
      <c r="G44" s="1860">
        <f>G41</f>
        <v>1584215</v>
      </c>
    </row>
    <row r="45" spans="1:7" ht="12" customHeight="1" x14ac:dyDescent="0.2">
      <c r="A45" s="817"/>
      <c r="B45" s="157"/>
      <c r="C45" s="157"/>
      <c r="D45" s="1508" t="s">
        <v>999</v>
      </c>
      <c r="E45" s="1861">
        <f>(E43/E44)</f>
        <v>3.4384608254960675E-2</v>
      </c>
      <c r="F45" s="1508" t="s">
        <v>999</v>
      </c>
      <c r="G45" s="1861">
        <f>(G43/G44)</f>
        <v>0.1412245181367428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T15" sqref="T15:AA15"/>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3" t="s">
        <v>1365</v>
      </c>
      <c r="B1" s="2353"/>
      <c r="C1" s="2353"/>
      <c r="D1" s="2353"/>
      <c r="E1" s="2353"/>
      <c r="F1" s="2353"/>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4" t="s">
        <v>1532</v>
      </c>
      <c r="B5" s="2355"/>
      <c r="C5" s="2356"/>
      <c r="D5" s="2356"/>
      <c r="E5" s="2356"/>
      <c r="F5" s="2356"/>
      <c r="G5" s="1556"/>
      <c r="L5" s="1556"/>
      <c r="M5" s="1913"/>
      <c r="N5" s="1913"/>
      <c r="O5" s="1913"/>
    </row>
    <row r="6" spans="1:15" ht="12" customHeight="1" x14ac:dyDescent="0.25">
      <c r="A6" s="1529"/>
      <c r="B6" s="1530"/>
      <c r="C6" s="2357" t="str">
        <f>COVER!A17</f>
        <v xml:space="preserve"> Indian Valley Area Vocational Center</v>
      </c>
      <c r="D6" s="2357"/>
      <c r="E6" s="2357"/>
      <c r="F6" s="1531"/>
      <c r="G6" s="1556"/>
      <c r="L6" s="1556"/>
      <c r="M6" s="1913"/>
      <c r="N6" s="1913"/>
      <c r="O6" s="1913"/>
    </row>
    <row r="7" spans="1:15" ht="11.25" customHeight="1" thickBot="1" x14ac:dyDescent="0.3">
      <c r="A7" s="1529"/>
      <c r="B7" s="1530"/>
      <c r="C7" s="2358">
        <f>COVER!A13</f>
        <v>16019430040</v>
      </c>
      <c r="D7" s="2358"/>
      <c r="E7" s="2358"/>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t="s">
        <v>2021</v>
      </c>
      <c r="D32" s="1544" t="s">
        <v>2021</v>
      </c>
      <c r="E32" s="1547"/>
      <c r="F32" s="1546" t="s">
        <v>2053</v>
      </c>
      <c r="G32" s="1556"/>
      <c r="H32" s="1556">
        <f t="shared" si="0"/>
        <v>5</v>
      </c>
      <c r="I32" s="1556">
        <f t="shared" si="1"/>
        <v>5</v>
      </c>
      <c r="J32" s="1556">
        <f t="shared" si="2"/>
        <v>0</v>
      </c>
      <c r="L32" s="1556"/>
      <c r="M32" s="1913"/>
      <c r="N32" s="1913"/>
      <c r="O32" s="1913"/>
    </row>
    <row r="33" spans="1:15" ht="12" customHeight="1" x14ac:dyDescent="0.2">
      <c r="A33" s="1542" t="s">
        <v>1527</v>
      </c>
      <c r="B33" s="1543"/>
      <c r="C33" s="1544" t="s">
        <v>2021</v>
      </c>
      <c r="D33" s="1544" t="s">
        <v>2021</v>
      </c>
      <c r="E33" s="1547"/>
      <c r="F33" s="1546" t="s">
        <v>2052</v>
      </c>
      <c r="G33" s="1556"/>
      <c r="H33" s="1556">
        <f t="shared" si="0"/>
        <v>5</v>
      </c>
      <c r="I33" s="1556">
        <f t="shared" si="1"/>
        <v>5</v>
      </c>
      <c r="J33" s="1556">
        <f t="shared" si="2"/>
        <v>0</v>
      </c>
      <c r="L33" s="1556"/>
      <c r="M33" s="1913"/>
      <c r="N33" s="1913"/>
      <c r="O33" s="1913"/>
    </row>
    <row r="34" spans="1:15" ht="12" customHeight="1" x14ac:dyDescent="0.25">
      <c r="A34" s="1548"/>
      <c r="B34" s="1548"/>
      <c r="C34" s="1548"/>
      <c r="D34" s="1548"/>
      <c r="E34" s="1548"/>
      <c r="F34" s="1548"/>
      <c r="G34" s="1556"/>
      <c r="H34" s="1556">
        <f>SUM(H11:H32)</f>
        <v>5</v>
      </c>
      <c r="I34" s="1556">
        <f>SUM(I11:I32)</f>
        <v>5</v>
      </c>
      <c r="J34" s="1556">
        <f>SUM(J11:J32)</f>
        <v>0</v>
      </c>
      <c r="K34" s="1556">
        <f>SUM(H34:J34)</f>
        <v>10</v>
      </c>
      <c r="L34" s="1556"/>
      <c r="M34" s="1913"/>
      <c r="N34" s="1913"/>
      <c r="O34" s="1913"/>
    </row>
    <row r="35" spans="1:15" ht="12" customHeight="1" x14ac:dyDescent="0.2">
      <c r="A35" s="1549" t="s">
        <v>1378</v>
      </c>
      <c r="B35" s="1550"/>
      <c r="C35" s="2359"/>
      <c r="D35" s="2359"/>
      <c r="E35" s="2359"/>
      <c r="F35" s="2360"/>
    </row>
    <row r="36" spans="1:15" ht="12" customHeight="1" x14ac:dyDescent="0.2">
      <c r="A36" s="2350"/>
      <c r="B36" s="2351"/>
      <c r="C36" s="2351"/>
      <c r="D36" s="2351"/>
      <c r="E36" s="2351"/>
      <c r="F36" s="2352"/>
    </row>
    <row r="37" spans="1:15" ht="12" customHeight="1" x14ac:dyDescent="0.2">
      <c r="A37" s="2350"/>
      <c r="B37" s="2351"/>
      <c r="C37" s="2351"/>
      <c r="D37" s="2351"/>
      <c r="E37" s="2351"/>
      <c r="F37" s="2352"/>
    </row>
    <row r="38" spans="1:15" ht="12" customHeight="1" x14ac:dyDescent="0.2">
      <c r="A38" s="2364"/>
      <c r="B38" s="2365"/>
      <c r="C38" s="2365"/>
      <c r="D38" s="2365"/>
      <c r="E38" s="2365"/>
      <c r="F38" s="2366"/>
    </row>
    <row r="39" spans="1:15" ht="4.5" hidden="1" customHeight="1" x14ac:dyDescent="0.2">
      <c r="A39" s="1551"/>
      <c r="B39" s="1551"/>
      <c r="C39" s="1551"/>
      <c r="D39" s="1551"/>
      <c r="E39" s="1551"/>
      <c r="F39" s="1551"/>
    </row>
    <row r="40" spans="1:15" s="1548" customFormat="1" ht="12" customHeight="1" x14ac:dyDescent="0.25">
      <c r="A40" s="1552" t="s">
        <v>1377</v>
      </c>
      <c r="B40" s="1553"/>
      <c r="C40" s="2367"/>
      <c r="D40" s="2367"/>
      <c r="E40" s="2367"/>
      <c r="F40" s="2368"/>
      <c r="H40" s="1557"/>
      <c r="I40" s="1557"/>
      <c r="J40" s="1557"/>
      <c r="K40" s="1557"/>
    </row>
    <row r="41" spans="1:15" s="1548" customFormat="1" ht="12" customHeight="1" x14ac:dyDescent="0.25">
      <c r="A41" s="2369" t="s">
        <v>2057</v>
      </c>
      <c r="B41" s="2370"/>
      <c r="C41" s="2370"/>
      <c r="D41" s="2370"/>
      <c r="E41" s="2370"/>
      <c r="F41" s="2371"/>
      <c r="H41" s="1557"/>
      <c r="I41" s="1557"/>
      <c r="J41" s="1557"/>
      <c r="K41" s="1557"/>
    </row>
    <row r="42" spans="1:15" s="1548" customFormat="1" ht="12" customHeight="1" x14ac:dyDescent="0.25">
      <c r="A42" s="2369" t="s">
        <v>2054</v>
      </c>
      <c r="B42" s="2370"/>
      <c r="C42" s="2370"/>
      <c r="D42" s="2370"/>
      <c r="E42" s="2370"/>
      <c r="F42" s="2371"/>
      <c r="H42" s="1557"/>
      <c r="I42" s="1557"/>
      <c r="J42" s="1557"/>
      <c r="K42" s="1557"/>
    </row>
    <row r="43" spans="1:15" s="1548" customFormat="1" ht="15" x14ac:dyDescent="0.25">
      <c r="A43" s="2361"/>
      <c r="B43" s="2362"/>
      <c r="C43" s="2362"/>
      <c r="D43" s="2362"/>
      <c r="E43" s="2362"/>
      <c r="F43" s="2363"/>
      <c r="H43" s="1557"/>
      <c r="I43" s="1557"/>
      <c r="J43" s="1557"/>
      <c r="K43" s="1557"/>
    </row>
    <row r="44" spans="1:15" s="1548" customFormat="1" ht="12" hidden="1" customHeight="1" x14ac:dyDescent="0.25">
      <c r="A44" s="2361"/>
      <c r="B44" s="2362"/>
      <c r="C44" s="2362"/>
      <c r="D44" s="2362"/>
      <c r="E44" s="2362"/>
      <c r="F44" s="236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T15" sqref="T15:AA1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 xml:space="preserve"> Indian Valley Area Vocational Center</v>
      </c>
      <c r="J6" s="2378"/>
      <c r="K6" s="2379"/>
      <c r="R6" s="1427"/>
    </row>
    <row r="7" spans="1:18" x14ac:dyDescent="0.2">
      <c r="A7" s="2380" t="s">
        <v>864</v>
      </c>
      <c r="B7" s="2381"/>
      <c r="C7" s="2381"/>
      <c r="D7" s="2381"/>
      <c r="E7" s="2382"/>
      <c r="F7" s="847"/>
      <c r="G7" s="839"/>
      <c r="H7" s="846" t="s">
        <v>369</v>
      </c>
      <c r="I7" s="2383">
        <f>COVER!A13</f>
        <v>16019430040</v>
      </c>
      <c r="J7" s="2383"/>
      <c r="K7" s="238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84" t="s">
        <v>478</v>
      </c>
      <c r="B11" s="2385"/>
      <c r="C11" s="238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220144</v>
      </c>
      <c r="F12" s="1864"/>
      <c r="G12" s="1863">
        <f t="shared" ref="G12:G18" si="0">SUM(E12:F12)</f>
        <v>220144</v>
      </c>
      <c r="H12" s="1865">
        <v>233164</v>
      </c>
      <c r="I12" s="1864"/>
      <c r="J12" s="1865"/>
      <c r="K12" s="1863">
        <f t="shared" ref="K12:K18" si="1">SUM(H12:J12)</f>
        <v>233164</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220144</v>
      </c>
      <c r="F19" s="1868">
        <f t="shared" si="2"/>
        <v>0</v>
      </c>
      <c r="G19" s="1868">
        <f t="shared" si="2"/>
        <v>220144</v>
      </c>
      <c r="H19" s="1868">
        <f t="shared" si="2"/>
        <v>233164</v>
      </c>
      <c r="I19" s="1868">
        <f t="shared" si="2"/>
        <v>0</v>
      </c>
      <c r="J19" s="1868">
        <f t="shared" si="2"/>
        <v>0</v>
      </c>
      <c r="K19" s="1868">
        <f t="shared" si="2"/>
        <v>233164</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8"/>
      <c r="K20" s="1870">
        <f>IF(AND(G19&gt;0,K19&gt;0),(((K19-G19)/G19)),"Enter Budget Data")</f>
        <v>5.9143106330401922E-2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6"/>
    </row>
    <row r="34" spans="1:11" ht="10.35" customHeight="1" x14ac:dyDescent="0.2">
      <c r="C34" s="2375"/>
      <c r="D34" s="2375"/>
      <c r="E34" s="2375"/>
      <c r="F34" s="2375"/>
      <c r="G34" s="2375"/>
      <c r="H34" s="2375"/>
      <c r="I34" s="2375"/>
      <c r="J34" s="1976"/>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6"/>
      <c r="K36" s="887"/>
    </row>
    <row r="37" spans="1:11" ht="22.5" customHeight="1" x14ac:dyDescent="0.2">
      <c r="C37" s="2375"/>
      <c r="D37" s="2375"/>
      <c r="E37" s="2375"/>
      <c r="F37" s="2375"/>
      <c r="G37" s="2375"/>
      <c r="H37" s="2375"/>
      <c r="I37" s="2375"/>
      <c r="J37" s="1976"/>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15" sqref="T15:AA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2056</v>
      </c>
    </row>
    <row r="6" spans="1:2" x14ac:dyDescent="0.2">
      <c r="A6" s="892">
        <v>2</v>
      </c>
      <c r="B6" s="307" t="s">
        <v>2055</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Indian Valley Area Vocational Center</v>
      </c>
    </row>
    <row r="65" spans="2:2" x14ac:dyDescent="0.2">
      <c r="B65" s="894">
        <f>COVER!A13</f>
        <v>16019430040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7" zoomScale="110" zoomScaleNormal="110" workbookViewId="0">
      <selection activeCell="T15" sqref="T15:AA1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7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r:id="rId4" location="'Aud Quest 2'!A1" xr:uid="{00000000-0004-0000-0100-000003000000}"/>
    <hyperlink ref="E5" r:id="rId5" location="'Aud Quest 2'!A1" xr:uid="{00000000-0004-0000-0100-000004000000}"/>
    <hyperlink ref="E6" r:id="rId6" location="'FP Info 3'!A1" xr:uid="{00000000-0004-0000-0100-000005000000}"/>
    <hyperlink ref="E7" r:id="rId7" location="'Fin Profile 4'!A1" xr:uid="{00000000-0004-0000-0100-000006000000}"/>
    <hyperlink ref="E9" r:id="rId8" location="'Assets-Liab 5-6'!A1" xr:uid="{00000000-0004-0000-0100-000007000000}"/>
    <hyperlink ref="E11" r:id="rId9" location="'Acct Summary 7-8'!A1" xr:uid="{00000000-0004-0000-0100-000008000000}"/>
    <hyperlink ref="E12" r:id="rId10" location="'Revenues 9-14'!A1" xr:uid="{00000000-0004-0000-0100-000009000000}"/>
    <hyperlink ref="E13" r:id="rId11" location="'Expenditures 15-22'!A1"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r:id="rId12" location="'Contracts Paid in CY 29'!A1" xr:uid="{00000000-0004-0000-0100-000010000000}"/>
    <hyperlink ref="E24" r:id="rId13" location="'Shared Outsourced Services 31'!A1" xr:uid="{00000000-0004-0000-0100-000011000000}"/>
    <hyperlink ref="E25" r:id="rId14" location="'AC32'!A1" xr:uid="{00000000-0004-0000-0100-000012000000}"/>
    <hyperlink ref="E26" r:id="rId15" location="'Itemization 33'!A1" xr:uid="{00000000-0004-0000-0100-000013000000}"/>
    <hyperlink ref="E27" r:id="rId16" location="'REF 34'!A1"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r:id="rId17" location="'ICR Computation 30'!A1" xr:uid="{00000000-0004-0000-0100-000019000000}"/>
    <hyperlink ref="A42:E42" r:id="rId18" display="23, Illinois Administrative Code 100, Subtitle A, Chapter I, Subchapter C (Part 100)" xr:uid="{7C1E1BD6-79C5-4F4B-A024-68B0EBDC2E07}"/>
  </hyperlinks>
  <pageMargins left="0.7" right="0.7" top="0.75" bottom="0.75" header="0.3" footer="0.3"/>
  <pageSetup scale="72" fitToHeight="0" orientation="portrait"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T15" sqref="T15:AA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0000"/>
  </sheetPr>
  <dimension ref="A11:F18"/>
  <sheetViews>
    <sheetView showGridLines="0" zoomScale="110" zoomScaleNormal="110" workbookViewId="0">
      <selection activeCell="A13" sqref="A13"/>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403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0000"/>
    <pageSetUpPr fitToPage="1"/>
  </sheetPr>
  <dimension ref="A1:H48"/>
  <sheetViews>
    <sheetView showGridLines="0" showZeros="0" topLeftCell="A7" zoomScale="110" zoomScaleNormal="110" workbookViewId="0">
      <selection activeCell="T15" sqref="T15:AA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8" t="s">
        <v>1672</v>
      </c>
      <c r="B1" s="2399"/>
      <c r="C1" s="2399"/>
      <c r="D1" s="2399"/>
      <c r="E1" s="2399"/>
      <c r="F1" s="2400"/>
    </row>
    <row r="2" spans="1:8" ht="45"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1850315</v>
      </c>
      <c r="C8" s="1871">
        <f>'Acct Summary 7-8'!D8</f>
        <v>0</v>
      </c>
      <c r="D8" s="1871">
        <f>'Acct Summary 7-8'!F8</f>
        <v>0</v>
      </c>
      <c r="E8" s="1871">
        <f>'Acct Summary 7-8'!I8</f>
        <v>0</v>
      </c>
      <c r="F8" s="1871">
        <f>SUM(B8:E8)</f>
        <v>1850315</v>
      </c>
    </row>
    <row r="9" spans="1:8" s="903" customFormat="1" ht="14.25" customHeight="1" thickBot="1" x14ac:dyDescent="0.25">
      <c r="A9" s="902" t="s">
        <v>1355</v>
      </c>
      <c r="B9" s="1872">
        <f>'Acct Summary 7-8'!C17</f>
        <v>1836588</v>
      </c>
      <c r="C9" s="1872">
        <f>'Acct Summary 7-8'!D17</f>
        <v>0</v>
      </c>
      <c r="D9" s="1872">
        <f>'Acct Summary 7-8'!F17</f>
        <v>0</v>
      </c>
      <c r="E9" s="1871"/>
      <c r="F9" s="1871">
        <f>SUM(B9:E9)</f>
        <v>1836588</v>
      </c>
    </row>
    <row r="10" spans="1:8" s="903" customFormat="1" ht="14.25" thickTop="1" thickBot="1" x14ac:dyDescent="0.25">
      <c r="A10" s="904" t="s">
        <v>1356</v>
      </c>
      <c r="B10" s="1873">
        <f>(B8-B9)</f>
        <v>13727</v>
      </c>
      <c r="C10" s="1873">
        <f>(C8-C9)</f>
        <v>0</v>
      </c>
      <c r="D10" s="1873">
        <f>(D8-D9)</f>
        <v>0</v>
      </c>
      <c r="E10" s="1872">
        <f>(E8-E9)</f>
        <v>0</v>
      </c>
      <c r="F10" s="1874">
        <f>SUM(F8-F9)</f>
        <v>13727</v>
      </c>
    </row>
    <row r="11" spans="1:8" s="903" customFormat="1" ht="14.25" thickTop="1" thickBot="1" x14ac:dyDescent="0.25">
      <c r="A11" s="905" t="s">
        <v>1906</v>
      </c>
      <c r="B11" s="1875">
        <f>'Acct Summary 7-8'!C81</f>
        <v>305968</v>
      </c>
      <c r="C11" s="1875">
        <f>'Acct Summary 7-8'!D81</f>
        <v>0</v>
      </c>
      <c r="D11" s="1875">
        <f>'Acct Summary 7-8'!F81</f>
        <v>0</v>
      </c>
      <c r="E11" s="1875">
        <f>'Acct Summary 7-8'!I81</f>
        <v>0</v>
      </c>
      <c r="F11" s="1876">
        <f>SUM(B11:E11)</f>
        <v>305968</v>
      </c>
    </row>
    <row r="12" spans="1:8" ht="16.5" customHeight="1" thickTop="1" x14ac:dyDescent="0.2">
      <c r="A12" s="906"/>
      <c r="B12" s="907"/>
      <c r="C12" s="2402" t="str">
        <f>IF(AND(F10&lt;0,F11&gt;=0,ABS(F10*3)&gt;ABS(F11)),A16,IF(AND(F10&lt;0,F11&gt;0,ABS(F10*3)&lt;=ABS(F11)),A17,IF(AND(F10&lt;0,F11&lt;0),A16,IF(F11=0,A19,A18))))</f>
        <v>Balanced - no deficit reduction plan is required.</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FF0000"/>
    <pageSetUpPr fitToPage="1"/>
  </sheetPr>
  <dimension ref="A1:L84"/>
  <sheetViews>
    <sheetView showGridLines="0" defaultGridColor="0" colorId="8" zoomScale="110" zoomScaleNormal="110" workbookViewId="0">
      <selection activeCell="T15" sqref="T15:AA1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16019430040</v>
      </c>
      <c r="E2" s="1592">
        <v>2020</v>
      </c>
      <c r="F2" s="1592">
        <v>1</v>
      </c>
      <c r="G2" s="1962">
        <v>101000300</v>
      </c>
    </row>
    <row r="3" spans="1:7" ht="15" x14ac:dyDescent="0.25">
      <c r="A3" t="s">
        <v>950</v>
      </c>
      <c r="B3" s="135" t="str">
        <f>COVER!A15</f>
        <v>DeKalb</v>
      </c>
      <c r="E3" s="1888" t="s">
        <v>1974</v>
      </c>
      <c r="F3" s="1888" t="s">
        <v>1973</v>
      </c>
      <c r="G3" s="1962">
        <v>101000400</v>
      </c>
    </row>
    <row r="4" spans="1:7" ht="15" x14ac:dyDescent="0.25">
      <c r="A4" t="s">
        <v>1000</v>
      </c>
      <c r="B4" s="135" t="str">
        <f>COVER!A17</f>
        <v xml:space="preserve"> Indian Valley Area Vocational Center</v>
      </c>
      <c r="E4" s="1886">
        <v>44119</v>
      </c>
      <c r="F4" s="1887">
        <v>44151</v>
      </c>
      <c r="G4" s="1962">
        <v>101000600</v>
      </c>
    </row>
    <row r="5" spans="1:7" ht="15" x14ac:dyDescent="0.25">
      <c r="A5" t="s">
        <v>699</v>
      </c>
      <c r="B5" s="135" t="str">
        <f>COVER!A38</f>
        <v>Joseph Barbic</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f>COVER!B5</f>
        <v>0</v>
      </c>
      <c r="G10" s="1962">
        <v>202100300</v>
      </c>
    </row>
    <row r="11" spans="1:7" ht="15" x14ac:dyDescent="0.25">
      <c r="A11" t="s">
        <v>971</v>
      </c>
      <c r="B11" s="135" t="str">
        <f>COVER!B6</f>
        <v>x</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066-005100</v>
      </c>
      <c r="G15" s="1962">
        <v>402100400</v>
      </c>
    </row>
    <row r="16" spans="1:7" ht="15" x14ac:dyDescent="0.25">
      <c r="A16" t="s">
        <v>419</v>
      </c>
      <c r="B16" s="135" t="str">
        <f>COVER!T13</f>
        <v>Mack &amp; Associates, P.C.</v>
      </c>
      <c r="G16" s="1962">
        <v>402100600</v>
      </c>
    </row>
    <row r="17" spans="1:7" ht="15" x14ac:dyDescent="0.25">
      <c r="A17" t="s">
        <v>878</v>
      </c>
      <c r="B17" s="135" t="str">
        <f>COVER!T15</f>
        <v>Tawnya Mack, CPA</v>
      </c>
      <c r="G17" s="1962">
        <v>402100800</v>
      </c>
    </row>
    <row r="18" spans="1:7" ht="15" x14ac:dyDescent="0.25">
      <c r="A18" t="s">
        <v>1142</v>
      </c>
      <c r="B18" s="135" t="str">
        <f>COVER!T17</f>
        <v>116 E. Washington Street, Suite One</v>
      </c>
      <c r="G18" s="1962">
        <v>102200300</v>
      </c>
    </row>
    <row r="19" spans="1:7" ht="15" x14ac:dyDescent="0.25">
      <c r="A19" t="s">
        <v>880</v>
      </c>
      <c r="B19" s="135" t="str">
        <f>COVER!T25</f>
        <v>tmack@mackcpas.com</v>
      </c>
      <c r="G19" s="1962">
        <v>102200400</v>
      </c>
    </row>
    <row r="20" spans="1:7" ht="15" x14ac:dyDescent="0.25">
      <c r="A20" t="s">
        <v>881</v>
      </c>
      <c r="B20" s="135" t="str">
        <f>COVER!T19</f>
        <v>Morris</v>
      </c>
      <c r="G20" s="1962">
        <v>102200600</v>
      </c>
    </row>
    <row r="21" spans="1:7" ht="15" x14ac:dyDescent="0.25">
      <c r="A21" t="s">
        <v>476</v>
      </c>
      <c r="B21" s="135" t="str">
        <f>COVER!X19</f>
        <v>IL</v>
      </c>
      <c r="G21" s="1962">
        <v>102200800</v>
      </c>
    </row>
    <row r="22" spans="1:7" ht="15" x14ac:dyDescent="0.25">
      <c r="A22" t="s">
        <v>882</v>
      </c>
      <c r="B22" s="135">
        <f>COVER!Z19</f>
        <v>60450</v>
      </c>
      <c r="G22" s="1962">
        <v>102300300</v>
      </c>
    </row>
    <row r="23" spans="1:7" ht="15" x14ac:dyDescent="0.25">
      <c r="A23" t="s">
        <v>1144</v>
      </c>
      <c r="B23" s="135" t="str">
        <f>COVER!T21</f>
        <v>815-942-3306</v>
      </c>
      <c r="G23" s="1962">
        <v>102300400</v>
      </c>
    </row>
    <row r="24" spans="1:7" ht="15" x14ac:dyDescent="0.25">
      <c r="A24" t="s">
        <v>1143</v>
      </c>
      <c r="B24" s="135">
        <f>COVER!Y21</f>
        <v>0</v>
      </c>
      <c r="G24" s="1962">
        <v>102300600</v>
      </c>
    </row>
    <row r="25" spans="1:7" ht="15" x14ac:dyDescent="0.25">
      <c r="A25" t="s">
        <v>756</v>
      </c>
      <c r="B25" s="135" t="str">
        <f>COVER!B34</f>
        <v>x</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305968</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238888</v>
      </c>
      <c r="D92" s="2" t="str">
        <f t="shared" si="0"/>
        <v>Error?</v>
      </c>
      <c r="G92" s="1962">
        <v>102640600</v>
      </c>
    </row>
    <row r="93" spans="1:7" ht="15" x14ac:dyDescent="0.25">
      <c r="A93" s="5">
        <v>32</v>
      </c>
      <c r="B93" s="1890">
        <f>'Assets-Liab 5-6'!C41</f>
        <v>305968</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0</v>
      </c>
      <c r="D123" s="2" t="str">
        <f t="shared" si="0"/>
        <v>Error?</v>
      </c>
      <c r="G123" s="1962">
        <v>203000400</v>
      </c>
    </row>
    <row r="124" spans="1:7" ht="15" x14ac:dyDescent="0.25">
      <c r="A124" s="5">
        <v>63</v>
      </c>
      <c r="B124" s="1890">
        <f>'Assets-Liab 5-6'!D41</f>
        <v>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102964</v>
      </c>
      <c r="D273" s="2" t="str">
        <f t="shared" si="3"/>
        <v>Error?</v>
      </c>
    </row>
    <row r="274" spans="1:4" x14ac:dyDescent="0.2">
      <c r="A274" s="5">
        <v>213</v>
      </c>
      <c r="B274" s="1890">
        <f>'Assets-Liab 5-6'!M17</f>
        <v>2135519</v>
      </c>
      <c r="D274" s="2" t="str">
        <f t="shared" si="3"/>
        <v>Error?</v>
      </c>
    </row>
    <row r="275" spans="1:4" x14ac:dyDescent="0.2">
      <c r="A275" s="5">
        <v>214</v>
      </c>
      <c r="B275" s="1890">
        <f>'Assets-Liab 5-6'!M18</f>
        <v>66049</v>
      </c>
      <c r="D275" s="2" t="str">
        <f t="shared" si="3"/>
        <v>Error?</v>
      </c>
    </row>
    <row r="276" spans="1:4" x14ac:dyDescent="0.2">
      <c r="A276" s="5">
        <v>215</v>
      </c>
      <c r="B276" s="1890">
        <f>'Assets-Liab 5-6'!M19</f>
        <v>69953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2374485</v>
      </c>
      <c r="C279" s="2" t="s">
        <v>569</v>
      </c>
      <c r="D279" s="2" t="str">
        <f t="shared" si="3"/>
        <v>Error?</v>
      </c>
    </row>
    <row r="280" spans="1:4" x14ac:dyDescent="0.2">
      <c r="A280" s="5">
        <v>219</v>
      </c>
      <c r="B280" s="1890">
        <f>'Assets-Liab 5-6'!M40</f>
        <v>2374485</v>
      </c>
      <c r="D280" s="2" t="str">
        <f t="shared" si="3"/>
        <v>Error?</v>
      </c>
    </row>
    <row r="281" spans="1:4" x14ac:dyDescent="0.2">
      <c r="A281" s="5">
        <v>220</v>
      </c>
      <c r="B281" s="1890">
        <f>'Assets-Liab 5-6'!M41</f>
        <v>2374485</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1033</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766439</v>
      </c>
      <c r="D717" s="2" t="str">
        <f t="shared" si="10"/>
        <v>Error?</v>
      </c>
    </row>
    <row r="718" spans="1:4" x14ac:dyDescent="0.2">
      <c r="A718" s="5">
        <v>657</v>
      </c>
      <c r="B718" s="1890">
        <f>'Expenditures 15-22'!C14</f>
        <v>4000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791592</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3097</v>
      </c>
      <c r="D732" s="2" t="str">
        <f t="shared" si="10"/>
        <v>Error?</v>
      </c>
    </row>
    <row r="733" spans="1:4" x14ac:dyDescent="0.2">
      <c r="A733" s="5">
        <v>672</v>
      </c>
      <c r="B733" s="1890">
        <f>'Expenditures 15-22'!C50</f>
        <v>168120</v>
      </c>
      <c r="D733" s="2" t="str">
        <f t="shared" si="10"/>
        <v>Error?</v>
      </c>
    </row>
    <row r="734" spans="1:4" x14ac:dyDescent="0.2">
      <c r="A734" s="5">
        <v>673</v>
      </c>
      <c r="B734" s="1890">
        <f>'Expenditures 15-22'!C53</f>
        <v>171217</v>
      </c>
      <c r="C734" s="2" t="s">
        <v>569</v>
      </c>
      <c r="D734" s="2" t="str">
        <f t="shared" si="10"/>
        <v>Error?</v>
      </c>
    </row>
    <row r="735" spans="1:4" x14ac:dyDescent="0.2">
      <c r="A735" s="5">
        <v>674</v>
      </c>
      <c r="B735" s="1890">
        <f>'Expenditures 15-22'!C55</f>
        <v>78566</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78566</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46274</v>
      </c>
      <c r="D739" s="2" t="str">
        <f t="shared" si="10"/>
        <v>Error?</v>
      </c>
    </row>
    <row r="740" spans="1:4" x14ac:dyDescent="0.2">
      <c r="A740" s="5">
        <v>679</v>
      </c>
      <c r="B740" s="1890">
        <f>'Expenditures 15-22'!C61</f>
        <v>44913</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91187</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3690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3690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344660</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1136252</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16</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172930</v>
      </c>
      <c r="D775" s="2" t="str">
        <f t="shared" si="11"/>
        <v>Error?</v>
      </c>
    </row>
    <row r="776" spans="1:4" x14ac:dyDescent="0.2">
      <c r="A776" s="5">
        <v>715</v>
      </c>
      <c r="B776" s="1890">
        <f>'Expenditures 15-22'!D14</f>
        <v>334</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176043</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46140</v>
      </c>
      <c r="D791" s="2" t="str">
        <f t="shared" si="11"/>
        <v>Error?</v>
      </c>
    </row>
    <row r="792" spans="1:4" x14ac:dyDescent="0.2">
      <c r="A792" s="5">
        <v>731</v>
      </c>
      <c r="B792" s="1890">
        <f>'Expenditures 15-22'!D53</f>
        <v>46140</v>
      </c>
      <c r="C792" s="2" t="s">
        <v>569</v>
      </c>
      <c r="D792" s="2" t="str">
        <f t="shared" si="11"/>
        <v>Error?</v>
      </c>
    </row>
    <row r="793" spans="1:4" x14ac:dyDescent="0.2">
      <c r="A793" s="5">
        <v>732</v>
      </c>
      <c r="B793" s="1890">
        <f>'Expenditures 15-22'!D55</f>
        <v>19662</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19662</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12909</v>
      </c>
      <c r="D797" s="2" t="str">
        <f t="shared" si="11"/>
        <v>Error?</v>
      </c>
    </row>
    <row r="798" spans="1:4" x14ac:dyDescent="0.2">
      <c r="A798" s="5">
        <v>737</v>
      </c>
      <c r="B798" s="1890">
        <f>'Expenditures 15-22'!D61</f>
        <v>13536</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26445</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92247</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268290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10322</v>
      </c>
      <c r="D833" s="2" t="str">
        <f t="shared" si="12"/>
        <v>Error?</v>
      </c>
    </row>
    <row r="834" spans="1:4" x14ac:dyDescent="0.2">
      <c r="A834" s="5">
        <v>773</v>
      </c>
      <c r="B834" s="1890">
        <f>'Expenditures 15-22'!E14</f>
        <v>3334</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13656</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5510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5510</v>
      </c>
      <c r="C847" s="2" t="s">
        <v>569</v>
      </c>
      <c r="D847" s="2" t="str">
        <f t="shared" si="12"/>
        <v>Error?</v>
      </c>
    </row>
    <row r="848" spans="1:4" x14ac:dyDescent="0.2">
      <c r="A848" s="5">
        <v>787</v>
      </c>
      <c r="B848" s="1890">
        <f>'Expenditures 15-22'!E49</f>
        <v>73341</v>
      </c>
      <c r="D848" s="2" t="str">
        <f t="shared" si="12"/>
        <v>Error?</v>
      </c>
    </row>
    <row r="849" spans="1:4" x14ac:dyDescent="0.2">
      <c r="A849" s="5">
        <v>788</v>
      </c>
      <c r="B849" s="1890">
        <f>'Expenditures 15-22'!E50</f>
        <v>2155</v>
      </c>
      <c r="D849" s="2" t="str">
        <f t="shared" si="12"/>
        <v>Error?</v>
      </c>
    </row>
    <row r="850" spans="1:4" x14ac:dyDescent="0.2">
      <c r="A850" s="5">
        <v>789</v>
      </c>
      <c r="B850" s="1890">
        <f>'Expenditures 15-22'!E53</f>
        <v>82075</v>
      </c>
      <c r="C850" s="2" t="s">
        <v>569</v>
      </c>
      <c r="D850" s="2" t="str">
        <f t="shared" si="12"/>
        <v>Error?</v>
      </c>
    </row>
    <row r="851" spans="1:4" x14ac:dyDescent="0.2">
      <c r="A851" s="5">
        <v>790</v>
      </c>
      <c r="B851" s="1890">
        <f>'Expenditures 15-22'!E55</f>
        <v>196</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196</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337</v>
      </c>
      <c r="D855" s="2" t="str">
        <f t="shared" si="12"/>
        <v>Error?</v>
      </c>
    </row>
    <row r="856" spans="1:4" x14ac:dyDescent="0.2">
      <c r="A856" s="5">
        <v>795</v>
      </c>
      <c r="B856" s="1890">
        <f>'Expenditures 15-22'!E61</f>
        <v>35963</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36300</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195</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195</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124276</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137932</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189503</v>
      </c>
      <c r="D891" s="2" t="str">
        <f t="shared" si="12"/>
        <v>Error?</v>
      </c>
    </row>
    <row r="892" spans="1:4" x14ac:dyDescent="0.2">
      <c r="A892" s="5">
        <v>831</v>
      </c>
      <c r="B892" s="1890">
        <f>'Expenditures 15-22'!F14</f>
        <v>58</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189803</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3573</v>
      </c>
      <c r="D906" s="2" t="str">
        <f t="shared" si="13"/>
        <v>Error?</v>
      </c>
    </row>
    <row r="907" spans="1:4" x14ac:dyDescent="0.2">
      <c r="A907" s="5">
        <v>846</v>
      </c>
      <c r="B907" s="1890">
        <f>'Expenditures 15-22'!F50</f>
        <v>2607</v>
      </c>
      <c r="D907" s="2" t="str">
        <f t="shared" si="13"/>
        <v>Error?</v>
      </c>
    </row>
    <row r="908" spans="1:4" x14ac:dyDescent="0.2">
      <c r="A908" s="5">
        <v>847</v>
      </c>
      <c r="B908" s="1890">
        <f>'Expenditures 15-22'!F53</f>
        <v>6180</v>
      </c>
      <c r="C908" s="2" t="s">
        <v>569</v>
      </c>
      <c r="D908" s="2" t="str">
        <f t="shared" si="13"/>
        <v>Error?</v>
      </c>
    </row>
    <row r="909" spans="1:4" x14ac:dyDescent="0.2">
      <c r="A909" s="5">
        <v>848</v>
      </c>
      <c r="B909" s="1890">
        <f>'Expenditures 15-22'!F55</f>
        <v>8</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8</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579</v>
      </c>
      <c r="D913" s="2" t="str">
        <f t="shared" si="13"/>
        <v>Error?</v>
      </c>
    </row>
    <row r="914" spans="1:4" x14ac:dyDescent="0.2">
      <c r="A914" s="5">
        <v>853</v>
      </c>
      <c r="B914" s="1890">
        <f>'Expenditures 15-22'!F61</f>
        <v>69219</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69798</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75986</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265789</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6203</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6203</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10465</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10465</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10465</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16668</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1521</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9586</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1122</v>
      </c>
      <c r="D1023" s="2" t="str">
        <f t="shared" ref="D1023:D1086" si="15">IF(ISBLANK(B1023),"OK",IF(A1023-B1023=0,"OK","Error?"))</f>
        <v>Error?</v>
      </c>
    </row>
    <row r="1024" spans="1:4" x14ac:dyDescent="0.2">
      <c r="A1024" s="5">
        <v>963</v>
      </c>
      <c r="B1024" s="1890">
        <f>'Expenditures 15-22'!H53</f>
        <v>1122</v>
      </c>
      <c r="C1024" s="2" t="s">
        <v>569</v>
      </c>
      <c r="D1024" s="2" t="str">
        <f t="shared" si="15"/>
        <v>Error?</v>
      </c>
    </row>
    <row r="1025" spans="1:4" x14ac:dyDescent="0.2">
      <c r="A1025" s="5">
        <v>964</v>
      </c>
      <c r="B1025" s="1890">
        <f>'Expenditures 15-22'!H55</f>
        <v>949</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949</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2071</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11657</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1049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1146918</v>
      </c>
      <c r="C1105" s="2" t="s">
        <v>569</v>
      </c>
      <c r="D1105" s="2" t="str">
        <f t="shared" si="16"/>
        <v>Error?</v>
      </c>
    </row>
    <row r="1106" spans="1:4" x14ac:dyDescent="0.2">
      <c r="A1106" s="5">
        <v>1045</v>
      </c>
      <c r="B1106" s="1890">
        <f>'Expenditures 15-22'!K14</f>
        <v>7726</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1186883</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0</v>
      </c>
      <c r="C1115" s="2" t="s">
        <v>569</v>
      </c>
      <c r="D1115" s="2" t="str">
        <f t="shared" si="16"/>
        <v>Error?</v>
      </c>
    </row>
    <row r="1116" spans="1:4" x14ac:dyDescent="0.2">
      <c r="A1116" s="5">
        <v>1055</v>
      </c>
      <c r="B1116" s="1890">
        <f>'Expenditures 15-22'!K44</f>
        <v>5510</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5510</v>
      </c>
      <c r="C1119" s="2" t="s">
        <v>569</v>
      </c>
      <c r="D1119" s="2" t="str">
        <f t="shared" si="16"/>
        <v>Error?</v>
      </c>
    </row>
    <row r="1120" spans="1:4" x14ac:dyDescent="0.2">
      <c r="A1120" s="5">
        <v>1059</v>
      </c>
      <c r="B1120" s="1890">
        <f>'Expenditures 15-22'!K49</f>
        <v>80011</v>
      </c>
      <c r="C1120" s="2" t="s">
        <v>569</v>
      </c>
      <c r="D1120" s="2" t="str">
        <f t="shared" si="16"/>
        <v>Error?</v>
      </c>
    </row>
    <row r="1121" spans="1:4" x14ac:dyDescent="0.2">
      <c r="A1121" s="5">
        <v>1060</v>
      </c>
      <c r="B1121" s="1890">
        <f>'Expenditures 15-22'!K50</f>
        <v>220144</v>
      </c>
      <c r="C1121" s="2" t="s">
        <v>569</v>
      </c>
      <c r="D1121" s="2" t="str">
        <f t="shared" si="16"/>
        <v>Error?</v>
      </c>
    </row>
    <row r="1122" spans="1:4" x14ac:dyDescent="0.2">
      <c r="A1122" s="5">
        <v>1061</v>
      </c>
      <c r="B1122" s="1890">
        <f>'Expenditures 15-22'!K53</f>
        <v>306734</v>
      </c>
      <c r="C1122" s="2" t="s">
        <v>569</v>
      </c>
      <c r="D1122" s="2" t="str">
        <f t="shared" si="16"/>
        <v>Error?</v>
      </c>
    </row>
    <row r="1123" spans="1:4" x14ac:dyDescent="0.2">
      <c r="A1123" s="5">
        <v>1062</v>
      </c>
      <c r="B1123" s="1890">
        <f>'Expenditures 15-22'!K55</f>
        <v>99381</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99381</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60099</v>
      </c>
      <c r="C1127" s="2" t="s">
        <v>569</v>
      </c>
      <c r="D1127" s="2" t="str">
        <f t="shared" si="16"/>
        <v>Error?</v>
      </c>
    </row>
    <row r="1128" spans="1:4" x14ac:dyDescent="0.2">
      <c r="A1128" s="5">
        <v>1067</v>
      </c>
      <c r="B1128" s="1890">
        <f>'Expenditures 15-22'!K61</f>
        <v>174096</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234195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3885</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3885</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649705</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1836588</v>
      </c>
      <c r="C1152" s="2" t="s">
        <v>569</v>
      </c>
      <c r="D1152" s="2" t="str">
        <f t="shared" si="17"/>
        <v>Error?</v>
      </c>
    </row>
    <row r="1153" spans="1:4" x14ac:dyDescent="0.2">
      <c r="A1153" s="5">
        <v>1092</v>
      </c>
      <c r="B1153" s="1890">
        <f>'Expenditures 15-22'!K115</f>
        <v>13727</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292241</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305968</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102964</v>
      </c>
      <c r="D2008" s="2" t="str">
        <f t="shared" si="30"/>
        <v>Error?</v>
      </c>
    </row>
    <row r="2009" spans="1:4" x14ac:dyDescent="0.2">
      <c r="A2009" s="5">
        <v>1948</v>
      </c>
      <c r="B2009" s="1890">
        <f>'Cap Outlay Deprec 26'!C8</f>
        <v>3562716</v>
      </c>
      <c r="D2009" s="2" t="str">
        <f t="shared" si="30"/>
        <v>Error?</v>
      </c>
    </row>
    <row r="2010" spans="1:4" x14ac:dyDescent="0.2">
      <c r="A2010" s="5">
        <v>1949</v>
      </c>
      <c r="B2010" s="1890">
        <f>'Cap Outlay Deprec 26'!C10</f>
        <v>183907</v>
      </c>
      <c r="D2010" s="2" t="str">
        <f t="shared" si="30"/>
        <v>Error?</v>
      </c>
    </row>
    <row r="2011" spans="1:4" x14ac:dyDescent="0.2">
      <c r="A2011" s="5">
        <v>1950</v>
      </c>
      <c r="B2011" s="1890">
        <f>'Cap Outlay Deprec 26'!C12</f>
        <v>306810</v>
      </c>
      <c r="D2011" s="2" t="str">
        <f t="shared" si="30"/>
        <v>Error?</v>
      </c>
    </row>
    <row r="2012" spans="1:4" x14ac:dyDescent="0.2">
      <c r="A2012" s="5">
        <v>1951</v>
      </c>
      <c r="B2012" s="1890">
        <f>'Cap Outlay Deprec 26'!C13</f>
        <v>6100</v>
      </c>
      <c r="D2012" s="2" t="str">
        <f t="shared" si="30"/>
        <v>Error?</v>
      </c>
    </row>
    <row r="2013" spans="1:4" x14ac:dyDescent="0.2">
      <c r="A2013" s="5">
        <v>1952</v>
      </c>
      <c r="B2013" s="1890">
        <f>'Cap Outlay Deprec 26'!C16</f>
        <v>4162497</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19935</v>
      </c>
      <c r="D2017" s="2" t="str">
        <f t="shared" si="30"/>
        <v>Error?</v>
      </c>
    </row>
    <row r="2018" spans="1:4" x14ac:dyDescent="0.2">
      <c r="A2018" s="5">
        <v>1957</v>
      </c>
      <c r="B2018" s="1890">
        <f>'Cap Outlay Deprec 26'!D13</f>
        <v>794</v>
      </c>
      <c r="D2018" s="2" t="str">
        <f t="shared" si="30"/>
        <v>Error?</v>
      </c>
    </row>
    <row r="2019" spans="1:4" x14ac:dyDescent="0.2">
      <c r="A2019" s="5">
        <v>1958</v>
      </c>
      <c r="B2019" s="1890">
        <f>'Cap Outlay Deprec 26'!D16</f>
        <v>20729</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102964</v>
      </c>
      <c r="C2026" s="2" t="s">
        <v>569</v>
      </c>
      <c r="D2026" s="2" t="str">
        <f t="shared" si="30"/>
        <v>Error?</v>
      </c>
    </row>
    <row r="2027" spans="1:4" x14ac:dyDescent="0.2">
      <c r="A2027" s="5">
        <v>1966</v>
      </c>
      <c r="B2027" s="1890">
        <f>'Cap Outlay Deprec 26'!F8</f>
        <v>3562716</v>
      </c>
      <c r="C2027" s="2" t="s">
        <v>569</v>
      </c>
      <c r="D2027" s="2" t="str">
        <f t="shared" si="30"/>
        <v>Error?</v>
      </c>
    </row>
    <row r="2028" spans="1:4" x14ac:dyDescent="0.2">
      <c r="A2028" s="5">
        <v>1967</v>
      </c>
      <c r="B2028" s="1890">
        <f>'Cap Outlay Deprec 26'!F10</f>
        <v>183907</v>
      </c>
      <c r="C2028" s="2" t="s">
        <v>569</v>
      </c>
      <c r="D2028" s="2" t="str">
        <f t="shared" si="30"/>
        <v>Error?</v>
      </c>
    </row>
    <row r="2029" spans="1:4" x14ac:dyDescent="0.2">
      <c r="A2029" s="5">
        <v>1968</v>
      </c>
      <c r="B2029" s="1890">
        <f>'Cap Outlay Deprec 26'!F12</f>
        <v>326745</v>
      </c>
      <c r="C2029" s="2" t="s">
        <v>569</v>
      </c>
      <c r="D2029" s="2" t="str">
        <f t="shared" si="30"/>
        <v>Error?</v>
      </c>
    </row>
    <row r="2030" spans="1:4" x14ac:dyDescent="0.2">
      <c r="A2030" s="5">
        <v>1969</v>
      </c>
      <c r="B2030" s="1890">
        <f>'Cap Outlay Deprec 26'!F13</f>
        <v>6894</v>
      </c>
      <c r="C2030" s="2" t="s">
        <v>569</v>
      </c>
      <c r="D2030" s="2" t="str">
        <f t="shared" si="30"/>
        <v>Error?</v>
      </c>
    </row>
    <row r="2031" spans="1:4" x14ac:dyDescent="0.2">
      <c r="A2031" s="5">
        <v>1970</v>
      </c>
      <c r="B2031" s="1890">
        <f>'Cap Outlay Deprec 26'!F16</f>
        <v>4183226</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1355722</v>
      </c>
      <c r="D2033" s="2" t="str">
        <f t="shared" si="30"/>
        <v>Error?</v>
      </c>
    </row>
    <row r="2034" spans="1:4" x14ac:dyDescent="0.2">
      <c r="A2034" s="5">
        <v>1973</v>
      </c>
      <c r="B2034" s="1890">
        <f>'Cap Outlay Deprec 26'!H10</f>
        <v>112681</v>
      </c>
      <c r="D2034" s="2" t="str">
        <f t="shared" si="30"/>
        <v>Error?</v>
      </c>
    </row>
    <row r="2035" spans="1:4" x14ac:dyDescent="0.2">
      <c r="A2035" s="5">
        <v>1974</v>
      </c>
      <c r="B2035" s="1890">
        <f>'Cap Outlay Deprec 26'!H12</f>
        <v>237023</v>
      </c>
      <c r="D2035" s="2" t="str">
        <f t="shared" si="30"/>
        <v>Error?</v>
      </c>
    </row>
    <row r="2036" spans="1:4" x14ac:dyDescent="0.2">
      <c r="A2036" s="5">
        <v>1975</v>
      </c>
      <c r="B2036" s="1890">
        <f>'Cap Outlay Deprec 26'!H13</f>
        <v>6100</v>
      </c>
      <c r="D2036" s="2" t="str">
        <f t="shared" si="30"/>
        <v>Error?</v>
      </c>
    </row>
    <row r="2037" spans="1:4" x14ac:dyDescent="0.2">
      <c r="A2037" s="5">
        <v>1976</v>
      </c>
      <c r="B2037" s="1890">
        <f>'Cap Outlay Deprec 26'!H16</f>
        <v>1711526</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71475</v>
      </c>
      <c r="D2039" s="2" t="str">
        <f t="shared" si="30"/>
        <v>Error?</v>
      </c>
    </row>
    <row r="2040" spans="1:4" x14ac:dyDescent="0.2">
      <c r="A2040" s="5">
        <v>1979</v>
      </c>
      <c r="B2040" s="1890">
        <f>'Cap Outlay Deprec 26'!I10</f>
        <v>5177</v>
      </c>
      <c r="D2040" s="2" t="str">
        <f t="shared" si="30"/>
        <v>Error?</v>
      </c>
    </row>
    <row r="2041" spans="1:4" x14ac:dyDescent="0.2">
      <c r="A2041" s="5">
        <v>1980</v>
      </c>
      <c r="B2041" s="1890">
        <f>'Cap Outlay Deprec 26'!I12</f>
        <v>20404</v>
      </c>
      <c r="D2041" s="2" t="str">
        <f t="shared" si="30"/>
        <v>Error?</v>
      </c>
    </row>
    <row r="2042" spans="1:4" x14ac:dyDescent="0.2">
      <c r="A2042" s="5">
        <v>1981</v>
      </c>
      <c r="B2042" s="1890">
        <f>'Cap Outlay Deprec 26'!I13</f>
        <v>159</v>
      </c>
      <c r="D2042" s="2" t="str">
        <f t="shared" si="30"/>
        <v>Error?</v>
      </c>
    </row>
    <row r="2043" spans="1:4" x14ac:dyDescent="0.2">
      <c r="A2043" s="5">
        <v>1982</v>
      </c>
      <c r="B2043" s="1890">
        <f>'Cap Outlay Deprec 26'!I16</f>
        <v>97215</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1427197</v>
      </c>
      <c r="C2051" s="2" t="s">
        <v>569</v>
      </c>
      <c r="D2051" s="2" t="str">
        <f t="shared" si="31"/>
        <v>Error?</v>
      </c>
    </row>
    <row r="2052" spans="1:4" x14ac:dyDescent="0.2">
      <c r="A2052" s="5">
        <v>1991</v>
      </c>
      <c r="B2052" s="1890">
        <f>'Cap Outlay Deprec 26'!K10</f>
        <v>117858</v>
      </c>
      <c r="C2052" s="2" t="s">
        <v>569</v>
      </c>
      <c r="D2052" s="2" t="str">
        <f t="shared" si="31"/>
        <v>Error?</v>
      </c>
    </row>
    <row r="2053" spans="1:4" x14ac:dyDescent="0.2">
      <c r="A2053" s="5">
        <v>1992</v>
      </c>
      <c r="B2053" s="1890">
        <f>'Cap Outlay Deprec 26'!K12</f>
        <v>257427</v>
      </c>
      <c r="C2053" s="2" t="s">
        <v>569</v>
      </c>
      <c r="D2053" s="2" t="str">
        <f t="shared" si="31"/>
        <v>Error?</v>
      </c>
    </row>
    <row r="2054" spans="1:4" x14ac:dyDescent="0.2">
      <c r="A2054" s="5">
        <v>1993</v>
      </c>
      <c r="B2054" s="1890">
        <f>'Cap Outlay Deprec 26'!K13</f>
        <v>6259</v>
      </c>
      <c r="C2054" s="2" t="s">
        <v>569</v>
      </c>
      <c r="D2054" s="2" t="str">
        <f t="shared" si="31"/>
        <v>Error?</v>
      </c>
    </row>
    <row r="2055" spans="1:4" x14ac:dyDescent="0.2">
      <c r="A2055" s="5">
        <v>1994</v>
      </c>
      <c r="B2055" s="1890">
        <f>'Cap Outlay Deprec 26'!K16</f>
        <v>1808741</v>
      </c>
      <c r="C2055" s="2" t="s">
        <v>569</v>
      </c>
      <c r="D2055" s="2" t="str">
        <f t="shared" si="31"/>
        <v>Error?</v>
      </c>
    </row>
    <row r="2056" spans="1:4" x14ac:dyDescent="0.2">
      <c r="A2056" s="5">
        <v>1995</v>
      </c>
      <c r="B2056" s="1890">
        <f>'Cap Outlay Deprec 26'!L5</f>
        <v>102964</v>
      </c>
      <c r="C2056" s="2" t="s">
        <v>569</v>
      </c>
      <c r="D2056" s="2" t="str">
        <f t="shared" si="31"/>
        <v>Error?</v>
      </c>
    </row>
    <row r="2057" spans="1:4" x14ac:dyDescent="0.2">
      <c r="A2057" s="5">
        <v>1996</v>
      </c>
      <c r="B2057" s="1890">
        <f>'Cap Outlay Deprec 26'!L8</f>
        <v>2135519</v>
      </c>
      <c r="C2057" s="2" t="s">
        <v>569</v>
      </c>
      <c r="D2057" s="2" t="str">
        <f t="shared" si="31"/>
        <v>Error?</v>
      </c>
    </row>
    <row r="2058" spans="1:4" x14ac:dyDescent="0.2">
      <c r="A2058" s="5">
        <v>1997</v>
      </c>
      <c r="B2058" s="1890">
        <f>'Cap Outlay Deprec 26'!L10</f>
        <v>66049</v>
      </c>
      <c r="C2058" s="2" t="s">
        <v>569</v>
      </c>
      <c r="D2058" s="2" t="str">
        <f t="shared" si="31"/>
        <v>Error?</v>
      </c>
    </row>
    <row r="2059" spans="1:4" x14ac:dyDescent="0.2">
      <c r="A2059" s="5">
        <v>1998</v>
      </c>
      <c r="B2059" s="1890">
        <f>'Cap Outlay Deprec 26'!L12</f>
        <v>69318</v>
      </c>
      <c r="C2059" s="2" t="s">
        <v>569</v>
      </c>
      <c r="D2059" s="2" t="str">
        <f t="shared" si="31"/>
        <v>Error?</v>
      </c>
    </row>
    <row r="2060" spans="1:4" x14ac:dyDescent="0.2">
      <c r="A2060" s="5">
        <v>1999</v>
      </c>
      <c r="B2060" s="1890">
        <f>'Cap Outlay Deprec 26'!L13</f>
        <v>635</v>
      </c>
      <c r="C2060" s="2" t="s">
        <v>569</v>
      </c>
      <c r="D2060" s="2" t="str">
        <f t="shared" si="31"/>
        <v>Error?</v>
      </c>
    </row>
    <row r="2061" spans="1:4" x14ac:dyDescent="0.2">
      <c r="A2061" s="5">
        <v>2000</v>
      </c>
      <c r="B2061" s="1890">
        <f>'Cap Outlay Deprec 26'!L16</f>
        <v>2374485</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67080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1521763</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296825</v>
      </c>
      <c r="C2553" s="2" t="s">
        <v>569</v>
      </c>
      <c r="D2553" s="2" t="str">
        <f t="shared" si="38"/>
        <v>Error?</v>
      </c>
    </row>
    <row r="2554" spans="1:4" x14ac:dyDescent="0.2">
      <c r="A2554" s="5">
        <v>2493</v>
      </c>
      <c r="B2554" s="1890">
        <f>'Acct Summary 7-8'!C7</f>
        <v>31727</v>
      </c>
      <c r="C2554" s="2" t="s">
        <v>569</v>
      </c>
      <c r="D2554" s="2" t="str">
        <f t="shared" si="38"/>
        <v>Error?</v>
      </c>
    </row>
    <row r="2555" spans="1:4" x14ac:dyDescent="0.2">
      <c r="A2555" s="5">
        <v>2494</v>
      </c>
      <c r="B2555" s="1890">
        <f>'Acct Summary 7-8'!C8</f>
        <v>1850315</v>
      </c>
      <c r="C2555" s="2" t="s">
        <v>569</v>
      </c>
      <c r="D2555" s="2" t="str">
        <f t="shared" si="38"/>
        <v>Error?</v>
      </c>
    </row>
    <row r="2556" spans="1:4" x14ac:dyDescent="0.2">
      <c r="A2556" s="5">
        <v>2495</v>
      </c>
      <c r="B2556" s="1890">
        <f>'Acct Summary 7-8'!C12</f>
        <v>1186883</v>
      </c>
      <c r="C2556" s="2" t="s">
        <v>569</v>
      </c>
      <c r="D2556" s="2" t="str">
        <f t="shared" si="38"/>
        <v>Error?</v>
      </c>
    </row>
    <row r="2557" spans="1:4" x14ac:dyDescent="0.2">
      <c r="A2557" s="5">
        <v>2496</v>
      </c>
      <c r="B2557" s="1890">
        <f>'Acct Summary 7-8'!C13</f>
        <v>649705</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1836588</v>
      </c>
      <c r="C2561" s="2" t="s">
        <v>569</v>
      </c>
      <c r="D2561" s="2" t="str">
        <f t="shared" si="39"/>
        <v>Error?</v>
      </c>
    </row>
    <row r="2562" spans="1:4" x14ac:dyDescent="0.2">
      <c r="A2562" s="5">
        <v>2501</v>
      </c>
      <c r="B2562" s="1890">
        <f>'Acct Summary 7-8'!C20</f>
        <v>13727</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14565</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14565</v>
      </c>
      <c r="D2914" s="2" t="str">
        <f t="shared" si="44"/>
        <v>Error?</v>
      </c>
    </row>
    <row r="2915" spans="1:4" x14ac:dyDescent="0.2">
      <c r="A2915" s="10">
        <v>2854</v>
      </c>
      <c r="B2915" s="1890"/>
      <c r="D2915" s="2" t="str">
        <f t="shared" si="44"/>
        <v>OK</v>
      </c>
    </row>
    <row r="2916" spans="1:4" x14ac:dyDescent="0.2">
      <c r="A2916" s="5">
        <v>2855</v>
      </c>
      <c r="B2916" s="1890">
        <f>'Assets-Liab 5-6'!L34</f>
        <v>14565</v>
      </c>
      <c r="C2916" s="2" t="s">
        <v>569</v>
      </c>
      <c r="D2916" s="2" t="str">
        <f t="shared" si="44"/>
        <v>Error?</v>
      </c>
    </row>
    <row r="2917" spans="1:4" x14ac:dyDescent="0.2">
      <c r="A2917" s="5">
        <v>2856</v>
      </c>
      <c r="B2917" s="1890">
        <f>'Assets-Liab 5-6'!L41</f>
        <v>14565</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20120</v>
      </c>
      <c r="D3055" s="2" t="str">
        <f t="shared" si="46"/>
        <v>Error?</v>
      </c>
    </row>
    <row r="3056" spans="1:4" x14ac:dyDescent="0.2">
      <c r="A3056" s="5">
        <v>2995</v>
      </c>
      <c r="B3056" s="1890">
        <f>'Expenditures 15-22'!D10</f>
        <v>2763</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242</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23125</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13727</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305968</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14565</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117251</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1967566</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117251</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1953839</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305968</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31727</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1371408</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1371408</v>
      </c>
      <c r="C5087" s="2" t="s">
        <v>569</v>
      </c>
      <c r="D5087" s="2" t="str">
        <f t="shared" si="78"/>
        <v>Error?</v>
      </c>
    </row>
    <row r="5088" spans="1:4" x14ac:dyDescent="0.2">
      <c r="A5088" s="5">
        <v>5027</v>
      </c>
      <c r="B5088" s="1890">
        <f>'Revenues 9-14'!C65</f>
        <v>6037</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6037</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46507</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46507</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10839</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10839</v>
      </c>
      <c r="C5112" s="2" t="s">
        <v>569</v>
      </c>
      <c r="D5112" s="2" t="str">
        <f t="shared" si="78"/>
        <v>Error?</v>
      </c>
    </row>
    <row r="5113" spans="1:4" x14ac:dyDescent="0.2">
      <c r="A5113" s="5">
        <v>5052</v>
      </c>
      <c r="B5113" s="1890">
        <f>'Revenues 9-14'!C95</f>
        <v>939</v>
      </c>
      <c r="D5113" s="2" t="str">
        <f t="shared" si="78"/>
        <v>Error?</v>
      </c>
    </row>
    <row r="5114" spans="1:4" x14ac:dyDescent="0.2">
      <c r="A5114" s="5">
        <v>5053</v>
      </c>
      <c r="B5114" s="1890">
        <f>'Revenues 9-14'!C96</f>
        <v>1907</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204</v>
      </c>
      <c r="D5116" s="2" t="str">
        <f t="shared" si="78"/>
        <v>Error?</v>
      </c>
    </row>
    <row r="5117" spans="1:4" x14ac:dyDescent="0.2">
      <c r="A5117" s="5">
        <v>5056</v>
      </c>
      <c r="B5117" s="1890">
        <f>'Revenues 9-14'!C105</f>
        <v>51243</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32679</v>
      </c>
      <c r="D5119" s="2" t="str">
        <f t="shared" ref="D5119:D5182" si="79">IF(ISBLANK(B5119),"OK",IF(A5119-B5119=0,"OK","Error?"))</f>
        <v>Error?</v>
      </c>
    </row>
    <row r="5120" spans="1:4" x14ac:dyDescent="0.2">
      <c r="A5120" s="5">
        <v>5059</v>
      </c>
      <c r="B5120" s="1890">
        <f>'Revenues 9-14'!C108</f>
        <v>86972</v>
      </c>
      <c r="C5120" s="2" t="s">
        <v>569</v>
      </c>
      <c r="D5120" s="2" t="str">
        <f t="shared" si="79"/>
        <v>Error?</v>
      </c>
    </row>
    <row r="5121" spans="1:4" x14ac:dyDescent="0.2">
      <c r="A5121" s="5">
        <v>5060</v>
      </c>
      <c r="B5121" s="1890">
        <f>'Revenues 9-14'!C109</f>
        <v>1521763</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296825</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296825</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296825</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296825</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31727</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31727</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31727</v>
      </c>
      <c r="C5326" s="2" t="s">
        <v>569</v>
      </c>
      <c r="D5326" s="2" t="str">
        <f t="shared" si="82"/>
        <v>Error?</v>
      </c>
    </row>
    <row r="5327" spans="1:5" x14ac:dyDescent="0.2">
      <c r="A5327" s="5">
        <v>5266</v>
      </c>
      <c r="B5327" s="1890">
        <f>'Revenues 9-14'!C268</f>
        <v>1850315</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13727</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4.4864168801966219E-2</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8065</v>
      </c>
      <c r="D6890" s="2" t="str">
        <f t="shared" si="106"/>
        <v>Error?</v>
      </c>
    </row>
    <row r="6891" spans="1:4" x14ac:dyDescent="0.2">
      <c r="A6891">
        <v>6830</v>
      </c>
      <c r="B6891" s="1890">
        <f>'Expenditures 15-22'!K27</f>
        <v>8065</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6579</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6579</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97215</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-11975</v>
      </c>
      <c r="D7820" s="2" t="str">
        <f t="shared" si="128"/>
        <v>Error?</v>
      </c>
    </row>
    <row r="7821" spans="1:5" x14ac:dyDescent="0.2">
      <c r="A7821">
        <v>7760</v>
      </c>
      <c r="B7821" s="1890">
        <f>'ICR Computation 30'!G40</f>
        <v>-11975</v>
      </c>
      <c r="D7821" s="2" t="str">
        <f t="shared" si="128"/>
        <v>Error?</v>
      </c>
    </row>
    <row r="7822" spans="1:5" x14ac:dyDescent="0.2">
      <c r="A7822" s="1">
        <v>7761</v>
      </c>
      <c r="B7822" s="1890">
        <f>'PCTC-OEPP 27-28'!F14</f>
        <v>1836588</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24733</v>
      </c>
      <c r="D7834" s="2" t="str">
        <f t="shared" si="129"/>
        <v>Error?</v>
      </c>
      <c r="E7834" s="4" t="s">
        <v>2001</v>
      </c>
    </row>
    <row r="7835" spans="1:5" x14ac:dyDescent="0.2">
      <c r="A7835">
        <v>7774</v>
      </c>
      <c r="B7835" s="1890">
        <f>'PCTC-OEPP 27-28'!F78</f>
        <v>1811855</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46507</v>
      </c>
      <c r="D7838" s="2" t="str">
        <f t="shared" si="129"/>
        <v>Error?</v>
      </c>
      <c r="E7838" s="4" t="s">
        <v>2001</v>
      </c>
    </row>
    <row r="7839" spans="1:5" x14ac:dyDescent="0.2">
      <c r="A7839">
        <v>7778</v>
      </c>
      <c r="B7839" s="1890">
        <f>'PCTC-OEPP 27-28'!F102</f>
        <v>939</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296825</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31727</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386837</v>
      </c>
      <c r="D7877" s="2" t="str">
        <f t="shared" si="129"/>
        <v>Error?</v>
      </c>
      <c r="E7877" s="4" t="s">
        <v>2001</v>
      </c>
    </row>
    <row r="7878" spans="1:5" x14ac:dyDescent="0.2">
      <c r="A7878">
        <v>7817</v>
      </c>
      <c r="B7878" s="1890">
        <f>'PCTC-OEPP 27-28'!F176</f>
        <v>1425018</v>
      </c>
      <c r="D7878" s="2" t="str">
        <f t="shared" si="129"/>
        <v>Error?</v>
      </c>
      <c r="E7878" s="4" t="s">
        <v>2001</v>
      </c>
    </row>
    <row r="7879" spans="1:5" x14ac:dyDescent="0.2">
      <c r="A7879">
        <v>7818</v>
      </c>
      <c r="B7879" s="1890">
        <f>'PCTC-OEPP 27-28'!F178</f>
        <v>1522233</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T15" sqref="T15:AA15"/>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2" t="s">
        <v>1183</v>
      </c>
      <c r="B2" s="2442"/>
      <c r="C2" s="2442"/>
      <c r="D2" s="2442"/>
      <c r="E2" s="2442"/>
      <c r="F2" s="2442"/>
      <c r="G2" s="2442"/>
      <c r="H2" s="2442"/>
      <c r="I2" s="2442"/>
      <c r="J2" s="2442"/>
      <c r="K2" s="2442"/>
      <c r="L2" s="2442"/>
    </row>
    <row r="3" spans="1:29" ht="13.5" customHeight="1" x14ac:dyDescent="0.2">
      <c r="A3" s="2474" t="s">
        <v>1182</v>
      </c>
      <c r="B3" s="2474"/>
      <c r="C3" s="2474"/>
      <c r="D3" s="2474"/>
      <c r="E3" s="2474"/>
      <c r="F3" s="2474"/>
      <c r="G3" s="2474"/>
      <c r="H3" s="2474"/>
      <c r="I3" s="2474"/>
      <c r="J3" s="2474"/>
      <c r="K3" s="2474"/>
      <c r="L3" s="2474"/>
    </row>
    <row r="4" spans="1:29" ht="13.5" customHeight="1" x14ac:dyDescent="0.2">
      <c r="A4" s="2463" t="str">
        <f>"Year Ending June 30, "&amp;'AFR20'!E2</f>
        <v>Year Ending June 30, 2020</v>
      </c>
      <c r="B4" s="2464"/>
      <c r="C4" s="2464"/>
      <c r="D4" s="2464"/>
      <c r="E4" s="2464"/>
      <c r="F4" s="2464"/>
      <c r="G4" s="2464"/>
      <c r="H4" s="2464"/>
      <c r="I4" s="2464"/>
      <c r="J4" s="2464"/>
      <c r="K4" s="2464"/>
      <c r="L4" s="246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5" t="str">
        <f>COVER!A17</f>
        <v xml:space="preserve"> Indian Valley Area Vocational Center</v>
      </c>
      <c r="B7" s="2466"/>
      <c r="C7" s="2466"/>
      <c r="D7" s="2467"/>
      <c r="E7" s="2468">
        <f>COVER!A13</f>
        <v>16019430040</v>
      </c>
      <c r="F7" s="2469"/>
      <c r="G7" s="2475" t="str">
        <f>COVER!T23</f>
        <v>066-005100</v>
      </c>
      <c r="H7" s="2476"/>
      <c r="I7" s="2476"/>
      <c r="J7" s="2476"/>
      <c r="K7" s="2476"/>
      <c r="L7" s="247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8"/>
      <c r="B9" s="2479"/>
      <c r="C9" s="2479"/>
      <c r="D9" s="2479"/>
      <c r="E9" s="2479"/>
      <c r="F9" s="2480"/>
      <c r="G9" s="2448" t="str">
        <f>COVER!T13</f>
        <v>Mack &amp; Associates, P.C.</v>
      </c>
      <c r="H9" s="2481"/>
      <c r="I9" s="2481"/>
      <c r="J9" s="2481"/>
      <c r="K9" s="2481"/>
      <c r="L9" s="2482"/>
    </row>
    <row r="10" spans="1:29" ht="13.5" customHeight="1" x14ac:dyDescent="0.2">
      <c r="A10" s="2454" t="str">
        <f>COVER!A38</f>
        <v>Joseph Barbic</v>
      </c>
      <c r="B10" s="2455"/>
      <c r="C10" s="2455"/>
      <c r="D10" s="2455"/>
      <c r="E10" s="2455"/>
      <c r="F10" s="2456"/>
      <c r="G10" s="2448" t="str">
        <f>COVER!T17</f>
        <v>116 E. Washington Street, Suite One</v>
      </c>
      <c r="H10" s="2449"/>
      <c r="I10" s="2449"/>
      <c r="J10" s="2449"/>
      <c r="K10" s="2449"/>
      <c r="L10" s="2450"/>
    </row>
    <row r="11" spans="1:29" ht="13.5" customHeight="1" x14ac:dyDescent="0.2">
      <c r="A11" s="1008" t="s">
        <v>1505</v>
      </c>
      <c r="B11" s="1009"/>
      <c r="C11" s="1010"/>
      <c r="D11" s="1015"/>
      <c r="E11" s="1010"/>
      <c r="F11" s="1014"/>
      <c r="G11" s="2448" t="str">
        <f>COVER!T19</f>
        <v>Morris</v>
      </c>
      <c r="H11" s="2449"/>
      <c r="I11" s="2449"/>
      <c r="J11" s="2449"/>
      <c r="K11" s="2449"/>
      <c r="L11" s="2450"/>
    </row>
    <row r="12" spans="1:29" ht="13.5" customHeight="1" x14ac:dyDescent="0.2">
      <c r="A12" s="2457" t="s">
        <v>1504</v>
      </c>
      <c r="B12" s="2458"/>
      <c r="C12" s="2458"/>
      <c r="D12" s="2458"/>
      <c r="E12" s="2458"/>
      <c r="F12" s="2459"/>
      <c r="G12" s="2451"/>
      <c r="H12" s="2452"/>
      <c r="I12" s="2452"/>
      <c r="J12" s="2452"/>
      <c r="K12" s="2452"/>
      <c r="L12" s="2453"/>
    </row>
    <row r="13" spans="1:29" ht="13.5" customHeight="1" x14ac:dyDescent="0.2">
      <c r="A13" s="2448"/>
      <c r="B13" s="2449"/>
      <c r="C13" s="2449"/>
      <c r="D13" s="2449"/>
      <c r="E13" s="2449"/>
      <c r="F13" s="2450"/>
      <c r="G13" s="2443" t="s">
        <v>1506</v>
      </c>
      <c r="H13" s="2444"/>
      <c r="I13" s="2460" t="str">
        <f>COVER!T25</f>
        <v>tmack@mackcpas.com</v>
      </c>
      <c r="J13" s="2461"/>
      <c r="K13" s="2461"/>
      <c r="L13" s="2462"/>
    </row>
    <row r="14" spans="1:29" ht="13.5" customHeight="1" x14ac:dyDescent="0.2">
      <c r="A14" s="2448" t="str">
        <f>COVER!A19</f>
        <v>600 East Lions Road</v>
      </c>
      <c r="B14" s="2449"/>
      <c r="C14" s="2449"/>
      <c r="D14" s="2449"/>
      <c r="E14" s="2449"/>
      <c r="F14" s="2450"/>
      <c r="G14" s="1019" t="s">
        <v>1177</v>
      </c>
      <c r="H14" s="1017"/>
      <c r="I14" s="1017"/>
      <c r="J14" s="1017"/>
      <c r="K14" s="1017"/>
      <c r="L14" s="1018"/>
    </row>
    <row r="15" spans="1:29" ht="13.5" customHeight="1" x14ac:dyDescent="0.2">
      <c r="A15" s="2448" t="str">
        <f>COVER!A21</f>
        <v>Sandwich</v>
      </c>
      <c r="B15" s="2449"/>
      <c r="C15" s="2449"/>
      <c r="D15" s="2449"/>
      <c r="E15" s="2449"/>
      <c r="F15" s="2450"/>
      <c r="G15" s="2445" t="str">
        <f>COVER!T15</f>
        <v>Tawnya Mack, CPA</v>
      </c>
      <c r="H15" s="2446"/>
      <c r="I15" s="2446"/>
      <c r="J15" s="2446"/>
      <c r="K15" s="2446"/>
      <c r="L15" s="2447"/>
    </row>
    <row r="16" spans="1:29" ht="12.2" customHeight="1" x14ac:dyDescent="0.2">
      <c r="A16" s="2471">
        <f>COVER!A25</f>
        <v>60548</v>
      </c>
      <c r="B16" s="2472"/>
      <c r="C16" s="2472"/>
      <c r="D16" s="2472"/>
      <c r="E16" s="2472"/>
      <c r="F16" s="2473"/>
      <c r="G16" s="2483"/>
      <c r="H16" s="2484"/>
      <c r="I16" s="2484"/>
      <c r="J16" s="2484"/>
      <c r="K16" s="2484"/>
      <c r="L16" s="2485"/>
    </row>
    <row r="17" spans="1:13" ht="12.2" customHeight="1" x14ac:dyDescent="0.2">
      <c r="A17" s="2486"/>
      <c r="B17" s="2472"/>
      <c r="C17" s="2472"/>
      <c r="D17" s="2472"/>
      <c r="E17" s="2472"/>
      <c r="F17" s="2473"/>
      <c r="G17" s="1019" t="s">
        <v>1176</v>
      </c>
      <c r="H17" s="1017"/>
      <c r="I17" s="1017"/>
      <c r="J17" s="1017"/>
      <c r="K17" s="1021" t="s">
        <v>1175</v>
      </c>
      <c r="L17" s="1014"/>
      <c r="M17" s="1007"/>
    </row>
    <row r="18" spans="1:13" ht="12.2" customHeight="1" x14ac:dyDescent="0.2">
      <c r="A18" s="2454"/>
      <c r="B18" s="2455"/>
      <c r="C18" s="2455"/>
      <c r="D18" s="2455"/>
      <c r="E18" s="2455"/>
      <c r="F18" s="2456"/>
      <c r="G18" s="2465" t="str">
        <f>COVER!T21</f>
        <v>815-942-3306</v>
      </c>
      <c r="H18" s="2466"/>
      <c r="I18" s="2466"/>
      <c r="J18" s="2466"/>
      <c r="K18" s="2465" t="str">
        <f>COVER!X21</f>
        <v>815-942-9430</v>
      </c>
      <c r="L18" s="247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T15" sqref="T15:AA15"/>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 Indian Valley Area Vocational Center</v>
      </c>
      <c r="B1" s="2488"/>
      <c r="C1" s="2488"/>
      <c r="D1" s="2488"/>
    </row>
    <row r="2" spans="1:11" s="1036" customFormat="1" ht="12.75" x14ac:dyDescent="0.2">
      <c r="A2" s="2489">
        <f>'Single Audit Cover'!E7</f>
        <v>16019430040</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T15" sqref="T15:AA1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 Indian Valley Area Vocational Center</v>
      </c>
      <c r="B1" s="2492"/>
      <c r="C1" s="2492"/>
      <c r="D1" s="2492"/>
      <c r="E1" s="2492"/>
    </row>
    <row r="2" spans="1:5" x14ac:dyDescent="0.2">
      <c r="A2" s="2493">
        <f>'Single Audit Cover'!E7</f>
        <v>16019430040</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31727</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31727</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31727</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31727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T15" sqref="T15:AA15"/>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4" t="str">
        <f>'Single Audit Cover'!A7</f>
        <v xml:space="preserve"> Indian Valley Area Vocational Center</v>
      </c>
      <c r="C1" s="2496"/>
      <c r="D1" s="2496"/>
      <c r="E1" s="2496"/>
      <c r="F1" s="2496"/>
      <c r="G1" s="2496"/>
      <c r="H1" s="2496"/>
      <c r="I1" s="2496"/>
      <c r="J1" s="2496"/>
      <c r="K1" s="2496"/>
      <c r="L1" s="2496"/>
      <c r="M1" s="2496"/>
    </row>
    <row r="2" spans="2:14" ht="15" x14ac:dyDescent="0.2">
      <c r="B2" s="2497">
        <f>'Single Audit Cover'!E7</f>
        <v>16019430040</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T15" sqref="T15:AA15"/>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9" t="str">
        <f>'Single Audit Cover'!A7</f>
        <v xml:space="preserve"> Indian Valley Area Vocational Center</v>
      </c>
      <c r="B1" s="2509"/>
      <c r="C1" s="2509"/>
      <c r="D1" s="2509"/>
      <c r="E1" s="2509"/>
      <c r="F1" s="2509"/>
    </row>
    <row r="2" spans="1:7" ht="13.5" customHeight="1" x14ac:dyDescent="0.2">
      <c r="A2" s="2497">
        <f>'Single Audit Cover'!E7</f>
        <v>16019430040</v>
      </c>
      <c r="B2" s="2497"/>
      <c r="C2" s="2497"/>
      <c r="D2" s="2497"/>
      <c r="E2" s="2497"/>
      <c r="F2" s="2497"/>
      <c r="G2" s="1096"/>
    </row>
    <row r="3" spans="1:7" ht="15.75" customHeight="1" x14ac:dyDescent="0.2">
      <c r="A3" s="2510" t="s">
        <v>1262</v>
      </c>
      <c r="B3" s="2510"/>
      <c r="C3" s="2510"/>
      <c r="D3" s="2510"/>
      <c r="E3" s="2510"/>
      <c r="F3" s="2510"/>
    </row>
    <row r="4" spans="1:7" ht="13.5" customHeight="1" x14ac:dyDescent="0.2">
      <c r="A4" s="2511" t="str">
        <f>'Single Audit Cover'!A4</f>
        <v>Year Ending June 30, 2020</v>
      </c>
      <c r="B4" s="2511"/>
      <c r="C4" s="2511"/>
      <c r="D4" s="2511"/>
      <c r="E4" s="2511"/>
      <c r="F4" s="2511"/>
    </row>
    <row r="5" spans="1:7" ht="8.25" customHeight="1" x14ac:dyDescent="0.2">
      <c r="C5" s="295"/>
      <c r="D5" s="295"/>
    </row>
    <row r="6" spans="1:7" ht="13.5" customHeight="1" x14ac:dyDescent="0.2">
      <c r="A6" s="1097" t="s">
        <v>1708</v>
      </c>
      <c r="C6" s="295"/>
      <c r="D6" s="295"/>
    </row>
    <row r="7" spans="1:7" ht="60.95" customHeight="1" x14ac:dyDescent="0.2">
      <c r="A7" s="2508" t="s">
        <v>1709</v>
      </c>
      <c r="B7" s="2508"/>
      <c r="C7" s="2508"/>
      <c r="D7" s="2508"/>
      <c r="E7" s="2508"/>
      <c r="F7" s="2508"/>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8" t="s">
        <v>1711</v>
      </c>
      <c r="B13" s="2508"/>
      <c r="C13" s="2508"/>
      <c r="D13" s="2508"/>
      <c r="E13" s="2508"/>
      <c r="F13" s="2508"/>
    </row>
    <row r="14" spans="1:7" ht="9.75" customHeight="1" x14ac:dyDescent="0.2">
      <c r="C14" s="1081"/>
      <c r="D14" s="1081"/>
    </row>
    <row r="15" spans="1:7" ht="13.5" customHeight="1" x14ac:dyDescent="0.2">
      <c r="C15" s="1525" t="s">
        <v>1261</v>
      </c>
      <c r="D15" s="2506" t="s">
        <v>1260</v>
      </c>
      <c r="E15" s="2506"/>
      <c r="F15" s="2506"/>
    </row>
    <row r="16" spans="1:7" ht="13.5" customHeight="1" x14ac:dyDescent="0.2">
      <c r="A16" s="1103"/>
      <c r="B16" s="1097" t="s">
        <v>1259</v>
      </c>
      <c r="C16" s="1525" t="s">
        <v>1258</v>
      </c>
      <c r="D16" s="2507" t="s">
        <v>1574</v>
      </c>
      <c r="E16" s="2507"/>
      <c r="F16" s="2507"/>
    </row>
    <row r="17" spans="1:6" ht="20.45" customHeight="1" x14ac:dyDescent="0.2">
      <c r="A17" s="1104"/>
      <c r="B17" s="1105"/>
      <c r="C17" s="1106"/>
      <c r="D17" s="2501"/>
      <c r="E17" s="2501"/>
      <c r="F17" s="2501"/>
    </row>
    <row r="18" spans="1:6" ht="20.65" customHeight="1" x14ac:dyDescent="0.2">
      <c r="A18" s="1104"/>
      <c r="B18" s="1105"/>
      <c r="C18" s="1106"/>
      <c r="D18" s="2501"/>
      <c r="E18" s="2501"/>
      <c r="F18" s="2501"/>
    </row>
    <row r="19" spans="1:6" ht="20.65" customHeight="1" x14ac:dyDescent="0.2">
      <c r="A19" s="1104"/>
      <c r="B19" s="1105"/>
      <c r="C19" s="1106"/>
      <c r="D19" s="2501"/>
      <c r="E19" s="2501"/>
      <c r="F19" s="2501"/>
    </row>
    <row r="20" spans="1:6" ht="20.65" customHeight="1" x14ac:dyDescent="0.2">
      <c r="A20" s="1104"/>
      <c r="B20" s="1105"/>
      <c r="C20" s="1106"/>
      <c r="D20" s="2501"/>
      <c r="E20" s="2501"/>
      <c r="F20" s="2501"/>
    </row>
    <row r="21" spans="1:6" ht="20.65" customHeight="1" x14ac:dyDescent="0.2">
      <c r="A21" s="1104"/>
      <c r="B21" s="1105"/>
      <c r="C21" s="1106"/>
      <c r="D21" s="2501"/>
      <c r="E21" s="2501"/>
      <c r="F21" s="2501"/>
    </row>
    <row r="22" spans="1:6" ht="20.65" customHeight="1" x14ac:dyDescent="0.2">
      <c r="A22" s="1104"/>
      <c r="B22" s="1105"/>
      <c r="C22" s="1106"/>
      <c r="D22" s="2501"/>
      <c r="E22" s="2501"/>
      <c r="F22" s="2501"/>
    </row>
    <row r="23" spans="1:6" ht="20.65" customHeight="1" x14ac:dyDescent="0.2">
      <c r="A23" s="1104"/>
      <c r="B23" s="1105"/>
      <c r="C23" s="1106"/>
      <c r="D23" s="2501"/>
      <c r="E23" s="2501"/>
      <c r="F23" s="2501"/>
    </row>
    <row r="24" spans="1:6" ht="20.65" customHeight="1" x14ac:dyDescent="0.2">
      <c r="A24" s="1104"/>
      <c r="B24" s="1105"/>
      <c r="C24" s="1106"/>
      <c r="D24" s="2501"/>
      <c r="E24" s="2501"/>
      <c r="F24" s="2501"/>
    </row>
    <row r="25" spans="1:6" ht="20.65" customHeight="1" x14ac:dyDescent="0.2">
      <c r="A25" s="1104"/>
      <c r="B25" s="1105"/>
      <c r="C25" s="1106"/>
      <c r="D25" s="2501"/>
      <c r="E25" s="2501"/>
      <c r="F25" s="2501"/>
    </row>
    <row r="26" spans="1:6" ht="20.65" customHeight="1" x14ac:dyDescent="0.2">
      <c r="A26" s="1104"/>
      <c r="B26" s="1105"/>
      <c r="C26" s="1106"/>
      <c r="D26" s="2501"/>
      <c r="E26" s="2501"/>
      <c r="F26" s="2501"/>
    </row>
    <row r="27" spans="1:6" ht="20.65" customHeight="1" x14ac:dyDescent="0.2">
      <c r="A27" s="1104"/>
      <c r="B27" s="1105"/>
      <c r="C27" s="1106"/>
      <c r="D27" s="2501"/>
      <c r="E27" s="2501"/>
      <c r="F27" s="2501"/>
    </row>
    <row r="28" spans="1:6" ht="20.65" customHeight="1" x14ac:dyDescent="0.2">
      <c r="A28" s="1104"/>
      <c r="B28" s="1105"/>
      <c r="C28" s="1106"/>
      <c r="D28" s="2501"/>
      <c r="E28" s="2501"/>
      <c r="F28" s="2501"/>
    </row>
    <row r="29" spans="1:6" ht="20.65" customHeight="1" x14ac:dyDescent="0.2">
      <c r="A29" s="1104"/>
      <c r="B29" s="1105"/>
      <c r="C29" s="1106"/>
      <c r="D29" s="2501"/>
      <c r="E29" s="2501"/>
      <c r="F29" s="250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2" t="s">
        <v>1712</v>
      </c>
      <c r="B32" s="2502"/>
      <c r="C32" s="2502"/>
      <c r="D32" s="2502"/>
      <c r="E32" s="2502"/>
      <c r="F32" s="2502"/>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3">
        <f>+C33+C34</f>
        <v>0</v>
      </c>
      <c r="F34" s="250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5" t="s">
        <v>1576</v>
      </c>
      <c r="C49" s="2505"/>
      <c r="D49" s="2505"/>
      <c r="E49" s="1213"/>
    </row>
    <row r="50" spans="1:5" s="1121" customFormat="1" ht="3.75" customHeight="1" x14ac:dyDescent="0.2">
      <c r="A50" s="1120"/>
      <c r="B50" s="1524"/>
      <c r="C50" s="1524"/>
      <c r="D50" s="1524"/>
      <c r="E50" s="1213"/>
    </row>
    <row r="51" spans="1:5" s="1121" customFormat="1" ht="20.25" customHeight="1" x14ac:dyDescent="0.2">
      <c r="A51" s="1122">
        <v>6</v>
      </c>
      <c r="B51" s="2500" t="s">
        <v>1537</v>
      </c>
      <c r="C51" s="2500"/>
      <c r="D51" s="2500"/>
    </row>
    <row r="52" spans="1:5" ht="14.25" customHeight="1" x14ac:dyDescent="0.2">
      <c r="A52" s="1122"/>
      <c r="B52" s="2500"/>
      <c r="C52" s="2500"/>
      <c r="D52" s="250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2029</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t="s">
        <v>2038</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8"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T15" sqref="T15:AA15"/>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3" t="str">
        <f>'Single Audit Cover'!A7</f>
        <v xml:space="preserve"> Indian Valley Area Vocational Center</v>
      </c>
      <c r="C1" s="2524"/>
      <c r="D1" s="2524"/>
      <c r="E1" s="2524"/>
      <c r="F1" s="2524"/>
      <c r="G1" s="2524"/>
      <c r="H1" s="2524"/>
      <c r="I1" s="2524"/>
      <c r="J1" s="1223"/>
    </row>
    <row r="2" spans="2:10" s="295" customFormat="1" ht="12.75" customHeight="1" x14ac:dyDescent="0.2">
      <c r="B2" s="2525">
        <f>'Single Audit Cover'!E7</f>
        <v>16019430040</v>
      </c>
      <c r="C2" s="2526"/>
      <c r="D2" s="2526"/>
      <c r="E2" s="2526"/>
      <c r="F2" s="2526"/>
      <c r="G2" s="2526"/>
      <c r="H2" s="2526"/>
      <c r="I2" s="2526"/>
      <c r="J2" s="1223"/>
    </row>
    <row r="3" spans="2:10" s="295" customFormat="1" ht="12.75" customHeight="1" x14ac:dyDescent="0.2">
      <c r="B3" s="2527" t="s">
        <v>1276</v>
      </c>
      <c r="C3" s="2528"/>
      <c r="D3" s="2528"/>
      <c r="E3" s="2528"/>
      <c r="F3" s="2528"/>
      <c r="G3" s="2528"/>
      <c r="H3" s="2528"/>
      <c r="I3" s="2528"/>
      <c r="J3" s="1224"/>
    </row>
    <row r="4" spans="2:10" s="295" customFormat="1" ht="12.75" customHeight="1" x14ac:dyDescent="0.2">
      <c r="B4" s="2527" t="str">
        <f>'Single Audit Cover'!A4</f>
        <v>Year Ending June 30, 2020</v>
      </c>
      <c r="C4" s="2528"/>
      <c r="D4" s="2528"/>
      <c r="E4" s="2528"/>
      <c r="F4" s="2528"/>
      <c r="G4" s="2528"/>
      <c r="H4" s="2528"/>
      <c r="I4" s="252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7" t="s">
        <v>1275</v>
      </c>
      <c r="C7" s="2528"/>
      <c r="D7" s="2528"/>
      <c r="E7" s="2528"/>
      <c r="F7" s="2528"/>
      <c r="G7" s="2528"/>
      <c r="H7" s="2528"/>
      <c r="I7" s="2528"/>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9"/>
      <c r="D11" s="2529"/>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0"/>
      <c r="E29" s="2530"/>
      <c r="F29" s="2530"/>
      <c r="G29" s="2530"/>
      <c r="H29" s="2530"/>
      <c r="I29" s="2530"/>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1" t="s">
        <v>1731</v>
      </c>
      <c r="D37" s="2532"/>
      <c r="E37" s="2532"/>
      <c r="F37" s="2533"/>
      <c r="G37" s="2531" t="s">
        <v>1578</v>
      </c>
      <c r="H37" s="2532"/>
      <c r="I37" s="2533"/>
    </row>
    <row r="38" spans="2:9" ht="16.5" customHeight="1" x14ac:dyDescent="0.2">
      <c r="B38" s="1245"/>
      <c r="C38" s="2519"/>
      <c r="D38" s="2520"/>
      <c r="E38" s="2520"/>
      <c r="F38" s="2521"/>
      <c r="G38" s="2534"/>
      <c r="H38" s="2535"/>
      <c r="I38" s="2536"/>
    </row>
    <row r="39" spans="2:9" ht="16.5" customHeight="1" x14ac:dyDescent="0.2">
      <c r="B39" s="1245"/>
      <c r="C39" s="2519"/>
      <c r="D39" s="2520"/>
      <c r="E39" s="2520"/>
      <c r="F39" s="2521"/>
      <c r="G39" s="2522"/>
      <c r="H39" s="2522"/>
      <c r="I39" s="2522"/>
    </row>
    <row r="40" spans="2:9" ht="16.5" customHeight="1" x14ac:dyDescent="0.2">
      <c r="B40" s="1245"/>
      <c r="C40" s="2519"/>
      <c r="D40" s="2520"/>
      <c r="E40" s="2520"/>
      <c r="F40" s="2521"/>
      <c r="G40" s="2522"/>
      <c r="H40" s="2522"/>
      <c r="I40" s="2522"/>
    </row>
    <row r="41" spans="2:9" ht="16.5" customHeight="1" x14ac:dyDescent="0.2">
      <c r="B41" s="1245"/>
      <c r="C41" s="2519"/>
      <c r="D41" s="2520"/>
      <c r="E41" s="2520"/>
      <c r="F41" s="2521"/>
      <c r="G41" s="2522"/>
      <c r="H41" s="2522"/>
      <c r="I41" s="2522"/>
    </row>
    <row r="42" spans="2:9" ht="16.5" customHeight="1" x14ac:dyDescent="0.2">
      <c r="B42" s="1245"/>
      <c r="C42" s="2519"/>
      <c r="D42" s="2520"/>
      <c r="E42" s="2520"/>
      <c r="F42" s="2521"/>
      <c r="G42" s="2522"/>
      <c r="H42" s="2522"/>
      <c r="I42" s="2522"/>
    </row>
    <row r="43" spans="2:9" ht="16.5" customHeight="1" x14ac:dyDescent="0.2">
      <c r="B43" s="1245"/>
      <c r="C43" s="2512" t="s">
        <v>1579</v>
      </c>
      <c r="D43" s="2513"/>
      <c r="E43" s="2513"/>
      <c r="F43" s="2514"/>
      <c r="G43" s="2515">
        <f>SUM(G38:I42)</f>
        <v>0</v>
      </c>
      <c r="H43" s="2515"/>
      <c r="I43" s="2515"/>
    </row>
    <row r="44" spans="2:9" ht="12.75" customHeight="1" x14ac:dyDescent="0.2"/>
    <row r="45" spans="2:9" ht="12.75" customHeight="1" x14ac:dyDescent="0.2">
      <c r="B45" s="1985" t="str">
        <f>"Total Federal Expenditures for 7/1/"&amp;MID('AFR20'!E2,3,2)-1&amp;"-6/30/"&amp;MID('AFR20'!E2,3,2)</f>
        <v>Total Federal Expenditures for 7/1/19-6/30/20</v>
      </c>
      <c r="C45" s="1986"/>
      <c r="D45" s="2516">
        <v>0</v>
      </c>
      <c r="E45" s="2517"/>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8"/>
      <c r="F49" s="2518"/>
      <c r="G49" s="2518"/>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T15" sqref="T15:AA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3" t="str">
        <f>'Single Audit Cover'!A7</f>
        <v xml:space="preserve"> Indian Valley Area Vocational Center</v>
      </c>
      <c r="C1" s="2523"/>
      <c r="D1" s="2523"/>
      <c r="E1" s="2523"/>
      <c r="F1" s="2523"/>
      <c r="G1" s="2523"/>
      <c r="H1" s="2523"/>
      <c r="I1" s="2523"/>
      <c r="J1" s="2523"/>
      <c r="K1" s="2523"/>
      <c r="L1" s="1189"/>
      <c r="M1" s="1189"/>
    </row>
    <row r="2" spans="1:13" ht="12" customHeight="1" x14ac:dyDescent="0.2">
      <c r="B2" s="2525">
        <f>'Single Audit Cover'!E7</f>
        <v>16019430040</v>
      </c>
      <c r="C2" s="2525"/>
      <c r="D2" s="2525"/>
      <c r="E2" s="2525"/>
      <c r="F2" s="2525"/>
      <c r="G2" s="2525"/>
      <c r="H2" s="2525"/>
      <c r="I2" s="2525"/>
      <c r="J2" s="2525"/>
      <c r="K2" s="2525"/>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T15" sqref="T15:AA1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6" t="str">
        <f>'Single Audit Cover'!A7</f>
        <v xml:space="preserve"> Indian Valley Area Vocational Center</v>
      </c>
      <c r="C1" s="2546"/>
      <c r="D1" s="2546"/>
      <c r="E1" s="2546"/>
      <c r="F1" s="2546"/>
      <c r="G1" s="2546"/>
      <c r="H1" s="2546"/>
      <c r="I1" s="2546"/>
      <c r="J1" s="2546"/>
      <c r="K1" s="2546"/>
      <c r="L1" s="1266"/>
    </row>
    <row r="2" spans="1:12" ht="12.75" customHeight="1" x14ac:dyDescent="0.2">
      <c r="B2" s="2547">
        <f>'Single Audit Cover'!E7</f>
        <v>16019430040</v>
      </c>
      <c r="C2" s="2547"/>
      <c r="D2" s="2547"/>
      <c r="E2" s="2547"/>
      <c r="F2" s="2547"/>
      <c r="G2" s="2547"/>
      <c r="H2" s="2547"/>
      <c r="I2" s="2547"/>
      <c r="J2" s="2547"/>
      <c r="K2" s="2547"/>
      <c r="L2" s="1267"/>
    </row>
    <row r="3" spans="1:12" ht="12.75" customHeight="1" x14ac:dyDescent="0.2">
      <c r="B3" s="2539" t="s">
        <v>1276</v>
      </c>
      <c r="C3" s="2539"/>
      <c r="D3" s="2539"/>
      <c r="E3" s="2539"/>
      <c r="F3" s="2539"/>
      <c r="G3" s="2539"/>
      <c r="H3" s="2539"/>
      <c r="I3" s="2539"/>
      <c r="J3" s="2539"/>
      <c r="K3" s="2539"/>
      <c r="L3" s="1192"/>
    </row>
    <row r="4" spans="1:12" ht="12.7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75" customHeight="1" x14ac:dyDescent="0.2">
      <c r="A6" s="300"/>
      <c r="B6" s="2548" t="s">
        <v>1299</v>
      </c>
      <c r="C6" s="2548"/>
      <c r="D6" s="2548"/>
      <c r="E6" s="2548"/>
      <c r="F6" s="2548"/>
      <c r="G6" s="2548"/>
      <c r="H6" s="2548"/>
      <c r="I6" s="2548"/>
      <c r="J6" s="2548"/>
      <c r="K6" s="2548"/>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0"/>
      <c r="G12" s="2530"/>
      <c r="H12" s="2530"/>
      <c r="I12" s="2530"/>
      <c r="J12" s="2530"/>
      <c r="K12" s="253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3"/>
      <c r="E14" s="2543"/>
      <c r="F14" s="2543"/>
      <c r="H14" s="1275" t="s">
        <v>1294</v>
      </c>
      <c r="I14" s="2544"/>
      <c r="J14" s="2544"/>
      <c r="K14" s="254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4"/>
      <c r="E16" s="2544"/>
      <c r="F16" s="2544"/>
      <c r="G16" s="2544"/>
      <c r="H16" s="2544"/>
      <c r="I16" s="2544"/>
      <c r="J16" s="2544"/>
      <c r="K16" s="2544"/>
      <c r="L16" s="300"/>
    </row>
    <row r="17" spans="2:12" ht="13.5" customHeight="1" x14ac:dyDescent="0.2">
      <c r="B17" s="1201" t="s">
        <v>1292</v>
      </c>
      <c r="C17" s="1201"/>
      <c r="D17" s="2545"/>
      <c r="E17" s="2545"/>
      <c r="F17" s="2545"/>
      <c r="G17" s="2545"/>
      <c r="H17" s="2545"/>
      <c r="I17" s="2545"/>
      <c r="J17" s="2545"/>
      <c r="K17" s="254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T15" sqref="T15:AA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3" t="str">
        <f>'Single Audit Cover'!A7</f>
        <v xml:space="preserve"> Indian Valley Area Vocational Center</v>
      </c>
      <c r="C1" s="2523"/>
      <c r="D1" s="2523"/>
      <c r="E1" s="1285"/>
    </row>
    <row r="2" spans="2:5" s="1103" customFormat="1" ht="12.75" customHeight="1" x14ac:dyDescent="0.2">
      <c r="B2" s="2525">
        <f>'Single Audit Cover'!E7</f>
        <v>16019430040</v>
      </c>
      <c r="C2" s="2525"/>
      <c r="D2" s="2525"/>
      <c r="E2" s="1286"/>
    </row>
    <row r="3" spans="2:5" ht="12.75" customHeight="1" x14ac:dyDescent="0.2">
      <c r="B3" s="2539" t="s">
        <v>1746</v>
      </c>
      <c r="C3" s="2539"/>
      <c r="D3" s="2539"/>
      <c r="E3" s="1095"/>
    </row>
    <row r="4" spans="2:5" s="1103" customFormat="1" ht="12.7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T15" sqref="T15:AA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1850315</v>
      </c>
      <c r="E16" s="1597"/>
      <c r="F16" s="1596">
        <f>SUM('Acct Summary 7-8'!C17,'Acct Summary 7-8'!D17,'Acct Summary 7-8'!F17)</f>
        <v>1836588</v>
      </c>
      <c r="G16" s="1597"/>
      <c r="H16" s="1596">
        <f>SUM(D16-F16)</f>
        <v>13727</v>
      </c>
      <c r="I16" s="1598"/>
      <c r="J16" s="1596">
        <f>SUM('Acct Summary 7-8'!C81,'Acct Summary 7-8'!D81,'Acct Summary 7-8'!F81,'Acct Summary 7-8'!I81)</f>
        <v>305968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15" sqref="T15:AA1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Indian Valley Area Vocational Center</v>
      </c>
      <c r="E7" s="368"/>
      <c r="G7" s="247"/>
      <c r="H7" s="364"/>
      <c r="I7" s="364"/>
      <c r="J7" s="364"/>
      <c r="K7" s="364"/>
      <c r="L7" s="307"/>
      <c r="M7" s="307"/>
      <c r="N7" s="307"/>
      <c r="O7" s="307"/>
      <c r="P7" s="307"/>
    </row>
    <row r="8" spans="1:18" ht="12.75" x14ac:dyDescent="0.2">
      <c r="A8" s="307"/>
      <c r="B8" s="307"/>
      <c r="C8" s="366" t="s">
        <v>1117</v>
      </c>
      <c r="D8" s="369">
        <f>COVER!A13</f>
        <v>16019430040</v>
      </c>
      <c r="E8" s="370"/>
      <c r="G8" s="307"/>
      <c r="H8" s="307"/>
      <c r="I8" s="307"/>
      <c r="J8" s="307"/>
      <c r="K8" s="307"/>
      <c r="L8" s="307"/>
      <c r="M8" s="307"/>
      <c r="N8" s="307"/>
      <c r="O8" s="307"/>
      <c r="P8" s="307"/>
    </row>
    <row r="9" spans="1:18" ht="12.75" x14ac:dyDescent="0.2">
      <c r="A9" s="307"/>
      <c r="B9" s="307"/>
      <c r="C9" s="366" t="s">
        <v>708</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3</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305968</v>
      </c>
      <c r="I12" s="380"/>
      <c r="J12" s="380"/>
      <c r="K12" s="1609">
        <f>TRUNC((H12/H13*100000),5)/100000</f>
        <v>0.16535995219999999</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1850315</v>
      </c>
      <c r="I13" s="380"/>
      <c r="J13" s="380"/>
      <c r="K13" s="1608"/>
      <c r="L13" s="213"/>
      <c r="M13" s="337" t="s">
        <v>1137</v>
      </c>
      <c r="N13" s="337"/>
      <c r="O13" s="1613">
        <f>(O11*O12)</f>
        <v>1.0499999999999998</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1836588</v>
      </c>
      <c r="I17" s="380"/>
      <c r="J17" s="389"/>
      <c r="K17" s="1609">
        <f>TRUNC((H17/H18*100000),5)/100000</f>
        <v>0.99258126310000006</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1850315</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305968</v>
      </c>
      <c r="I24" s="394"/>
      <c r="J24" s="394"/>
      <c r="K24" s="1605">
        <f>TRUNC(((H24/H25*100000)/100000),2)</f>
        <v>59.97</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5101.6333299999997</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T15" sqref="T15:AA15"/>
      <selection pane="bottomLeft" activeCell="T15" sqref="T15:AA1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305968</v>
      </c>
      <c r="D4" s="1623"/>
      <c r="E4" s="1623"/>
      <c r="F4" s="1623"/>
      <c r="G4" s="1623"/>
      <c r="H4" s="1623"/>
      <c r="I4" s="1623"/>
      <c r="J4" s="1624"/>
      <c r="K4" s="1623"/>
      <c r="L4" s="1623">
        <v>14565</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305968</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14565</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102964</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2135519</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66049</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69318+635</f>
        <v>69953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2374485</v>
      </c>
      <c r="N23" s="1644">
        <f>SUM(N21:N22)</f>
        <v>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14565</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14565</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v>67080</v>
      </c>
      <c r="D38" s="1623"/>
      <c r="E38" s="1623"/>
      <c r="F38" s="1623"/>
      <c r="G38" s="1623"/>
      <c r="H38" s="1623"/>
      <c r="I38" s="1623"/>
      <c r="J38" s="1624"/>
      <c r="K38" s="1623"/>
      <c r="L38" s="1636"/>
      <c r="M38" s="1654"/>
      <c r="N38" s="1654"/>
    </row>
    <row r="39" spans="1:14" s="307" customFormat="1" ht="13.5" customHeight="1" x14ac:dyDescent="0.2">
      <c r="A39" s="438" t="s">
        <v>339</v>
      </c>
      <c r="B39" s="432">
        <v>730</v>
      </c>
      <c r="C39" s="1623">
        <f>305968-C38</f>
        <v>238888</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2374485</v>
      </c>
      <c r="N40" s="1654"/>
    </row>
    <row r="41" spans="1:14" ht="13.5" customHeight="1" thickBot="1" x14ac:dyDescent="0.25">
      <c r="A41" s="1475" t="s">
        <v>650</v>
      </c>
      <c r="B41" s="1454"/>
      <c r="C41" s="1644">
        <f>(SUM(C34,C37,C38,C39))</f>
        <v>305968</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14565</v>
      </c>
      <c r="M41" s="1644">
        <f>SUM(M40)</f>
        <v>2374485</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5" activePane="bottomLeft" state="frozen"/>
      <selection activeCell="T15" sqref="T15:AA15"/>
      <selection pane="bottomLeft" activeCell="T15" sqref="T15:AA1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1521763</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296825</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31727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1850315</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117251</v>
      </c>
      <c r="D9" s="1663"/>
      <c r="E9" s="1636"/>
      <c r="F9" s="1636"/>
      <c r="G9" s="1664"/>
      <c r="H9" s="1636"/>
      <c r="I9" s="1659" t="s">
        <v>1161</v>
      </c>
      <c r="J9" s="1633"/>
      <c r="K9" s="1636"/>
      <c r="L9" s="325"/>
    </row>
    <row r="10" spans="1:13" s="452" customFormat="1" ht="13.5" thickBot="1" x14ac:dyDescent="0.25">
      <c r="A10" s="1475" t="s">
        <v>1165</v>
      </c>
      <c r="B10" s="1456"/>
      <c r="C10" s="1644">
        <f>SUM(C8:C9)</f>
        <v>1967566</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1186883</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649705</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1836588</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117251</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1953839</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84" t="s">
        <v>1639</v>
      </c>
      <c r="B20" s="2185"/>
      <c r="C20" s="1672">
        <f>C8-C17</f>
        <v>13727</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6" t="s">
        <v>1169</v>
      </c>
      <c r="B77" s="2177"/>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0" t="s">
        <v>593</v>
      </c>
      <c r="B78" s="2181"/>
      <c r="C78" s="1679">
        <f t="shared" ref="C78:K78" si="9">C20+C77</f>
        <v>13727</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292241</v>
      </c>
      <c r="D79" s="1680"/>
      <c r="E79" s="1680"/>
      <c r="F79" s="1680"/>
      <c r="G79" s="1680"/>
      <c r="H79" s="1680"/>
      <c r="I79" s="1680"/>
      <c r="J79" s="1680"/>
      <c r="K79" s="1680"/>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305968</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13727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4.4864168801966219E-2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8" activePane="bottomLeft" state="frozen"/>
      <selection activeCell="T15" sqref="T15:AA15"/>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v>1371408</v>
      </c>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1371408</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6037</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6037</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46507</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46507</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v>10839</v>
      </c>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10839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939</v>
      </c>
      <c r="D95" s="1682"/>
      <c r="E95" s="1667"/>
      <c r="F95" s="1667"/>
      <c r="G95" s="1667"/>
      <c r="H95" s="1667"/>
      <c r="I95" s="1667"/>
      <c r="J95" s="1667"/>
      <c r="K95" s="1667"/>
    </row>
    <row r="96" spans="1:11" ht="12.75" customHeight="1" x14ac:dyDescent="0.2">
      <c r="A96" s="427" t="s">
        <v>388</v>
      </c>
      <c r="B96" s="429">
        <v>1920</v>
      </c>
      <c r="C96" s="1682">
        <v>1907</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204</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v>51243</v>
      </c>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32679</v>
      </c>
      <c r="D107" s="1623"/>
      <c r="E107" s="1623"/>
      <c r="F107" s="1623"/>
      <c r="G107" s="1623"/>
      <c r="H107" s="1623"/>
      <c r="I107" s="1623"/>
      <c r="J107" s="1624"/>
      <c r="K107" s="1623"/>
    </row>
    <row r="108" spans="1:12" ht="12.75" customHeight="1" thickBot="1" x14ac:dyDescent="0.25">
      <c r="A108" s="1455" t="s">
        <v>484</v>
      </c>
      <c r="B108" s="1457"/>
      <c r="C108" s="1683">
        <f>SUM(C95:C107)</f>
        <v>86972</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1521763</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296825</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296825</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2" t="s">
        <v>395</v>
      </c>
      <c r="B169" s="2203"/>
      <c r="C169" s="1708">
        <f t="shared" ref="C169:K169" si="6">SUM(C132,C141,C145,C146:C150,C155,C156:C167,C168)</f>
        <v>296825</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296825</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v>31727</v>
      </c>
      <c r="D220" s="1623"/>
      <c r="E220" s="1625"/>
      <c r="F220" s="1625"/>
      <c r="G220" s="1623"/>
      <c r="H220" s="1625"/>
      <c r="I220" s="1625"/>
      <c r="J220" s="1625"/>
      <c r="K220" s="1625"/>
    </row>
    <row r="221" spans="1:11" ht="12.75" customHeight="1" thickBot="1" x14ac:dyDescent="0.25">
      <c r="A221" s="1464" t="s">
        <v>1078</v>
      </c>
      <c r="B221" s="1465"/>
      <c r="C221" s="1683">
        <f>SUM(C219:C220)</f>
        <v>31727</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31727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31727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1850315</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57" activePane="bottomLeft" state="frozen"/>
      <selection activeCell="T15" sqref="T15:AA15"/>
      <selection pane="bottomLeft" activeCell="T15" sqref="T15:AA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0" t="s">
        <v>294</v>
      </c>
      <c r="B3" s="222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1033</v>
      </c>
      <c r="D5" s="1623">
        <v>16</v>
      </c>
      <c r="E5" s="1623"/>
      <c r="F5" s="1623"/>
      <c r="G5" s="1623"/>
      <c r="H5" s="1623"/>
      <c r="I5" s="1624"/>
      <c r="J5" s="1624"/>
      <c r="K5" s="1722">
        <f>SUM(C5:J5)</f>
        <v>1049</v>
      </c>
      <c r="L5" s="1623">
        <v>0</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20120</v>
      </c>
      <c r="D10" s="1623">
        <v>2763</v>
      </c>
      <c r="E10" s="1623"/>
      <c r="F10" s="1623">
        <v>242</v>
      </c>
      <c r="G10" s="1623"/>
      <c r="H10" s="1623"/>
      <c r="I10" s="1624"/>
      <c r="J10" s="1624"/>
      <c r="K10" s="1722">
        <f t="shared" si="0"/>
        <v>23125</v>
      </c>
      <c r="L10" s="1623">
        <v>22215</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766439</v>
      </c>
      <c r="D13" s="1623">
        <v>172930</v>
      </c>
      <c r="E13" s="1623">
        <v>10322</v>
      </c>
      <c r="F13" s="1623">
        <v>189503</v>
      </c>
      <c r="G13" s="1623">
        <v>6203</v>
      </c>
      <c r="H13" s="1623">
        <v>1521</v>
      </c>
      <c r="I13" s="1624"/>
      <c r="J13" s="1624"/>
      <c r="K13" s="1722">
        <f t="shared" si="0"/>
        <v>1146918</v>
      </c>
      <c r="L13" s="1623">
        <v>1116097</v>
      </c>
    </row>
    <row r="14" spans="1:14" x14ac:dyDescent="0.2">
      <c r="A14" s="1319" t="s">
        <v>957</v>
      </c>
      <c r="B14" s="503">
        <v>1500</v>
      </c>
      <c r="C14" s="1623">
        <v>4000</v>
      </c>
      <c r="D14" s="1623">
        <v>334</v>
      </c>
      <c r="E14" s="1623">
        <v>3334</v>
      </c>
      <c r="F14" s="1623">
        <v>58</v>
      </c>
      <c r="G14" s="1623"/>
      <c r="H14" s="1623"/>
      <c r="I14" s="1624"/>
      <c r="J14" s="1624"/>
      <c r="K14" s="1722">
        <f t="shared" si="0"/>
        <v>7726</v>
      </c>
      <c r="L14" s="1623">
        <v>5116</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v>8065</v>
      </c>
      <c r="I27" s="1723"/>
      <c r="J27" s="1632"/>
      <c r="K27" s="1722">
        <f t="shared" si="0"/>
        <v>8065</v>
      </c>
      <c r="L27" s="1627">
        <v>15200</v>
      </c>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791592</v>
      </c>
      <c r="D33" s="1724">
        <f t="shared" ref="D33:L33" si="1">SUM(D5:D32)</f>
        <v>176043</v>
      </c>
      <c r="E33" s="1724">
        <f t="shared" si="1"/>
        <v>13656</v>
      </c>
      <c r="F33" s="1724">
        <f t="shared" si="1"/>
        <v>189803</v>
      </c>
      <c r="G33" s="1724">
        <f t="shared" si="1"/>
        <v>6203</v>
      </c>
      <c r="H33" s="1724">
        <f t="shared" si="1"/>
        <v>9586</v>
      </c>
      <c r="I33" s="1724">
        <f t="shared" si="1"/>
        <v>0</v>
      </c>
      <c r="J33" s="1724">
        <f t="shared" si="1"/>
        <v>0</v>
      </c>
      <c r="K33" s="1724">
        <f t="shared" si="1"/>
        <v>1186883</v>
      </c>
      <c r="L33" s="1724">
        <f t="shared" si="1"/>
        <v>1158628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0</v>
      </c>
      <c r="D42" s="1724">
        <f t="shared" ref="D42:L42" si="3">SUM(D36:D41)</f>
        <v>0</v>
      </c>
      <c r="E42" s="1724">
        <f t="shared" si="3"/>
        <v>0</v>
      </c>
      <c r="F42" s="1724">
        <f t="shared" si="3"/>
        <v>0</v>
      </c>
      <c r="G42" s="1724">
        <f t="shared" si="3"/>
        <v>0</v>
      </c>
      <c r="H42" s="1724">
        <f t="shared" si="3"/>
        <v>0</v>
      </c>
      <c r="I42" s="1724">
        <f t="shared" si="3"/>
        <v>0</v>
      </c>
      <c r="J42" s="1724">
        <f t="shared" si="3"/>
        <v>0</v>
      </c>
      <c r="K42" s="1724">
        <f t="shared" si="3"/>
        <v>0</v>
      </c>
      <c r="L42" s="1724">
        <f t="shared" si="3"/>
        <v>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v>5510</v>
      </c>
      <c r="F44" s="1636"/>
      <c r="G44" s="1636"/>
      <c r="H44" s="1636"/>
      <c r="I44" s="1624"/>
      <c r="J44" s="1624"/>
      <c r="K44" s="1728">
        <f>SUM(C44:J44)</f>
        <v>5510</v>
      </c>
      <c r="L44" s="1636">
        <v>2000</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0</v>
      </c>
      <c r="D47" s="1724">
        <f t="shared" ref="D47:K47" si="4">SUM(D44:D46)</f>
        <v>0</v>
      </c>
      <c r="E47" s="1724">
        <f t="shared" si="4"/>
        <v>5510</v>
      </c>
      <c r="F47" s="1724">
        <f t="shared" si="4"/>
        <v>0</v>
      </c>
      <c r="G47" s="1724">
        <f t="shared" si="4"/>
        <v>0</v>
      </c>
      <c r="H47" s="1724">
        <f t="shared" si="4"/>
        <v>0</v>
      </c>
      <c r="I47" s="1724">
        <f t="shared" si="4"/>
        <v>0</v>
      </c>
      <c r="J47" s="1724">
        <f t="shared" si="4"/>
        <v>0</v>
      </c>
      <c r="K47" s="1724">
        <f t="shared" si="4"/>
        <v>5510</v>
      </c>
      <c r="L47" s="1724">
        <f>SUM(L44:L46)</f>
        <v>2000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3097</v>
      </c>
      <c r="D49" s="1636"/>
      <c r="E49" s="1636">
        <v>73341</v>
      </c>
      <c r="F49" s="1636">
        <v>3573</v>
      </c>
      <c r="G49" s="1636"/>
      <c r="H49" s="1636"/>
      <c r="I49" s="1624"/>
      <c r="J49" s="1624"/>
      <c r="K49" s="1728">
        <f>SUM(C49:J49)</f>
        <v>80011</v>
      </c>
      <c r="L49" s="1636">
        <v>74027</v>
      </c>
    </row>
    <row r="50" spans="1:14" x14ac:dyDescent="0.2">
      <c r="A50" s="1319" t="s">
        <v>813</v>
      </c>
      <c r="B50" s="503">
        <v>2320</v>
      </c>
      <c r="C50" s="1623">
        <v>168120</v>
      </c>
      <c r="D50" s="1623">
        <v>46140</v>
      </c>
      <c r="E50" s="1623">
        <v>2155</v>
      </c>
      <c r="F50" s="1623">
        <v>2607</v>
      </c>
      <c r="G50" s="1623"/>
      <c r="H50" s="1623">
        <v>1122</v>
      </c>
      <c r="I50" s="1624"/>
      <c r="J50" s="1624"/>
      <c r="K50" s="1728">
        <f>SUM(C50:J50)</f>
        <v>220144</v>
      </c>
      <c r="L50" s="1623">
        <v>222791</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v>6579</v>
      </c>
      <c r="F52" s="1629"/>
      <c r="G52" s="1629"/>
      <c r="H52" s="1629"/>
      <c r="I52" s="1629"/>
      <c r="J52" s="1629"/>
      <c r="K52" s="1728">
        <f>SUM(C52:J52)</f>
        <v>6579</v>
      </c>
      <c r="L52" s="1629">
        <v>8435</v>
      </c>
    </row>
    <row r="53" spans="1:14" ht="12.75" customHeight="1" thickBot="1" x14ac:dyDescent="0.25">
      <c r="A53" s="1429" t="s">
        <v>712</v>
      </c>
      <c r="B53" s="1430" t="s">
        <v>33</v>
      </c>
      <c r="C53" s="1724">
        <f>SUM(C49:C52)</f>
        <v>171217</v>
      </c>
      <c r="D53" s="1724">
        <f t="shared" ref="D53:L53" si="5">SUM(D49:D52)</f>
        <v>46140</v>
      </c>
      <c r="E53" s="1724">
        <f t="shared" si="5"/>
        <v>82075</v>
      </c>
      <c r="F53" s="1724">
        <f t="shared" si="5"/>
        <v>6180</v>
      </c>
      <c r="G53" s="1724">
        <f t="shared" si="5"/>
        <v>0</v>
      </c>
      <c r="H53" s="1724">
        <f t="shared" si="5"/>
        <v>1122</v>
      </c>
      <c r="I53" s="1724">
        <f t="shared" si="5"/>
        <v>0</v>
      </c>
      <c r="J53" s="1724">
        <f t="shared" si="5"/>
        <v>0</v>
      </c>
      <c r="K53" s="1724">
        <f t="shared" si="5"/>
        <v>306734</v>
      </c>
      <c r="L53" s="1724">
        <f t="shared" si="5"/>
        <v>305253</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78566</v>
      </c>
      <c r="D55" s="1636">
        <v>19662</v>
      </c>
      <c r="E55" s="1636">
        <v>196</v>
      </c>
      <c r="F55" s="1636">
        <v>8</v>
      </c>
      <c r="G55" s="1636"/>
      <c r="H55" s="1636">
        <v>949</v>
      </c>
      <c r="I55" s="1624"/>
      <c r="J55" s="1624"/>
      <c r="K55" s="1728">
        <f>SUM(C55:J55)</f>
        <v>99381</v>
      </c>
      <c r="L55" s="1636">
        <v>100478</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78566</v>
      </c>
      <c r="D57" s="1729">
        <f t="shared" ref="D57:K57" si="6">SUM(D55:D56)</f>
        <v>19662</v>
      </c>
      <c r="E57" s="1729">
        <f t="shared" si="6"/>
        <v>196</v>
      </c>
      <c r="F57" s="1729">
        <f t="shared" si="6"/>
        <v>8</v>
      </c>
      <c r="G57" s="1729">
        <f t="shared" si="6"/>
        <v>0</v>
      </c>
      <c r="H57" s="1729">
        <f t="shared" si="6"/>
        <v>949</v>
      </c>
      <c r="I57" s="1729">
        <f t="shared" si="6"/>
        <v>0</v>
      </c>
      <c r="J57" s="1729">
        <f t="shared" si="6"/>
        <v>0</v>
      </c>
      <c r="K57" s="1729">
        <f t="shared" si="6"/>
        <v>99381</v>
      </c>
      <c r="L57" s="1724">
        <f>SUM(L55:L56)</f>
        <v>100478</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46274</v>
      </c>
      <c r="D60" s="1623">
        <v>12909</v>
      </c>
      <c r="E60" s="1623">
        <v>337</v>
      </c>
      <c r="F60" s="1623">
        <v>579</v>
      </c>
      <c r="G60" s="1623"/>
      <c r="H60" s="1623"/>
      <c r="I60" s="1624"/>
      <c r="J60" s="1624"/>
      <c r="K60" s="1728">
        <f t="shared" si="7"/>
        <v>60099</v>
      </c>
      <c r="L60" s="1623">
        <v>61320</v>
      </c>
      <c r="M60" s="501"/>
      <c r="N60" s="501"/>
    </row>
    <row r="61" spans="1:14" s="321" customFormat="1" x14ac:dyDescent="0.2">
      <c r="A61" s="1319" t="s">
        <v>195</v>
      </c>
      <c r="B61" s="503">
        <v>2540</v>
      </c>
      <c r="C61" s="1623">
        <v>44913</v>
      </c>
      <c r="D61" s="1623">
        <v>13536</v>
      </c>
      <c r="E61" s="1623">
        <v>35963</v>
      </c>
      <c r="F61" s="1623">
        <v>69219</v>
      </c>
      <c r="G61" s="1623">
        <v>10465</v>
      </c>
      <c r="H61" s="1623"/>
      <c r="I61" s="1624"/>
      <c r="J61" s="1624"/>
      <c r="K61" s="1728">
        <f t="shared" si="7"/>
        <v>174096</v>
      </c>
      <c r="L61" s="1623">
        <v>193657</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91187</v>
      </c>
      <c r="D65" s="1724">
        <f t="shared" ref="D65:L65" si="8">SUM(D59:D64)</f>
        <v>26445</v>
      </c>
      <c r="E65" s="1724">
        <f t="shared" si="8"/>
        <v>36300</v>
      </c>
      <c r="F65" s="1724">
        <f t="shared" si="8"/>
        <v>69798</v>
      </c>
      <c r="G65" s="1724">
        <f t="shared" si="8"/>
        <v>10465</v>
      </c>
      <c r="H65" s="1724">
        <f t="shared" si="8"/>
        <v>0</v>
      </c>
      <c r="I65" s="1724">
        <f t="shared" si="8"/>
        <v>0</v>
      </c>
      <c r="J65" s="1724">
        <f t="shared" si="8"/>
        <v>0</v>
      </c>
      <c r="K65" s="1724">
        <f t="shared" si="8"/>
        <v>234195</v>
      </c>
      <c r="L65" s="1724">
        <f t="shared" si="8"/>
        <v>254977</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v>3690</v>
      </c>
      <c r="D69" s="1623"/>
      <c r="E69" s="1623">
        <v>195</v>
      </c>
      <c r="F69" s="1623"/>
      <c r="G69" s="1623"/>
      <c r="H69" s="1623"/>
      <c r="I69" s="1624"/>
      <c r="J69" s="1624"/>
      <c r="K69" s="1728">
        <f>SUM(C69:J69)</f>
        <v>3885</v>
      </c>
      <c r="L69" s="1623">
        <v>3690</v>
      </c>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3690</v>
      </c>
      <c r="D72" s="1724">
        <f t="shared" ref="D72:K72" si="9">SUM(D67:D71)</f>
        <v>0</v>
      </c>
      <c r="E72" s="1724">
        <f t="shared" si="9"/>
        <v>195</v>
      </c>
      <c r="F72" s="1724">
        <f t="shared" si="9"/>
        <v>0</v>
      </c>
      <c r="G72" s="1724">
        <f t="shared" si="9"/>
        <v>0</v>
      </c>
      <c r="H72" s="1724">
        <f t="shared" si="9"/>
        <v>0</v>
      </c>
      <c r="I72" s="1724">
        <f t="shared" si="9"/>
        <v>0</v>
      </c>
      <c r="J72" s="1724">
        <f t="shared" si="9"/>
        <v>0</v>
      </c>
      <c r="K72" s="1724">
        <f t="shared" si="9"/>
        <v>3885</v>
      </c>
      <c r="L72" s="1724">
        <f>SUM(L67:L71)</f>
        <v>3690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344660</v>
      </c>
      <c r="D74" s="1731">
        <f t="shared" ref="D74:K74" si="10">SUM(D42,D47,D53,D57,D65,D72,D73)</f>
        <v>92247</v>
      </c>
      <c r="E74" s="1731">
        <f t="shared" si="10"/>
        <v>124276</v>
      </c>
      <c r="F74" s="1731">
        <f t="shared" si="10"/>
        <v>75986</v>
      </c>
      <c r="G74" s="1731">
        <f t="shared" si="10"/>
        <v>10465</v>
      </c>
      <c r="H74" s="1731">
        <f t="shared" si="10"/>
        <v>2071</v>
      </c>
      <c r="I74" s="1731">
        <f t="shared" si="10"/>
        <v>0</v>
      </c>
      <c r="J74" s="1731">
        <f t="shared" si="10"/>
        <v>0</v>
      </c>
      <c r="K74" s="1731">
        <f t="shared" si="10"/>
        <v>649705</v>
      </c>
      <c r="L74" s="1731">
        <f>SUM(L42,L47,L53,L57,L65,L72,L73)</f>
        <v>666398</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0</v>
      </c>
      <c r="I102" s="1632"/>
      <c r="J102" s="1632"/>
      <c r="K102" s="1731">
        <f>SUM(K84,K92,K100,K101)</f>
        <v>0</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1136252</v>
      </c>
      <c r="D114" s="1724">
        <f t="shared" ref="D114:K114" si="13">SUM(D33,D74,D75,D102,D112,D113)</f>
        <v>268290</v>
      </c>
      <c r="E114" s="1724">
        <f t="shared" si="13"/>
        <v>137932</v>
      </c>
      <c r="F114" s="1724">
        <f t="shared" si="13"/>
        <v>265789</v>
      </c>
      <c r="G114" s="1724">
        <f t="shared" si="13"/>
        <v>16668</v>
      </c>
      <c r="H114" s="1724">
        <f>SUM(H33,H74,H75,H102,H112,H113)</f>
        <v>11657</v>
      </c>
      <c r="I114" s="1724">
        <f t="shared" si="13"/>
        <v>0</v>
      </c>
      <c r="J114" s="1724">
        <f t="shared" si="13"/>
        <v>0</v>
      </c>
      <c r="K114" s="1724">
        <f t="shared" si="13"/>
        <v>1836588</v>
      </c>
      <c r="L114" s="1724">
        <f>SUM(L33,L74,L75,L102,L112,L113)</f>
        <v>1825026</v>
      </c>
    </row>
    <row r="115" spans="1:14" ht="13.5" thickTop="1" x14ac:dyDescent="0.2">
      <c r="A115" s="2239" t="s">
        <v>989</v>
      </c>
      <c r="B115" s="2240"/>
      <c r="C115" s="1725"/>
      <c r="D115" s="1725"/>
      <c r="E115" s="1725"/>
      <c r="F115" s="1725"/>
      <c r="G115" s="1725"/>
      <c r="H115" s="1725"/>
      <c r="I115" s="1725"/>
      <c r="J115" s="1725"/>
      <c r="K115" s="1739">
        <f>'Revenues 9-14'!C268-'Expenditures 15-22'!K114</f>
        <v>13727</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7" t="s">
        <v>293</v>
      </c>
      <c r="B117" s="221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29" t="s">
        <v>616</v>
      </c>
      <c r="B151" s="2211"/>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32" t="s">
        <v>1170</v>
      </c>
      <c r="B152" s="2233"/>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7" t="s">
        <v>617</v>
      </c>
      <c r="B154" s="221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39" t="s">
        <v>989</v>
      </c>
      <c r="B175" s="2240"/>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39" t="s">
        <v>989</v>
      </c>
      <c r="B211" s="2240"/>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4" t="s">
        <v>959</v>
      </c>
      <c r="B213" s="223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0" t="s">
        <v>502</v>
      </c>
      <c r="B295" s="2231"/>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39" t="s">
        <v>989</v>
      </c>
      <c r="B296" s="2240"/>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2" t="s">
        <v>142</v>
      </c>
      <c r="B298" s="221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7" t="s">
        <v>275</v>
      </c>
      <c r="B312" s="2228"/>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3" t="s">
        <v>989</v>
      </c>
      <c r="B313" s="2224"/>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6" t="s">
        <v>148</v>
      </c>
      <c r="B315" s="223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8" t="s">
        <v>892</v>
      </c>
      <c r="B317" s="223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5" t="s">
        <v>989</v>
      </c>
      <c r="B343" s="2226"/>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5" t="s">
        <v>960</v>
      </c>
      <c r="B345" s="221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39" t="s">
        <v>989</v>
      </c>
      <c r="B368" s="2240"/>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4d435f69-8686-490b-bd6d-b153bf22ab50"/>
    <ds:schemaRef ds:uri="http://purl.org/dc/terms/"/>
    <ds:schemaRef ds:uri="d21dc803-237d-4c68-8692-8d731fd29118"/>
    <ds:schemaRef ds:uri="6ce3111e-7420-4802-b50a-75d4e9a0b980"/>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2020-10-08T19:03:34Z</cp:lastPrinted>
  <dcterms:created xsi:type="dcterms:W3CDTF">2003-10-29T19:06:34Z</dcterms:created>
  <dcterms:modified xsi:type="dcterms:W3CDTF">2020-10-09T14:55:59Z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y fmtid="{D5CDD505-2E9C-101B-9397-08002B2CF9AE}" pid="7" name="CheckOut">
    <vt:lpwstr>0</vt:lpwstr>
  </property>
  <property fmtid="{D5CDD505-2E9C-101B-9397-08002B2CF9AE}" pid="8" name="DocTitle">
    <vt:lpwstr/>
  </property>
  <property fmtid="{D5CDD505-2E9C-101B-9397-08002B2CF9AE}" pid="9" name="DocToken">
    <vt:lpwstr/>
  </property>
  <property fmtid="{D5CDD505-2E9C-101B-9397-08002B2CF9AE}" pid="10" name="SecToken">
    <vt:lpwstr/>
  </property>
  <property fmtid="{D5CDD505-2E9C-101B-9397-08002B2CF9AE}" pid="11" name="UserId">
    <vt:lpwstr/>
  </property>
  <property fmtid="{D5CDD505-2E9C-101B-9397-08002B2CF9AE}" pid="12" name="DrawerID">
    <vt:lpwstr/>
  </property>
</Properties>
</file>