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180DFE1-D659-45D8-BA21-557C2B4F1BC4}"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55" i="29" l="1"/>
  <c r="C55" i="29"/>
  <c r="D50" i="29"/>
  <c r="C50" i="29"/>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G30" i="108" l="1"/>
  <c r="B7135" i="106"/>
  <c r="D7135" i="106" s="1"/>
  <c r="E58" i="184"/>
  <c r="N58" i="184" s="1"/>
  <c r="H15" i="184"/>
  <c r="B7696" i="106"/>
  <c r="D7696" i="106" s="1"/>
  <c r="E66" i="184"/>
  <c r="N66" i="184" s="1"/>
  <c r="B7198" i="106"/>
  <c r="D7198" i="106" s="1"/>
  <c r="E65" i="184"/>
  <c r="N65" i="184" s="1"/>
  <c r="B7126" i="106"/>
  <c r="D7126" i="106" s="1"/>
  <c r="E57" i="184"/>
  <c r="F70" i="34"/>
  <c r="F37" i="34"/>
  <c r="B7829" i="106" s="1"/>
  <c r="D7829" i="106" s="1"/>
  <c r="B7189" i="106"/>
  <c r="D7189" i="106" s="1"/>
  <c r="E64" i="184"/>
  <c r="N64" i="184" s="1"/>
  <c r="B7153" i="106"/>
  <c r="D7153" i="106" s="1"/>
  <c r="E60" i="184"/>
  <c r="N60" i="184" s="1"/>
  <c r="B6289" i="106"/>
  <c r="D6289" i="106" s="1"/>
  <c r="C352" i="29"/>
  <c r="H76" i="4"/>
  <c r="B3298" i="106" s="1"/>
  <c r="D3298" i="106" s="1"/>
  <c r="B1274" i="106"/>
  <c r="D1274" i="106" s="1"/>
  <c r="D31" i="108"/>
  <c r="E16" i="184"/>
  <c r="H16" i="184" s="1"/>
  <c r="B7171" i="106"/>
  <c r="D7171" i="106" s="1"/>
  <c r="E62" i="184"/>
  <c r="N62" i="184" s="1"/>
  <c r="B7162" i="106"/>
  <c r="D7162" i="106" s="1"/>
  <c r="E61" i="184"/>
  <c r="N61" i="184" s="1"/>
  <c r="H12" i="184"/>
  <c r="E19" i="184"/>
  <c r="F42" i="34"/>
  <c r="C342" i="29"/>
  <c r="B7216" i="106" s="1"/>
  <c r="D7216" i="106" s="1"/>
  <c r="B7705" i="106"/>
  <c r="D7705" i="106" s="1"/>
  <c r="E67" i="184"/>
  <c r="N67" i="184" s="1"/>
  <c r="B7180" i="106"/>
  <c r="D7180" i="106" s="1"/>
  <c r="E63" i="184"/>
  <c r="N63" i="184" s="1"/>
  <c r="J210" i="29"/>
  <c r="B7072" i="106" s="1"/>
  <c r="D7072"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F41" i="108" l="1"/>
  <c r="G43" i="108" s="1"/>
  <c r="B1328" i="106"/>
  <c r="D1328" i="106" s="1"/>
  <c r="B7220" i="106"/>
  <c r="D7220" i="106" s="1"/>
  <c r="F75" i="34"/>
  <c r="B7886" i="106" s="1"/>
  <c r="D7886" i="106" s="1"/>
  <c r="L16" i="11"/>
  <c r="B2061" i="106" s="1"/>
  <c r="D2061" i="106" s="1"/>
  <c r="L114" i="29"/>
  <c r="K342" i="29"/>
  <c r="F13" i="34" s="1"/>
  <c r="N57" i="184"/>
  <c r="N68" i="184" s="1"/>
  <c r="E68" i="184"/>
  <c r="B7222" i="106"/>
  <c r="D7222" i="106" s="1"/>
  <c r="F76" i="34"/>
  <c r="B7887" i="106" s="1"/>
  <c r="D7887" i="106" s="1"/>
  <c r="H19" i="184"/>
  <c r="L20" i="184" s="1"/>
  <c r="E367" i="29"/>
  <c r="B3635" i="106"/>
  <c r="N23" i="3"/>
  <c r="B284" i="106" s="1"/>
  <c r="D284"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B6227" i="106" l="1"/>
  <c r="D6227" i="106" s="1"/>
  <c r="F77" i="34"/>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123" i="106" l="1"/>
  <c r="D123" i="106" s="1"/>
  <c r="D41" i="3"/>
  <c r="F176" i="34"/>
  <c r="B7878" i="106" s="1"/>
  <c r="D7878" i="106" s="1"/>
  <c r="B7835" i="106"/>
  <c r="D7835" i="106" s="1"/>
  <c r="B3278" i="106"/>
  <c r="D3278" i="106" s="1"/>
  <c r="E81" i="4"/>
  <c r="B3233" i="106"/>
  <c r="D3233" i="106" s="1"/>
  <c r="C81" i="4"/>
  <c r="C39" i="3" s="1"/>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92" i="106" l="1"/>
  <c r="D92" i="106" s="1"/>
  <c r="C41" i="3"/>
  <c r="D76" i="36"/>
  <c r="B124" i="106"/>
  <c r="D124" i="106" s="1"/>
  <c r="D45" i="36"/>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93" i="106" l="1"/>
  <c r="D93" i="106" s="1"/>
  <c r="D44" i="36"/>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<sst xmlns="http://schemas.openxmlformats.org/spreadsheetml/2006/main" count="5131" uniqueCount="2072">
  <si>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</si>
  <si>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</si>
  <si>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</si>
  <si>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</si>
  <si>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</si>
  <si>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</si>
  <si>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</si>
  <si>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</si>
  <si>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</si>
  <si>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</si>
  <si>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</si>
  <si>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</si>
  <si>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</si>
  <si>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</si>
  <si>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</si>
  <si>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</si>
  <si>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</si>
  <si>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</si>
  <si>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</si>
  <si>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</si>
  <si>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</si>
  <si>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</si>
  <si>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</si>
  <si>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</si>
  <si>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</si>
  <si>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</si>
  <si>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</si>
  <si>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</si>
  <si>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</si>
  <si>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</si>
  <si>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</si>
  <si>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</si>
  <si>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</si>
  <si>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</si>
  <si>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</si>
  <si>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</si>
  <si>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</si>
  <si>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</si>
  <si>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</si>
  <si>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</si>
  <si>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</si>
  <si>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</si>
  <si>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</si>
  <si>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</si>
  <si>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</si>
  <si>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</si>
  <si>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</si>
  <si>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</si>
  <si>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</si>
  <si>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</si>
  <si>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</si>
  <si>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</si>
  <si>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</si>
  <si>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</si>
  <si>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</si>
  <si>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</si>
  <si>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</si>
  <si>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</si>
  <si>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</si>
  <si>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</si>
  <si>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</si>
  <si>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</si>
  <si>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</si>
  <si>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</si>
  <si>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</si>
  <si>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</si>
  <si>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</si>
  <si>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</si>
  <si>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</si>
  <si>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</si>
  <si>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</si>
  <si>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</si>
  <si>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</si>
  <si>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</si>
  <si>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</si>
  <si>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</si>
  <si>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</si>
  <si>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</si>
  <si>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</si>
  <si>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</si>
  <si>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</si>
  <si>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</si>
  <si>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</si>
  <si>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</si>
  <si>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</si>
  <si>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</si>
  <si>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</si>
  <si>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</si>
  <si>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</si>
  <si>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</si>
  <si>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</si>
  <si>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</si>
  <si>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</si>
  <si>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</si>
  <si>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</si>
  <si>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</si>
  <si>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</si>
  <si>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</si>
  <si>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</si>
  <si>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</si>
  <si>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</si>
  <si>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</si>
  <si>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</si>
  <si>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</si>
  <si>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</si>
  <si>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</si>
  <si>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</si>
  <si>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</si>
  <si>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</si>
  <si>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</si>
  <si>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</si>
  <si>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</si>
  <si>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</si>
  <si>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</si>
  <si>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</si>
  <si>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</si>
  <si>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</si>
  <si>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</si>
  <si>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</si>
  <si>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</si>
  <si>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</si>
  <si>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</si>
  <si>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</si>
  <si>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</si>
  <si>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</si>
  <si>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</si>
  <si>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</si>
  <si>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</si>
  <si>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</si>
  <si>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</si>
  <si>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</si>
  <si>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</si>
  <si>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</si>
  <si>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</si>
  <si>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</si>
  <si>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</si>
  <si>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</si>
  <si>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</si>
  <si>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</si>
  <si>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</si>
  <si>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</si>
  <si>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</si>
  <si>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</si>
  <si>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</si>
  <si>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</si>
  <si>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</si>
  <si>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</si>
  <si>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</si>
  <si>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</si>
  <si>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</si>
  <si>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</si>
  <si>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</si>
  <si>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</si>
  <si>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</si>
  <si>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</si>
  <si>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</si>
  <si>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</si>
  <si>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</si>
  <si>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</si>
  <si>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</si>
  <si>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</si>
  <si>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</si>
  <si>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</si>
  <si>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</si>
  <si>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</si>
  <si>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</si>
  <si>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</si>
  <si>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</si>
  <si>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</si>
  <si>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</si>
  <si>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</si>
  <si>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</si>
  <si>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</si>
  <si>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</si>
  <si>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</si>
  <si>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</si>
  <si>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</si>
  <si>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</si>
  <si>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</si>
  <si>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</si>
  <si>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</si>
  <si>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</si>
  <si>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</si>
  <si>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</si>
  <si>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</si>
  <si>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</si>
  <si>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</si>
  <si>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</si>
  <si>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</si>
  <si>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</si>
  <si>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</si>
  <si>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</si>
  <si>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</si>
  <si>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</si>
  <si>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</si>
  <si>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</si>
  <si>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</si>
  <si>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</si>
  <si>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</si>
  <si>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</si>
  <si>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</si>
  <si>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</si>
  <si>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</si>
  <si>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</si>
  <si>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</si>
  <si>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</si>
  <si>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</si>
  <si>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</si>
  <si>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</si>
  <si>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</si>
  <si>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</si>
  <si>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</si>
  <si>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</si>
  <si>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</si>
  <si>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</si>
  <si>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</si>
  <si>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</si>
  <si>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</si>
  <si>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</si>
  <si>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</si>
  <si>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</si>
  <si>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</si>
  <si>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</si>
  <si>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</si>
  <si>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</si>
  <si>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</si>
  <si>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</si>
  <si>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</si>
  <si>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</si>
  <si>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</si>
  <si>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</si>
  <si>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</si>
  <si>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</si>
  <si>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</si>
  <si>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</si>
  <si>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</si>
  <si>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</si>
  <si>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</si>
  <si>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</si>
  <si>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</si>
  <si>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</si>
  <si>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</si>
  <si>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</si>
  <si>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</si>
  <si>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</si>
  <si>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</si>
  <si>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</si>
  <si>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</si>
  <si>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</si>
  <si>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</si>
  <si>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</si>
  <si>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</si>
  <si>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</si>
  <si>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</si>
  <si>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</si>
  <si>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</si>
  <si>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</si>
  <si>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</si>
  <si>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</si>
  <si>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</si>
  <si>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</si>
  <si>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</si>
  <si>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</si>
  <si>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</si>
  <si>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</si>
  <si>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</si>
  <si>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</si>
  <si>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</si>
  <si>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</si>
  <si>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</si>
  <si>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</si>
  <si>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</si>
  <si>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</si>
  <si>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</si>
  <si>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</si>
  <si>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</si>
  <si>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</si>
  <si>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</si>
  <si>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</si>
  <si>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</si>
  <si>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</si>
  <si>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</si>
  <si>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</si>
  <si>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</si>
  <si>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</si>
  <si>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</si>
  <si>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</si>
  <si>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</si>
  <si>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</si>
  <si>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</si>
  <si>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</si>
  <si>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</si>
  <si>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</si>
  <si>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</si>
  <si>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</si>
  <si>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</si>
  <si>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</si>
  <si>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</si>
  <si>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</si>
  <si>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</si>
  <si>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</si>
  <si>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</si>
  <si>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</si>
  <si>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</si>
  <si>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</si>
  <si>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</si>
  <si>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</si>
  <si>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</si>
  <si>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</si>
  <si>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</si>
  <si>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</si>
  <si>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</si>
  <si>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</si>
  <si>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</si>
  <si>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</si>
  <si>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</si>
  <si>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</si>
  <si>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</si>
  <si>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</si>
  <si>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</si>
  <si>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</si>
  <si>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</si>
  <si>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</si>
  <si>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</si>
  <si>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</si>
  <si>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</si>
  <si>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</si>
  <si>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</si>
  <si>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</si>
  <si>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</si>
  <si>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</si>
  <si>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</si>
  <si>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</si>
  <si>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</si>
  <si>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</si>
  <si>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</si>
  <si>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</si>
  <si>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</si>
  <si>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</si>
  <si>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</si>
  <si>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</si>
  <si>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</si>
  <si>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</si>
  <si>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</si>
  <si>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</si>
  <si>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</si>
  <si>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</si>
  <si>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</si>
  <si>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</si>
  <si>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</si>
  <si>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</si>
  <si>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</si>
  <si>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</si>
  <si>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</si>
  <si>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</si>
  <si>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</si>
  <si>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</si>
  <si>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</si>
  <si>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</si>
  <si>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</si>
  <si>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</si>
  <si>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</si>
  <si>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</si>
  <si>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</si>
  <si>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</si>
  <si>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</si>
  <si>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</si>
  <si>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</si>
  <si>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</si>
  <si>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</si>
  <si>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</si>
  <si>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</si>
  <si>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</si>
  <si>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</si>
  <si>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</si>
  <si>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</si>
  <si>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</si>
  <si>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</si>
  <si>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</si>
  <si>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</si>
  <si>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</si>
  <si>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</si>
  <si>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</si>
  <si>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</si>
  <si>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</si>
  <si>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</si>
  <si>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</si>
  <si>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</si>
  <si>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</si>
  <si>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</si>
  <si>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</si>
  <si>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</si>
  <si>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</si>
  <si>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</si>
  <si>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</si>
  <si>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</si>
  <si>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</si>
  <si>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</si>
  <si>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</si>
  <si>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</si>
  <si>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</si>
  <si>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</si>
  <si>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</si>
  <si>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</si>
  <si>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</si>
  <si>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</si>
  <si>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</si>
  <si>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</si>
  <si>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</si>
  <si>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</si>
  <si>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</si>
  <si>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</si>
  <si>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</si>
  <si>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</si>
  <si>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</si>
  <si>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</si>
  <si>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</si>
  <si>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</si>
  <si>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</si>
  <si>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</si>
  <si>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</si>
  <si>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</si>
  <si>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</si>
  <si>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</si>
  <si>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</si>
  <si>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</si>
  <si>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</si>
  <si>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</si>
  <si>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</si>
  <si>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</si>
  <si>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</si>
  <si>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</si>
  <si>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</si>
  <si>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</si>
  <si>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</si>
  <si>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</si>
  <si>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</si>
  <si>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</si>
  <si>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</si>
  <si>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</si>
  <si>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</si>
  <si>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</si>
  <si>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</si>
  <si>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</si>
  <si>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</si>
  <si>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</si>
  <si>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</si>
  <si>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</si>
  <si>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</si>
  <si>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</si>
  <si>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</si>
  <si>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</si>
  <si>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</si>
  <si>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</si>
  <si>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</si>
  <si>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</si>
  <si>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</si>
  <si>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</si>
  <si>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</si>
  <si>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</si>
  <si>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</si>
  <si>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</si>
  <si>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</si>
  <si>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</si>
  <si>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</si>
  <si>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</si>
  <si>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</si>
  <si>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</si>
  <si>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</si>
  <si>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</si>
  <si>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</si>
  <si>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</si>
  <si>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</si>
  <si>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</si>
  <si>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</si>
  <si>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</si>
  <si>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</si>
  <si>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</si>
  <si>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</si>
  <si>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</si>
  <si>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</si>
  <si>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</si>
  <si>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</si>
  <si>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</si>
  <si>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</si>
  <si>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</si>
  <si>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</si>
  <si>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</si>
  <si>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</si>
  <si>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</si>
  <si>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</si>
  <si>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</si>
  <si>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</si>
  <si>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</si>
  <si>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</si>
  <si>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</si>
  <si>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</si>
  <si>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</si>
  <si>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</si>
  <si>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</si>
  <si>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</si>
  <si>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</si>
  <si>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</si>
  <si>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</si>
  <si>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</si>
  <si>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</si>
  <si>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</si>
  <si>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</si>
  <si>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</si>
  <si>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</si>
  <si>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</si>
  <si>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</si>
  <si>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</si>
  <si>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</si>
  <si>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</si>
  <si>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</si>
  <si>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</si>
  <si>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</si>
  <si>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</si>
  <si>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</si>
  <si>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</si>
  <si>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</si>
  <si>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</si>
  <si>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</si>
  <si>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</si>
  <si>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</si>
  <si>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</si>
  <si>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</si>
  <si>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</si>
  <si>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</si>
  <si>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</si>
  <si>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</si>
  <si>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</si>
  <si>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</si>
  <si>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</si>
  <si>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</si>
  <si>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</si>
  <si>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</si>
  <si>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</si>
  <si>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</si>
  <si>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</si>
  <si>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</si>
  <si>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</si>
  <si>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</si>
  <si>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</si>
  <si>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</si>
  <si>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</si>
  <si>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</si>
  <si>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</si>
  <si>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</si>
  <si>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</si>
  <si>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</si>
  <si>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</si>
  <si>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</si>
  <si>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</si>
  <si>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</si>
  <si>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</si>
  <si>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</si>
  <si>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</si>
  <si>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</si>
  <si>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</si>
  <si>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</si>
  <si>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</si>
  <si>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</si>
  <si>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</si>
  <si>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</si>
  <si>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</si>
  <si>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</si>
  <si>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</si>
  <si>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</si>
  <si>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</si>
  <si>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</si>
  <si>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</si>
  <si>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</si>
  <si>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</si>
  <si>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</si>
  <si>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</si>
  <si>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</si>
  <si>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</si>
  <si>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</si>
  <si>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</si>
  <si>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</si>
  <si>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</si>
  <si>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</si>
  <si>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</si>
  <si>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</si>
  <si>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</si>
  <si>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</si>
  <si>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</si>
  <si>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</si>
  <si>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</si>
  <si>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</si>
  <si>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</si>
  <si>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</si>
  <si>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</si>
  <si>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</si>
  <si>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</si>
  <si>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</si>
  <si>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</si>
  <si>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</si>
  <si>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</si>
  <si>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</si>
  <si>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</si>
  <si>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</si>
  <si>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</si>
  <si>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</si>
  <si>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</si>
  <si>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</si>
  <si>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</si>
  <si>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</si>
  <si>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</si>
  <si>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</si>
  <si>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</si>
  <si>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</si>
  <si>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</si>
  <si>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</si>
  <si>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</si>
  <si>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</si>
  <si>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</si>
  <si>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</si>
  <si>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</si>
  <si>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</si>
  <si>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</si>
  <si>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</si>
  <si>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</si>
  <si>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</si>
  <si>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</si>
  <si>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</si>
  <si>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</si>
  <si>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</si>
  <si>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</si>
  <si>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</si>
  <si>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</si>
  <si>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</si>
  <si>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</si>
  <si>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</si>
  <si>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</si>
  <si>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</si>
  <si>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</si>
  <si>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</si>
  <si>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</si>
  <si>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</si>
  <si>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</si>
  <si>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</si>
  <si>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</si>
  <si>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</si>
  <si>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</si>
  <si>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</si>
  <si>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</si>
  <si>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</si>
  <si>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</si>
  <si>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</si>
  <si>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</si>
  <si>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</si>
  <si>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</si>
  <si>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</si>
  <si>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</si>
  <si>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</si>
  <si>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</si>
  <si>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</si>
  <si>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</si>
  <si>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</si>
  <si>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</si>
  <si>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</si>
  <si>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</si>
  <si>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</si>
  <si>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</si>
  <si>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</si>
  <si>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</si>
  <si>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</si>
  <si>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</si>
  <si>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</si>
  <si>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</si>
  <si>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</si>
  <si>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</si>
  <si>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</si>
  <si>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</si>
  <si>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</si>
  <si>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</si>
  <si>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</si>
  <si>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</si>
  <si>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</si>
  <si>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</si>
  <si>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</si>
  <si>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</si>
  <si>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</si>
  <si>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</si>
  <si>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</si>
  <si>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</si>
  <si>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</si>
  <si>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</si>
  <si>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</si>
  <si>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</si>
  <si>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</si>
  <si>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</si>
  <si>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</si>
  <si>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</si>
  <si>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</si>
  <si>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</si>
  <si>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</si>
  <si>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</si>
  <si>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</si>
  <si>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</si>
  <si>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</si>
  <si>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</si>
  <si>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</si>
  <si>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</si>
  <si>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</si>
  <si>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</si>
  <si>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</si>
  <si>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</si>
  <si>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</si>
  <si>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</si>
  <si>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</si>
  <si>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</si>
  <si>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</si>
  <si>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</si>
  <si>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</si>
  <si>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</si>
  <si>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</si>
  <si>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</si>
  <si>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</si>
  <si>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</si>
  <si>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</si>
  <si>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</si>
  <si>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</si>
  <si>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</si>
  <si>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</si>
  <si>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</si>
  <si>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</si>
  <si>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</si>
  <si>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</si>
  <si>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</si>
  <si>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</si>
  <si>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</si>
  <si>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</si>
  <si>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</si>
  <si>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</si>
  <si>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</si>
  <si>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</si>
  <si>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</si>
  <si>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</si>
  <si>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</si>
  <si>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</si>
  <si>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</si>
  <si>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</si>
  <si>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</si>
  <si>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</si>
  <si>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</si>
  <si>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</si>
  <si>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</si>
  <si>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</si>
  <si>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</si>
  <si>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</si>
  <si>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</si>
  <si>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</si>
  <si>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</si>
  <si>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</si>
  <si>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</si>
  <si>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</si>
  <si>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</si>
  <si>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</si>
  <si>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</si>
  <si>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</si>
  <si>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</si>
  <si>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</si>
  <si>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</si>
  <si>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</si>
  <si>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</si>
  <si>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</si>
  <si>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</si>
  <si>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</si>
  <si>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</si>
  <si>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</si>
  <si>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</si>
  <si>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</si>
  <si>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</si>
  <si>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</si>
  <si>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</si>
  <si>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</si>
  <si>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</si>
  <si>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</si>
  <si>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</si>
  <si>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</si>
  <si>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</si>
  <si>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</si>
  <si>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</si>
  <si>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</si>
  <si>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</si>
  <si>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</si>
  <si>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</si>
  <si>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</si>
  <si>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</si>
  <si>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</si>
  <si>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</si>
  <si>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</si>
  <si>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</si>
  <si>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</si>
  <si>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</si>
  <si>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</si>
  <si>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</si>
  <si>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</si>
  <si>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</si>
  <si>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</si>
  <si>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</si>
  <si>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</si>
  <si>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</si>
  <si>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</si>
  <si>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</si>
  <si>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</si>
  <si>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</si>
  <si>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</si>
  <si>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</si>
  <si>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</si>
  <si>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</si>
  <si>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</si>
  <si>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</si>
  <si>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</si>
  <si>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</si>
  <si>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</si>
  <si>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</si>
  <si>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</si>
  <si>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</si>
  <si>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</si>
  <si>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</si>
  <si>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</si>
  <si>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</si>
  <si>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</si>
  <si>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</si>
  <si>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</si>
  <si>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</si>
  <si>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</si>
  <si>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</si>
  <si>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</si>
  <si>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</si>
  <si>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</si>
  <si>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</si>
  <si>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</si>
  <si>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</si>
  <si>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</si>
  <si>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</si>
  <si>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</si>
  <si>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</si>
  <si>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</si>
  <si>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</si>
  <si>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</si>
  <si>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</si>
  <si>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</si>
  <si>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</si>
  <si>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</si>
  <si>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</si>
  <si>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</si>
  <si>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</si>
  <si>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</si>
  <si>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</si>
  <si>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</si>
  <si>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</si>
  <si>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</si>
  <si>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</si>
  <si>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</si>
  <si>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</si>
  <si>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</si>
  <si>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</si>
  <si>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</si>
  <si>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</si>
  <si>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</si>
  <si>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</si>
  <si>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</si>
  <si>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</si>
  <si>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</si>
  <si>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</si>
  <si>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</si>
  <si>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</si>
  <si>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</si>
  <si>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</si>
  <si>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</si>
  <si>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</si>
  <si>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</si>
  <si>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</si>
  <si>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</si>
  <si>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</si>
  <si>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</si>
  <si>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</si>
  <si>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</si>
  <si>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</si>
  <si>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</si>
  <si>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</si>
  <si>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</si>
  <si>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</si>
  <si>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</si>
  <si>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</si>
  <si>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</si>
  <si>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</si>
  <si>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</si>
  <si>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</si>
  <si>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</si>
  <si>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</si>
  <si>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</si>
  <si>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</si>
  <si>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</si>
  <si>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</si>
  <si>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</si>
  <si>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</si>
  <si>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</si>
  <si>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</si>
  <si>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</si>
  <si>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</si>
  <si>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</si>
  <si>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</si>
  <si>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</si>
  <si>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</si>
  <si>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</si>
  <si>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</si>
  <si>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</si>
  <si>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</si>
  <si>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</si>
  <si>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</si>
  <si>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</si>
  <si>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</si>
  <si>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</si>
  <si>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</si>
  <si>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</si>
  <si>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</si>
  <si>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</si>
  <si>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</si>
  <si>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</si>
  <si>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</si>
  <si>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</si>
  <si>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</si>
  <si>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</si>
  <si>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</si>
  <si>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</si>
  <si>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</si>
  <si>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</si>
  <si>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</si>
  <si>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</si>
  <si>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</si>
  <si>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</si>
  <si>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</si>
  <si>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</si>
  <si>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</si>
  <si>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</si>
  <si>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</si>
  <si>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</si>
  <si>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</si>
  <si>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</si>
  <si>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</si>
  <si>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</si>
  <si>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</si>
  <si>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</si>
  <si>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</si>
  <si>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</si>
  <si>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</si>
  <si>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</si>
  <si>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</si>
  <si>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</si>
  <si>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</si>
  <si>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</si>
  <si>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</si>
  <si>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</si>
  <si>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</si>
  <si>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</si>
  <si>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</si>
  <si>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</si>
  <si>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</si>
  <si>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</si>
  <si>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</si>
  <si>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</si>
  <si>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</si>
  <si>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</si>
  <si>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</si>
  <si>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</si>
  <si>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</si>
  <si>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</si>
  <si>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</si>
  <si>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</si>
  <si>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</si>
  <si>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</si>
  <si>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</si>
  <si>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</si>
  <si>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</si>
  <si>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</si>
  <si>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</si>
  <si>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</si>
  <si>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</si>
  <si>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</si>
  <si>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</si>
  <si>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</si>
  <si>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</si>
  <si>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</si>
  <si>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</si>
  <si>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</si>
  <si>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</si>
  <si>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</si>
  <si>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</si>
  <si>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</si>
  <si>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</si>
  <si>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</si>
  <si>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</si>
  <si>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</si>
  <si>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</si>
  <si>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</si>
  <si>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</si>
  <si>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</si>
  <si>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</si>
  <si>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</si>
  <si>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</si>
  <si>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</si>
  <si>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</si>
  <si>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</si>
  <si>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</si>
  <si>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</si>
  <si>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</si>
  <si>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</si>
  <si>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</si>
  <si>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</si>
  <si>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</si>
  <si>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</si>
  <si>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</si>
  <si>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</si>
  <si>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</si>
  <si>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</si>
  <si>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</si>
  <si>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</si>
  <si>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</si>
  <si>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</si>
  <si>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</si>
  <si>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</si>
  <si>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</si>
  <si>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</si>
  <si>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</si>
  <si>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</si>
  <si>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</si>
  <si>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</si>
  <si>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</si>
  <si>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</si>
  <si>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</si>
  <si>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</si>
  <si>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</si>
  <si>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</si>
  <si>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</si>
  <si>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</si>
  <si>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</si>
  <si>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</si>
  <si>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</si>
  <si>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</si>
  <si>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</si>
  <si>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</si>
  <si>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</si>
  <si>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</si>
  <si>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</si>
  <si>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</si>
  <si>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</si>
  <si>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</si>
  <si>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</si>
  <si>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</si>
  <si>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</si>
  <si>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</si>
  <si>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</si>
  <si>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</si>
  <si>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</si>
  <si>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</si>
  <si>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</si>
  <si>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</si>
  <si>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</si>
  <si>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</si>
  <si>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</si>
  <si>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</si>
  <si>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</si>
  <si>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</si>
  <si>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</si>
  <si>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</si>
  <si>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</si>
  <si>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</si>
  <si>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</si>
  <si>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</si>
  <si>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</si>
  <si>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</si>
  <si>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</si>
  <si>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</si>
  <si>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</si>
  <si>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</si>
  <si>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</si>
  <si>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</si>
  <si>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</si>
  <si>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</si>
  <si>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</si>
  <si>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</si>
  <si>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</si>
  <si>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</si>
  <si>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</si>
  <si>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</si>
  <si>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</si>
  <si>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</si>
  <si>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</si>
  <si>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</si>
  <si>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</si>
  <si>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</si>
  <si>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</si>
  <si>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</si>
  <si>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</si>
  <si>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</si>
  <si>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</si>
  <si>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</si>
  <si>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</si>
  <si>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</si>
  <si>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</si>
  <si>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</si>
  <si>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</si>
  <si>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</si>
  <si>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</si>
  <si>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</si>
  <si>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</si>
  <si>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</si>
  <si>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</si>
  <si>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</si>
  <si>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</si>
  <si>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</si>
  <si>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</si>
  <si>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</si>
  <si>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</si>
  <si>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</si>
  <si>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</si>
  <si>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</si>
  <si>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</si>
  <si>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</si>
  <si>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</si>
  <si>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</si>
  <si>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</si>
  <si>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</si>
  <si>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</si>
  <si>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</si>
  <si>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</si>
  <si>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</si>
  <si>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</si>
  <si>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</si>
  <si>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</si>
  <si>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</si>
  <si>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</si>
  <si>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</si>
  <si>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</si>
  <si>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</si>
  <si>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</si>
  <si>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</si>
  <si>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</si>
  <si>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</si>
  <si>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</si>
  <si>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</si>
  <si>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</si>
  <si>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</si>
  <si>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</si>
  <si>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</si>
  <si>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</si>
  <si>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</si>
  <si>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</si>
  <si>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</si>
  <si>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</si>
  <si>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</si>
  <si>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</si>
  <si>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</si>
  <si>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</si>
  <si>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</si>
  <si>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</si>
  <si>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</si>
  <si>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</si>
  <si>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</si>
  <si>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</si>
  <si>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</si>
  <si>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</si>
  <si>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</si>
  <si>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</si>
  <si>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</si>
  <si>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</si>
  <si>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</si>
  <si>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</si>
  <si>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</si>
  <si>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</si>
  <si>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</si>
  <si>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</si>
  <si>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</si>
  <si>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</si>
  <si>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</si>
  <si>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</si>
  <si>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</si>
  <si>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</si>
  <si>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</si>
  <si>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</si>
  <si>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</si>
  <si>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</si>
  <si>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</si>
  <si>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</si>
  <si>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</si>
  <si>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</si>
  <si>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</si>
  <si>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</si>
  <si>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</si>
  <si>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</si>
  <si>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</si>
  <si>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</si>
  <si>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</si>
  <si>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</si>
  <si>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</si>
  <si>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</si>
  <si>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</si>
  <si>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</si>
  <si>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</si>
  <si>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</si>
  <si>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</si>
  <si>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</si>
  <si>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</si>
  <si>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</si>
  <si>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</si>
  <si>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</si>
  <si>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</si>
  <si>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</si>
  <si>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</si>
  <si>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</si>
  <si>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</si>
  <si>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</si>
  <si>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</si>
  <si>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</si>
  <si>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</si>
  <si>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</si>
  <si>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</si>
  <si>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</si>
  <si>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</si>
  <si>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</si>
  <si>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</si>
  <si>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</si>
  <si>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</si>
  <si>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</si>
  <si>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</si>
  <si>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</si>
  <si>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</si>
  <si>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</si>
  <si>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</si>
  <si>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</si>
  <si>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</si>
  <si>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</si>
  <si>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</si>
  <si>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</si>
  <si>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</si>
  <si>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</si>
  <si>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</si>
  <si>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</si>
  <si>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</si>
  <si>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</si>
  <si>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</si>
  <si>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</si>
  <si>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</si>
  <si>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</si>
  <si>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</si>
  <si>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</si>
  <si>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</si>
  <si>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</si>
  <si>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</si>
  <si>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</si>
  <si>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</si>
  <si>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</si>
  <si>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</si>
  <si>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</si>
  <si>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</si>
  <si>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</si>
  <si>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</si>
  <si>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</si>
  <si>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</si>
  <si>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</si>
  <si>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</si>
  <si>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</si>
  <si>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</si>
  <si>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</si>
  <si>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</si>
  <si>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</si>
  <si>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</si>
  <si>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</si>
  <si>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</si>
  <si>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</si>
  <si>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</si>
  <si>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</si>
  <si>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</si>
  <si>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</si>
  <si>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</si>
  <si>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</si>
  <si>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</si>
  <si>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</si>
  <si>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</si>
  <si>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</si>
  <si>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</si>
  <si>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</si>
  <si>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</si>
  <si>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</si>
  <si>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</si>
  <si>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</si>
  <si>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</si>
  <si>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</si>
  <si>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</si>
  <si>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</si>
  <si>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</si>
  <si>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</si>
  <si>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</si>
  <si>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</si>
  <si>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</si>
  <si>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</si>
  <si>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</si>
  <si>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</si>
  <si>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</si>
  <si>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</si>
  <si>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</si>
  <si>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</si>
  <si>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</si>
  <si>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</si>
  <si>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</si>
  <si>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</si>
  <si>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</si>
  <si>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</si>
  <si>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</si>
  <si>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</si>
  <si>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</si>
  <si>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</si>
  <si>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</si>
  <si>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</si>
  <si>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</si>
  <si>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</si>
  <si>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</si>
  <si>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</si>
  <si>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</si>
  <si>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</si>
  <si>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</si>
  <si>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</si>
  <si>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</si>
  <si>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</si>
  <si>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</si>
  <si>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</si>
  <si>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</si>
  <si>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</si>
  <si>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</si>
  <si>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</si>
  <si>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</si>
  <si>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</si>
  <si>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</si>
  <si>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</si>
  <si>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</si>
  <si>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</si>
  <si>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</si>
  <si>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</si>
  <si>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</si>
  <si>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</si>
  <si>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</si>
  <si>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</si>
  <si>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</si>
  <si>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</si>
  <si>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</si>
  <si>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</si>
  <si>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</si>
  <si>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</si>
  <si>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</si>
  <si>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</si>
  <si>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</si>
  <si>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</si>
  <si>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</si>
  <si>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</si>
  <si>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</si>
  <si>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</si>
  <si>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</si>
  <si>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</si>
  <si>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</si>
  <si>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</si>
  <si>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</si>
  <si>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</si>
  <si>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</si>
  <si>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</si>
  <si>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</si>
  <si>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</si>
  <si>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</si>
  <si>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</si>
  <si>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</si>
  <si>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</si>
  <si>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</si>
  <si>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</si>
  <si>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</si>
  <si>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</si>
  <si>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</si>
  <si>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</si>
  <si>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</si>
  <si>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</si>
  <si>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</si>
  <si>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</si>
  <si>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</si>
  <si>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</si>
  <si>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</si>
  <si>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</si>
  <si>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</si>
  <si>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</si>
  <si>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</si>
  <si>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</si>
  <si>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</si>
  <si>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</si>
  <si>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</si>
  <si>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</si>
  <si>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</si>
  <si>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</si>
  <si>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</si>
  <si>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</si>
  <si>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</si>
  <si>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</si>
  <si>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</si>
  <si>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</si>
  <si>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</si>
  <si>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</si>
  <si>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</si>
  <si>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</si>
  <si>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</si>
  <si>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</si>
  <si>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</si>
  <si>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</si>
  <si>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</si>
  <si>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</si>
  <si>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</si>
  <si>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</si>
  <si>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</si>
  <si>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</si>
  <si>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</si>
  <si>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</si>
  <si>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</si>
  <si>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</si>
  <si>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</si>
  <si>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</si>
  <si>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</si>
  <si>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</si>
  <si>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</si>
  <si>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</si>
  <si>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</si>
  <si>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</si>
  <si>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</si>
  <si>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</si>
  <si>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</si>
  <si>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</si>
  <si>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</si>
  <si>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</si>
  <si>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</si>
  <si>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</si>
  <si>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</si>
  <si>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</si>
  <si>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</si>
  <si>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</si>
  <si>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</si>
  <si>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</si>
  <si>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</si>
  <si>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</si>
  <si>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</si>
  <si>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</si>
  <si>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</si>
  <si>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</si>
  <si>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</si>
  <si>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</si>
  <si>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</si>
  <si>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</si>
  <si>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</si>
  <si>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</si>
  <si>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</si>
  <si>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</si>
  <si>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</si>
  <si>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</si>
  <si>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</si>
  <si>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</si>
  <si>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</si>
  <si>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</si>
  <si>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</si>
  <si>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</si>
  <si>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</si>
  <si>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</si>
  <si>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</si>
  <si>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</si>
  <si>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</si>
  <si>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</si>
  <si>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</si>
  <si>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</si>
  <si>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</si>
  <si>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</si>
  <si>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</si>
  <si>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</si>
  <si>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</si>
  <si>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</si>
  <si>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</si>
  <si>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</si>
  <si>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</si>
  <si>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</si>
  <si>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</si>
  <si>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</si>
  <si>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</si>
  <si>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</si>
  <si>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</si>
  <si>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</si>
  <si>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</si>
  <si>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</si>
  <si>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</si>
  <si>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</si>
  <si>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</si>
  <si>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</si>
  <si>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</si>
  <si>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</si>
  <si>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</si>
  <si>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</si>
  <si>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</si>
  <si>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</si>
  <si>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</si>
  <si>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</si>
  <si>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</si>
  <si>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</si>
  <si>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</si>
  <si>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</si>
  <si>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</si>
  <si>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</si>
  <si>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</si>
  <si>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</si>
  <si>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</si>
  <si>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</si>
  <si>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</si>
  <si>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</si>
  <si>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</si>
  <si>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</si>
  <si>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</si>
  <si>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</si>
  <si>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</si>
  <si>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</si>
  <si>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</si>
  <si>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</si>
  <si>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</si>
  <si>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</si>
  <si>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</si>
  <si>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</si>
  <si>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</si>
  <si>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</si>
  <si>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</si>
  <si>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</si>
  <si>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</si>
  <si>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</si>
  <si>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</si>
  <si>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</si>
  <si>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</si>
  <si>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</si>
  <si>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</si>
  <si>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</si>
  <si>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</si>
  <si>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</si>
  <si>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</si>
  <si>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</si>
  <si>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</si>
  <si>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</si>
  <si>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</si>
  <si>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</si>
  <si>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</si>
  <si>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</si>
  <si>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</si>
  <si>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</si>
  <si>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</si>
  <si>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</si>
  <si>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</si>
  <si>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</si>
  <si>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</si>
  <si>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</si>
  <si>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</si>
  <si>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</si>
  <si>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</si>
  <si>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</si>
  <si>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</si>
  <si>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</si>
  <si>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</si>
  <si>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</si>
  <si>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</si>
  <si>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</si>
  <si>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</si>
  <si>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</si>
  <si>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</si>
  <si>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</si>
  <si>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</si>
  <si>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</si>
  <si>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</si>
  <si>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</si>
  <si>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</si>
  <si>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</si>
  <si>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</si>
  <si>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</si>
  <si>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</si>
  <si>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</si>
  <si>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</si>
  <si>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</si>
  <si>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</si>
  <si>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</si>
  <si>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</si>
  <si>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</si>
  <si>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</si>
  <si>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</si>
  <si>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</si>
  <si>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</si>
  <si>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</si>
  <si>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</si>
  <si>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</si>
  <si>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</si>
  <si>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</si>
  <si>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</si>
  <si>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</si>
  <si>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</si>
  <si>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</si>
  <si>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</si>
  <si>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</si>
  <si>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</si>
  <si>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</si>
  <si>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</si>
  <si>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</si>
  <si>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</si>
  <si>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</si>
  <si>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</si>
  <si>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</si>
  <si>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</si>
  <si>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</si>
  <si>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</si>
  <si>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</si>
  <si>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</si>
  <si>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</si>
  <si>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</si>
  <si>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</si>
  <si>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</si>
  <si>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</si>
  <si>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</si>
  <si>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</si>
  <si>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</si>
  <si>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</si>
  <si>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</si>
  <si>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</si>
  <si>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</si>
  <si>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</si>
  <si>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</si>
  <si>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</si>
  <si>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</si>
  <si>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</si>
  <si>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</si>
  <si>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</si>
  <si>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</si>
  <si>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</si>
  <si>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</si>
  <si>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</si>
  <si>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</si>
  <si>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</si>
  <si>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</si>
  <si>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</si>
  <si>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</si>
  <si>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</si>
  <si>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</si>
  <si>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</si>
  <si>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</si>
  <si>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</si>
  <si>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</si>
  <si>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</si>
  <si>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</si>
  <si>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</si>
  <si>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</si>
  <si>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</si>
  <si>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</si>
  <si>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</si>
  <si>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</si>
  <si>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</si>
  <si>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</si>
  <si>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</si>
  <si>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</si>
  <si>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</si>
  <si>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</si>
  <si>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</si>
  <si>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</si>
  <si>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</si>
  <si>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</si>
  <si>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</si>
  <si>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</si>
  <si>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</si>
  <si>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</si>
  <si>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</si>
  <si>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</si>
  <si>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</si>
  <si>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</si>
  <si>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</si>
  <si>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</si>
  <si>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</si>
  <si>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</si>
  <si>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</si>
  <si>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</si>
  <si>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</si>
  <si>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</si>
  <si>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</si>
  <si>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</si>
  <si>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</si>
  <si>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</si>
  <si>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</si>
  <si>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</si>
  <si>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</si>
  <si>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</si>
  <si>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</si>
  <si>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</si>
  <si>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</si>
  <si>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</si>
  <si>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</si>
  <si>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</si>
  <si>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</si>
  <si>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</si>
  <si>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</si>
  <si>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</si>
  <si>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</si>
  <si>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</si>
  <si>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</si>
  <si>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</si>
  <si>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</si>
  <si>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</si>
  <si>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</si>
  <si>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</si>
  <si>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</si>
  <si>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</si>
  <si>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</si>
  <si>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</si>
  <si>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</si>
  <si>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</si>
  <si>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</si>
  <si>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</si>
  <si>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</si>
  <si>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</si>
  <si>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</si>
  <si>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</si>
  <si>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</si>
  <si>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</si>
  <si>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</si>
  <si>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</si>
  <si>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</si>
  <si>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</si>
  <si>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</si>
  <si>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</si>
  <si>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</si>
  <si>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</si>
  <si>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</si>
  <si>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</si>
  <si>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</si>
  <si>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</si>
  <si>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</si>
  <si>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</si>
  <si>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</si>
  <si>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</si>
  <si>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</si>
  <si>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</si>
  <si>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</si>
  <si>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</si>
  <si>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</si>
  <si>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</si>
  <si>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</si>
  <si>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</si>
  <si>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</si>
  <si>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</si>
  <si>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</si>
  <si>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</si>
  <si>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</si>
  <si>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</si>
  <si>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</si>
  <si>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</si>
  <si>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</si>
  <si>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</si>
  <si>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</si>
  <si>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</si>
  <si>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</si>
  <si>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</si>
  <si>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</si>
  <si>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</si>
  <si>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</si>
  <si>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</si>
  <si>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</si>
  <si>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</si>
  <si>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</si>
  <si>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</si>
  <si>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</si>
  <si>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</si>
  <si>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</si>
  <si>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</si>
  <si>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</si>
  <si>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</si>
  <si>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</si>
  <si>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</si>
  <si>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</si>
  <si>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</si>
  <si>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</si>
  <si>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</si>
  <si>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</si>
  <si>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</si>
  <si>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</si>
  <si>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</si>
  <si>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</si>
  <si>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</si>
  <si>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</si>
  <si>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</si>
  <si>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</si>
  <si>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</si>
  <si>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</si>
  <si>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</si>
  <si>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</si>
  <si>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</si>
  <si>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</si>
  <si>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</si>
  <si>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</si>
  <si>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</si>
  <si>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</si>
  <si>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</si>
  <si>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</si>
  <si>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</si>
  <si>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</si>
  <si>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</si>
  <si>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</si>
  <si>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</si>
  <si>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</si>
  <si>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</si>
  <si>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</si>
  <si>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</si>
  <si>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</si>
  <si>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</si>
  <si>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</si>
  <si>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</si>
  <si>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</si>
  <si>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</si>
  <si>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</si>
  <si>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</si>
  <si>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</si>
  <si>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</si>
  <si>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</si>
  <si>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</si>
  <si>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</si>
  <si>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</si>
  <si>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</si>
  <si>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</si>
  <si>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</si>
  <si>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</si>
  <si>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</si>
  <si>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</si>
  <si>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</si>
  <si>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</si>
  <si>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</si>
  <si>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</si>
  <si>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</si>
  <si>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</si>
  <si>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</si>
  <si>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</si>
  <si>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</si>
  <si>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</si>
  <si>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</si>
  <si>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</si>
  <si>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</si>
  <si>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</si>
  <si>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</si>
  <si>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</si>
  <si>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</si>
  <si>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</si>
  <si>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</si>
  <si>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</si>
  <si>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</si>
  <si>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</si>
  <si>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</si>
  <si>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</si>
  <si>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</si>
  <si>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</si>
  <si>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</si>
  <si>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</si>
  <si>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</si>
  <si>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</si>
  <si>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</si>
  <si>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</si>
  <si>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</si>
  <si>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</si>
  <si>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</si>
  <si>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</si>
  <si>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</si>
  <si>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</si>
  <si>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</si>
  <si>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</si>
  <si>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</si>
  <si>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</si>
  <si>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</si>
  <si>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</si>
  <si>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</si>
  <si>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</si>
  <si>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</si>
  <si>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</si>
  <si>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</si>
  <si>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</si>
  <si>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</si>
  <si>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</si>
  <si>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</si>
  <si>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</si>
  <si>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</si>
  <si>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</si>
  <si>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</si>
  <si>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</si>
  <si>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</si>
  <si>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</si>
  <si>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</si>
  <si>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</si>
  <si>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</si>
  <si>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</si>
  <si>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</si>
  <si>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</si>
  <si>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</si>
  <si>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</si>
  <si>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</si>
  <si>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</si>
  <si>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</si>
  <si>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</si>
  <si>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</si>
  <si>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</si>
  <si>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</si>
  <si>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</si>
  <si>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</si>
  <si>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</si>
  <si>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</si>
  <si>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</si>
  <si>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</si>
  <si>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</si>
  <si>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</si>
  <si>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</si>
  <si>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</si>
  <si>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</si>
  <si>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</si>
  <si>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</si>
  <si>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</si>
  <si>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</si>
  <si>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</si>
  <si>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</si>
  <si>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</si>
  <si>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</si>
  <si>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</si>
  <si>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</si>
  <si>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</si>
  <si>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</si>
  <si>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</si>
  <si>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</si>
  <si>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</si>
  <si>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</si>
  <si>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</si>
  <si>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</si>
  <si>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</si>
  <si>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</si>
  <si>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</si>
  <si>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</si>
  <si>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</si>
  <si>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</si>
  <si>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</si>
  <si>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</si>
  <si>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</si>
  <si>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</si>
  <si>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</si>
  <si>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</si>
  <si>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</si>
  <si>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</si>
  <si>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</si>
  <si>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</si>
  <si>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</si>
  <si>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</si>
  <si>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</si>
  <si>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</si>
  <si>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</si>
  <si>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</si>
  <si>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</si>
  <si>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</si>
  <si>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</si>
  <si>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</si>
  <si>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</si>
  <si>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</si>
  <si>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</si>
  <si>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</si>
  <si>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</si>
  <si>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</si>
  <si>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</si>
  <si>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</si>
  <si>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</si>
  <si>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</si>
  <si>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</si>
  <si>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</si>
  <si>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</si>
  <si>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</si>
  <si>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</si>
  <si>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</si>
  <si>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</si>
  <si>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</si>
  <si>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</si>
  <si>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</si>
  <si>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</si>
  <si>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</si>
  <si>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</si>
  <si>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</si>
  <si>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</si>
  <si>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</si>
  <si>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</si>
  <si>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</si>
  <si>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</si>
  <si>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</si>
  <si>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</si>
  <si>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</si>
  <si>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</si>
  <si>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</si>
  <si>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</si>
  <si>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</si>
  <si>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</si>
  <si>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</si>
  <si>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</si>
  <si>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</si>
  <si>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</si>
  <si>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</si>
  <si>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</si>
  <si>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</si>
  <si>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</si>
  <si>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</si>
  <si>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</si>
  <si>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</si>
  <si>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</si>
  <si>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</si>
  <si>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</si>
  <si>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</si>
  <si>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</si>
  <si>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</si>
  <si>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</si>
  <si>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</si>
  <si>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</si>
  <si>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</si>
  <si>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</si>
  <si>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</si>
  <si>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</si>
  <si>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</si>
  <si>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</si>
  <si>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</si>
  <si>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</si>
  <si>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</si>
  <si>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</si>
  <si>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</si>
  <si>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</si>
  <si>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</si>
  <si>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</si>
  <si>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</si>
  <si>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</si>
  <si>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</si>
  <si>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</si>
  <si>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</si>
  <si>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</si>
  <si>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</si>
  <si>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</si>
  <si>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</si>
  <si>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</si>
  <si>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</si>
  <si>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</si>
  <si>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</si>
  <si>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</si>
  <si>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</si>
  <si>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</si>
  <si>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DeKalb</t>
  </si>
  <si>
    <t>Kishwaukee Education Consortium</t>
  </si>
  <si>
    <t>21255 Malta Road</t>
  </si>
  <si>
    <t>Malta</t>
  </si>
  <si>
    <t>Sikich LLP</t>
  </si>
  <si>
    <t>Brian D. LeFevre, Partner</t>
  </si>
  <si>
    <t>1415 W. Diehl Rd., Suite 400</t>
  </si>
  <si>
    <t>Naperville</t>
  </si>
  <si>
    <t>IL</t>
  </si>
  <si>
    <t>630-566-8400</t>
  </si>
  <si>
    <t>630-566-8401</t>
  </si>
  <si>
    <t>066-003284</t>
  </si>
  <si>
    <t>brian.lefevre@sikich.com</t>
  </si>
  <si>
    <t>Refunding Debt Certificates, Series 2013</t>
  </si>
  <si>
    <t>Refunding Debt Certificates</t>
  </si>
  <si>
    <t>None</t>
  </si>
  <si>
    <t>Revenues 9-14, account 3999, Other Restricted Revenue From State Sources: RSSP Grant and RSSCEP Grant</t>
  </si>
  <si>
    <t>Revenues 9-14, account 4799, CTE - Other: Perkins Grant</t>
  </si>
  <si>
    <t>Revenues 9-14, account 4299, Food Service - Other: National School Lunch Program Equipment Assistance Grant</t>
  </si>
  <si>
    <t>PDF IN OPINION PAGE WITH SIGNATURE AND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</si>
</sst>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6">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6">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EF6C6A7A-B5ED-4316-8CC8-F22192695B0A}"/>
    <cellStyle name="Normal 3 2 3" xfId="22" xr:uid="{6109DD3E-C0F9-4011-A4EC-8DB044C2C000}"/>
    <cellStyle name="Normal 3 3" xfId="21" xr:uid="{4CC8B14E-5A11-4ED9-835C-1AC6344703A3}"/>
    <cellStyle name="Normal 4" xfId="16" xr:uid="{00000000-0005-0000-0000-000008000000}"/>
    <cellStyle name="Normal 4 2" xfId="23" xr:uid="{4B288DD9-E3CD-44FF-8642-4D0E3B72D54A}"/>
    <cellStyle name="Normal 5" xfId="17" xr:uid="{00000000-0005-0000-0000-000009000000}"/>
    <cellStyle name="Normal 5 2" xfId="19" xr:uid="{00000000-0005-0000-0000-00000A000000}"/>
    <cellStyle name="Normal 5 3" xfId="24" xr:uid="{FC2CD227-0C9E-49E1-A7B2-0587BD13614E}"/>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view="pageBreakPreview" topLeftCell="A4" zoomScaleNormal="100" zoomScaleSheetLayoutView="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c r="C5" s="26" t="s">
        <v>904</v>
      </c>
      <c r="D5" s="81"/>
      <c r="E5" s="81"/>
      <c r="H5" s="38"/>
      <c r="I5" s="2125" t="s">
        <v>675</v>
      </c>
      <c r="J5" s="2070"/>
      <c r="K5" s="2070"/>
      <c r="L5" s="2070"/>
      <c r="M5" s="2070"/>
      <c r="N5" s="2070"/>
      <c r="O5" s="2070"/>
      <c r="P5" s="2070"/>
      <c r="Q5" s="2070"/>
      <c r="R5" s="2070"/>
      <c r="S5" s="2070"/>
      <c r="AF5" s="1827"/>
    </row>
    <row r="6" spans="1:32" ht="14.1" customHeight="1" x14ac:dyDescent="0.2">
      <c r="B6" s="101" t="s">
        <v>2051</v>
      </c>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t="s">
        <v>2051</v>
      </c>
      <c r="P12" s="97" t="s">
        <v>200</v>
      </c>
      <c r="Q12" s="71"/>
      <c r="R12" s="30"/>
      <c r="S12" s="30"/>
      <c r="T12" s="82" t="s">
        <v>263</v>
      </c>
      <c r="U12" s="48"/>
      <c r="V12" s="48"/>
      <c r="W12" s="48"/>
      <c r="X12" s="48"/>
      <c r="Y12" s="43"/>
      <c r="Z12" s="43"/>
      <c r="AA12" s="44"/>
    </row>
    <row r="13" spans="1:32" ht="13.5" customHeight="1" x14ac:dyDescent="0.2">
      <c r="A13" s="2086">
        <v>16000000046</v>
      </c>
      <c r="B13" s="2087"/>
      <c r="C13" s="2087"/>
      <c r="D13" s="2087"/>
      <c r="E13" s="2087"/>
      <c r="F13" s="2087"/>
      <c r="G13" s="2087"/>
      <c r="H13" s="2088"/>
      <c r="I13" s="31"/>
      <c r="J13" s="30"/>
      <c r="K13" s="28"/>
      <c r="L13" s="30"/>
      <c r="M13" s="30"/>
      <c r="N13" s="30"/>
      <c r="O13" s="30"/>
      <c r="P13" s="30"/>
      <c r="Q13" s="30"/>
      <c r="R13" s="30"/>
      <c r="S13" s="30"/>
      <c r="T13" s="2091" t="s">
        <v>2056</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2052</v>
      </c>
      <c r="B15" s="2089"/>
      <c r="C15" s="2089"/>
      <c r="D15" s="2089"/>
      <c r="E15" s="2089"/>
      <c r="F15" s="2089"/>
      <c r="G15" s="2089"/>
      <c r="H15" s="2090"/>
      <c r="T15" s="2052" t="s">
        <v>2057</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2053</v>
      </c>
      <c r="B17" s="2114"/>
      <c r="C17" s="2114"/>
      <c r="D17" s="2114"/>
      <c r="E17" s="2114"/>
      <c r="F17" s="2114"/>
      <c r="G17" s="2114"/>
      <c r="H17" s="2115"/>
      <c r="T17" s="2101" t="s">
        <v>2058</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2054</v>
      </c>
      <c r="B19" s="2085"/>
      <c r="C19" s="2085"/>
      <c r="D19" s="2085"/>
      <c r="E19" s="2085"/>
      <c r="F19" s="2085"/>
      <c r="G19" s="2085"/>
      <c r="H19" s="2083"/>
      <c r="I19" s="30"/>
      <c r="J19" s="96"/>
      <c r="K19" s="40"/>
      <c r="L19" s="38"/>
      <c r="M19" s="109" t="s">
        <v>312</v>
      </c>
      <c r="P19" s="27"/>
      <c r="Q19" s="27"/>
      <c r="R19" s="27"/>
      <c r="S19" s="31"/>
      <c r="T19" s="2084" t="s">
        <v>2059</v>
      </c>
      <c r="U19" s="2082"/>
      <c r="V19" s="2082"/>
      <c r="W19" s="2083"/>
      <c r="X19" s="2099" t="s">
        <v>2060</v>
      </c>
      <c r="Y19" s="2100"/>
      <c r="Z19" s="2097">
        <v>60563</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2055</v>
      </c>
      <c r="B21" s="2082"/>
      <c r="C21" s="2082"/>
      <c r="D21" s="2082"/>
      <c r="E21" s="2082"/>
      <c r="F21" s="2082"/>
      <c r="G21" s="2082"/>
      <c r="H21" s="2083"/>
      <c r="I21" s="2107" t="s">
        <v>673</v>
      </c>
      <c r="J21" s="2070"/>
      <c r="K21" s="2070"/>
      <c r="L21" s="2070"/>
      <c r="M21" s="2070"/>
      <c r="N21" s="2070"/>
      <c r="O21" s="2070"/>
      <c r="P21" s="2070"/>
      <c r="Q21" s="2070"/>
      <c r="R21" s="2070"/>
      <c r="S21" s="2071"/>
      <c r="T21" s="2049" t="s">
        <v>2061</v>
      </c>
      <c r="U21" s="2050"/>
      <c r="V21" s="2050"/>
      <c r="W21" s="2050"/>
      <c r="X21" s="2063" t="s">
        <v>2062</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c r="B23" s="2105"/>
      <c r="C23" s="2105"/>
      <c r="D23" s="2105"/>
      <c r="E23" s="2105"/>
      <c r="F23" s="2105"/>
      <c r="G23" s="2105"/>
      <c r="H23" s="2106"/>
      <c r="T23" s="2044" t="s">
        <v>2063</v>
      </c>
      <c r="U23" s="2045"/>
      <c r="V23" s="2045"/>
      <c r="W23" s="2045"/>
      <c r="X23" s="2060">
        <v>44530</v>
      </c>
      <c r="Y23" s="2061"/>
      <c r="Z23" s="2061"/>
      <c r="AA23" s="2062"/>
    </row>
    <row r="24" spans="1:27" ht="14.1" customHeight="1" x14ac:dyDescent="0.2">
      <c r="A24" s="85" t="s">
        <v>672</v>
      </c>
      <c r="B24" s="46"/>
      <c r="C24" s="46"/>
      <c r="D24" s="46"/>
      <c r="E24" s="46"/>
      <c r="F24" s="46"/>
      <c r="G24" s="46"/>
      <c r="H24" s="58"/>
      <c r="J24" s="2146" t="str">
        <f>IF(B5="x",IF(AUDITCHECK!D29="AFR form Incomplete.","",IF(AUDITCHECK!D29="Deficit reduction plan is required.","School District must complete a deficit reduction plan in the 2020-2021 Budget",)),"")</f>
        <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60150</v>
      </c>
      <c r="B25" s="2082"/>
      <c r="C25" s="2082"/>
      <c r="D25" s="2082"/>
      <c r="E25" s="2082"/>
      <c r="F25" s="2082"/>
      <c r="G25" s="2082"/>
      <c r="H25" s="2083"/>
      <c r="I25" s="110"/>
      <c r="J25" s="2148"/>
      <c r="K25" s="2148"/>
      <c r="L25" s="2148"/>
      <c r="M25" s="2148"/>
      <c r="N25" s="2148"/>
      <c r="O25" s="2148"/>
      <c r="P25" s="2148"/>
      <c r="Q25" s="2148"/>
      <c r="R25" s="2148"/>
      <c r="S25" s="2149"/>
      <c r="T25" s="2041" t="s">
        <v>2064</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c r="B42" s="2131"/>
      <c r="C42" s="2132"/>
      <c r="D42" s="2145"/>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85" zoomScaleNormal="85" workbookViewId="0">
      <selection activeCell="D24" sqref="D2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4" colorId="8" zoomScale="85" zoomScaleNormal="85" workbookViewId="0">
      <selection activeCell="D24" sqref="D2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2065</v>
      </c>
      <c r="B31" s="595">
        <v>41577</v>
      </c>
      <c r="C31" s="1734">
        <v>4285000</v>
      </c>
      <c r="D31" s="1735">
        <v>7</v>
      </c>
      <c r="E31" s="1734">
        <v>2825000</v>
      </c>
      <c r="F31" s="1734"/>
      <c r="G31" s="1734"/>
      <c r="H31" s="1734">
        <v>315000</v>
      </c>
      <c r="I31" s="1736">
        <f>((E31+F31)-H31)+G31</f>
        <v>2510000</v>
      </c>
      <c r="J31" s="1734">
        <v>2510000</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4285000</v>
      </c>
      <c r="D49" s="1742"/>
      <c r="E49" s="1736">
        <f t="shared" ref="E49:J49" si="2">SUM(E31:E48)</f>
        <v>2825000</v>
      </c>
      <c r="F49" s="1736">
        <f t="shared" si="2"/>
        <v>0</v>
      </c>
      <c r="G49" s="1736">
        <f t="shared" si="2"/>
        <v>0</v>
      </c>
      <c r="H49" s="1736">
        <f t="shared" si="2"/>
        <v>315000</v>
      </c>
      <c r="I49" s="1736">
        <f t="shared" si="2"/>
        <v>2510000</v>
      </c>
      <c r="J49" s="1736">
        <f t="shared" si="2"/>
        <v>2510000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t="s">
        <v>2066</v>
      </c>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view="pageBreakPreview" colorId="8" zoomScale="60" zoomScaleNormal="85" workbookViewId="0">
      <selection activeCell="D24" sqref="D2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8" t="s">
        <v>1790</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0</v>
      </c>
      <c r="I12" s="1755">
        <f>SUM(I5:I11)</f>
        <v>0</v>
      </c>
      <c r="J12" s="1755">
        <f>SUM(J5:J11)</f>
        <v>0</v>
      </c>
      <c r="K12" s="1755">
        <f>SUM(K5:K11)</f>
        <v>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c r="I14" s="1749"/>
      <c r="J14" s="1751"/>
      <c r="K14" s="1745"/>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1786</v>
      </c>
      <c r="B19" s="2356"/>
      <c r="C19" s="2356"/>
      <c r="D19" s="2356"/>
      <c r="E19" s="2357"/>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70" zoomScaleNormal="70" workbookViewId="0">
      <selection activeCell="D24" sqref="D2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5131509</v>
      </c>
      <c r="D8" s="1771"/>
      <c r="E8" s="1771"/>
      <c r="F8" s="1765">
        <f>(C8+D8)-E8</f>
        <v>5131509</v>
      </c>
      <c r="G8" s="681">
        <v>50</v>
      </c>
      <c r="H8" s="619"/>
      <c r="I8" s="619"/>
      <c r="J8" s="619"/>
      <c r="K8" s="1442">
        <f>(H8+I8)-J8</f>
        <v>0</v>
      </c>
      <c r="L8" s="1442">
        <f>F8-K8</f>
        <v>5131509</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225798</v>
      </c>
      <c r="D12" s="1771">
        <v>36700</v>
      </c>
      <c r="E12" s="1771">
        <v>0</v>
      </c>
      <c r="F12" s="1765">
        <f>(C12+D12)-E12</f>
        <v>262498</v>
      </c>
      <c r="G12" s="681">
        <v>10</v>
      </c>
      <c r="H12" s="619"/>
      <c r="I12" s="619"/>
      <c r="J12" s="619"/>
      <c r="K12" s="1442">
        <f>(H12+I12)-J12</f>
        <v>0</v>
      </c>
      <c r="L12" s="1442">
        <f>F12-K12</f>
        <v>262498</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5357307</v>
      </c>
      <c r="D16" s="1765">
        <f>SUM(D3,D5:D6,D8:D10,D12:D15)</f>
        <v>36700</v>
      </c>
      <c r="E16" s="1765">
        <f>SUM(E3,E5:E6,E8:E10,E12:E15)</f>
        <v>0</v>
      </c>
      <c r="F16" s="1765">
        <f>SUM(F3,F5:F6,F8:F10,F12:F15)</f>
        <v>5394007</v>
      </c>
      <c r="G16" s="681"/>
      <c r="H16" s="1435">
        <f>SUM(H3,H6,H8:H10,H12:H14,)</f>
        <v>0</v>
      </c>
      <c r="I16" s="1435">
        <f>SUM(I3,I6,I8:I10,I12:I14,)</f>
        <v>0</v>
      </c>
      <c r="J16" s="1435">
        <f>SUM(J3,J6,J8:J10,J12:J14,)</f>
        <v>0</v>
      </c>
      <c r="K16" s="1435">
        <f>(H16+I16)-J16</f>
        <v>0</v>
      </c>
      <c r="L16" s="1435">
        <f>F16-K16</f>
        <v>5394007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85" zoomScaleNormal="85" workbookViewId="0">
      <selection activeCell="D24" sqref="D2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2511663</v>
      </c>
      <c r="G8" s="701"/>
    </row>
    <row r="9" spans="1:9" x14ac:dyDescent="0.2">
      <c r="A9" s="705" t="s">
        <v>457</v>
      </c>
      <c r="B9" s="706" t="s">
        <v>1848</v>
      </c>
      <c r="C9" s="707"/>
      <c r="D9" s="705" t="s">
        <v>498</v>
      </c>
      <c r="E9" s="704"/>
      <c r="F9" s="1775">
        <f>'Expenditures 15-22'!K151</f>
        <v>9478</v>
      </c>
      <c r="G9" s="708"/>
    </row>
    <row r="10" spans="1:9" x14ac:dyDescent="0.2">
      <c r="A10" s="705" t="s">
        <v>496</v>
      </c>
      <c r="B10" s="706" t="s">
        <v>1849</v>
      </c>
      <c r="C10" s="707"/>
      <c r="D10" s="705" t="s">
        <v>498</v>
      </c>
      <c r="E10" s="704"/>
      <c r="F10" s="1775">
        <f>'Expenditures 15-22'!K174</f>
        <v>401827</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2922968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5559</v>
      </c>
      <c r="G53" s="701"/>
    </row>
    <row r="54" spans="1:7" x14ac:dyDescent="0.2">
      <c r="A54" s="705" t="s">
        <v>456</v>
      </c>
      <c r="B54" s="705" t="s">
        <v>1459</v>
      </c>
      <c r="C54" s="724" t="s">
        <v>975</v>
      </c>
      <c r="D54" s="720" t="s">
        <v>1086</v>
      </c>
      <c r="E54" s="704"/>
      <c r="F54" s="1782">
        <f>'Expenditures 15-22'!G114</f>
        <v>36700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2067</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315000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359326</v>
      </c>
      <c r="G77" s="701"/>
    </row>
    <row r="78" spans="1:9" s="728" customFormat="1" ht="12" customHeight="1" thickTop="1" thickBot="1" x14ac:dyDescent="0.25">
      <c r="A78" s="1450"/>
      <c r="B78" s="1448"/>
      <c r="C78" s="1445"/>
      <c r="D78" s="1449" t="s">
        <v>2012</v>
      </c>
      <c r="E78" s="1447"/>
      <c r="F78" s="1788">
        <f>(F14-F77)</f>
        <v>2563642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13206</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25000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442094</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363139</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506</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112863</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98920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138675</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1194403</v>
      </c>
    </row>
    <row r="176" spans="1:7" ht="12" customHeight="1" x14ac:dyDescent="0.2">
      <c r="A176" s="1443"/>
      <c r="B176" s="1453"/>
      <c r="C176" s="1454"/>
      <c r="D176" s="1455" t="s">
        <v>2014</v>
      </c>
      <c r="E176" s="1456"/>
      <c r="F176" s="1793">
        <f>'PCTC-OEPP 27-28'!F78-F175</f>
        <v>1369239</v>
      </c>
    </row>
    <row r="177" spans="1:9" ht="12" customHeight="1" x14ac:dyDescent="0.2">
      <c r="A177" s="1443"/>
      <c r="B177" s="1453"/>
      <c r="C177" s="1454"/>
      <c r="D177" s="1455" t="s">
        <v>1794</v>
      </c>
      <c r="E177" s="1456"/>
      <c r="F177" s="1793">
        <f>'Cap Outlay Deprec 26'!I18</f>
        <v>0</v>
      </c>
    </row>
    <row r="178" spans="1:9" ht="12" customHeight="1" x14ac:dyDescent="0.2">
      <c r="A178" s="1443"/>
      <c r="B178" s="1453"/>
      <c r="C178" s="1454"/>
      <c r="D178" s="1455" t="s">
        <v>2015</v>
      </c>
      <c r="E178" s="1456"/>
      <c r="F178" s="1793">
        <f>F176+F177</f>
        <v>1369239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70" zoomScaleNormal="70" workbookViewId="0">
      <selection activeCell="D24" sqref="D24"/>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2067</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16" colorId="8" zoomScaleNormal="100" workbookViewId="0">
      <selection activeCell="D24" sqref="D2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1100380</v>
      </c>
      <c r="F19" s="1802"/>
      <c r="G19" s="1804">
        <f>'Expenditures 15-22'!K33-SUM('Expenditures 15-22'!G33,'Expenditures 15-22'!I33)+'Expenditures 15-22'!D229</f>
        <v>1100380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142533</v>
      </c>
      <c r="F21" s="1805"/>
      <c r="G21" s="1808">
        <f>'Expenditures 15-22'!K42-SUM('Expenditures 15-22'!G42,'Expenditures 15-22'!I42)+'Expenditures 15-22'!K120-SUM('Expenditures 15-22'!G120,'Expenditures 15-22'!I120)+'Expenditures 15-22'!K180-SUM('Expenditures 15-22'!G180,'Expenditures 15-22'!I180)+'Expenditures 15-22'!D238</f>
        <v>142533</v>
      </c>
      <c r="H21" s="817"/>
      <c r="I21" s="157"/>
    </row>
    <row r="22" spans="1:9" s="542" customFormat="1" ht="12" customHeight="1" x14ac:dyDescent="0.2">
      <c r="A22" s="824" t="s">
        <v>560</v>
      </c>
      <c r="B22" s="825"/>
      <c r="C22" s="823">
        <v>2200</v>
      </c>
      <c r="D22" s="1805"/>
      <c r="E22" s="1807">
        <f>'Expenditures 15-22'!K47-SUM('Expenditures 15-22'!G47,'Expenditures 15-22'!I47)+'Expenditures 15-22'!D243</f>
        <v>230547</v>
      </c>
      <c r="F22" s="1805"/>
      <c r="G22" s="1808">
        <f>'Expenditures 15-22'!K47-SUM('Expenditures 15-22'!G47,'Expenditures 15-22'!I47)+'Expenditures 15-22'!D243</f>
        <v>230547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188535</v>
      </c>
      <c r="F23" s="1805"/>
      <c r="G23" s="1807">
        <f>'Expenditures 15-22'!K53-SUM('Expenditures 15-22'!G53,'Expenditures 15-22'!I53)+'Expenditures 15-22'!D257+'Expenditures 15-22'!K330-SUM('Expenditures 15-22'!G330,'Expenditures 15-22'!I330)</f>
        <v>188535</v>
      </c>
      <c r="H23" s="817"/>
      <c r="I23" s="157"/>
    </row>
    <row r="24" spans="1:9" s="542" customFormat="1" ht="12" customHeight="1" x14ac:dyDescent="0.2">
      <c r="A24" s="824" t="s">
        <v>562</v>
      </c>
      <c r="B24" s="825"/>
      <c r="C24" s="823">
        <v>2400</v>
      </c>
      <c r="D24" s="1805"/>
      <c r="E24" s="1807">
        <f>'Expenditures 15-22'!K57-SUM('Expenditures 15-22'!G57,'Expenditures 15-22'!I57)+'Expenditures 15-22'!D261</f>
        <v>380345</v>
      </c>
      <c r="F24" s="1805"/>
      <c r="G24" s="1808">
        <f>'Expenditures 15-22'!K57-SUM('Expenditures 15-22'!G57,'Expenditures 15-22'!I57)+'Expenditures 15-22'!D261</f>
        <v>380345</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133709</v>
      </c>
      <c r="E27" s="1807">
        <f>E8</f>
        <v>0</v>
      </c>
      <c r="F27" s="1807">
        <f>'Expenditures 15-22'!K60-SUM('Expenditures 15-22'!G60,'Expenditures 15-22'!I60)+'Expenditures 15-22'!D264-E8</f>
        <v>133709</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226174</v>
      </c>
      <c r="F28" s="1809">
        <f>'Expenditures 15-22'!K61-SUM('Expenditures 15-22'!G61,'Expenditures 15-22'!I61)+'Expenditures 15-22'!K124-SUM('Expenditures 15-22'!G124,'Expenditures 15-22'!I124)+'Expenditures 15-22'!D266-E9</f>
        <v>226174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72092</v>
      </c>
      <c r="F30" s="1805"/>
      <c r="G30" s="1807">
        <f>'Expenditures 15-22'!K63-SUM('Expenditures 15-22'!G63,'Expenditures 15-22'!I63)+'Expenditures 15-22'!D268-E10</f>
        <v>72092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2500</v>
      </c>
      <c r="F38" s="1805"/>
      <c r="G38" s="1807">
        <f>'Expenditures 15-22'!K73-SUM('Expenditures 15-22'!G73,'Expenditures 15-22'!I73)+'Expenditures 15-22'!K128-SUM('Expenditures 15-22'!G128,'Expenditures 15-22'!I128)+'Expenditures 15-22'!K183-SUM('Expenditures 15-22'!G183,'Expenditures 15-22'!I183)+'Expenditures 15-22'!D278</f>
        <v>2500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133709</v>
      </c>
      <c r="E41" s="1809">
        <f>SUM(E19:E40)</f>
        <v>2343106</v>
      </c>
      <c r="F41" s="1809">
        <f>SUM(F19:F39)</f>
        <v>359883</v>
      </c>
      <c r="G41" s="1809">
        <f>SUM(G19:G40)</f>
        <v>2116932</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133709</v>
      </c>
      <c r="F43" s="1458" t="s">
        <v>470</v>
      </c>
      <c r="G43" s="1810">
        <f>F41</f>
        <v>359883</v>
      </c>
    </row>
    <row r="44" spans="1:7" ht="12" customHeight="1" x14ac:dyDescent="0.2">
      <c r="A44" s="817"/>
      <c r="B44" s="157"/>
      <c r="C44" s="831"/>
      <c r="D44" s="1458" t="s">
        <v>471</v>
      </c>
      <c r="E44" s="1810">
        <f>E41</f>
        <v>2343106</v>
      </c>
      <c r="F44" s="1458" t="s">
        <v>471</v>
      </c>
      <c r="G44" s="1810">
        <f>G41</f>
        <v>2116932</v>
      </c>
    </row>
    <row r="45" spans="1:7" ht="12" customHeight="1" x14ac:dyDescent="0.2">
      <c r="A45" s="817"/>
      <c r="B45" s="157"/>
      <c r="C45" s="157"/>
      <c r="D45" s="1459" t="s">
        <v>999</v>
      </c>
      <c r="E45" s="1811">
        <f>(E43/E44)</f>
        <v>5.7064853233272414E-2</v>
      </c>
      <c r="F45" s="1459" t="s">
        <v>999</v>
      </c>
      <c r="G45" s="1811">
        <f>(G43/G44)</f>
        <v>0.17000215406068783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view="pageBreakPreview" zoomScale="60" zoomScaleNormal="85" workbookViewId="0">
      <selection activeCell="D24" sqref="D24"/>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Kishwaukee Education Consortium</v>
      </c>
      <c r="D6" s="2404"/>
      <c r="E6" s="2404"/>
      <c r="F6" s="1482"/>
      <c r="G6" s="1507"/>
      <c r="L6" s="1507"/>
      <c r="M6" s="1855"/>
      <c r="N6" s="1855"/>
      <c r="O6" s="1855"/>
    </row>
    <row r="7" spans="1:15" ht="11.25" customHeight="1" thickBot="1" x14ac:dyDescent="0.3">
      <c r="A7" s="1480"/>
      <c r="B7" s="1481"/>
      <c r="C7" s="2405">
        <f>COVER!A13</f>
        <v>16000000046</v>
      </c>
      <c r="D7" s="2405"/>
      <c r="E7" s="2405"/>
      <c r="F7" s="1482"/>
      <c r="G7" s="1507"/>
      <c r="L7" s="1507"/>
      <c r="M7" s="1855"/>
      <c r="N7" s="1855"/>
      <c r="O7" s="1855"/>
    </row>
    <row r="8" spans="1:15" ht="25.5" customHeight="1" thickBot="1" x14ac:dyDescent="0.25">
      <c r="A8" s="1519" t="s">
        <v>1874</v>
      </c>
      <c r="B8" s="1483" t="s">
        <v>2051</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zoomScale="85" zoomScaleNormal="85" workbookViewId="0">
      <selection activeCell="D24" sqref="D24"/>
    </sheetView>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0" t="str">
        <f>COVER!A17</f>
        <v>Kishwaukee Education Consortium</v>
      </c>
      <c r="K6" s="2420"/>
      <c r="L6" s="2421"/>
      <c r="M6" s="838"/>
      <c r="N6" s="1999"/>
    </row>
    <row r="7" spans="1:14" x14ac:dyDescent="0.2">
      <c r="A7" s="2422" t="s">
        <v>864</v>
      </c>
      <c r="B7" s="2423"/>
      <c r="C7" s="2423"/>
      <c r="D7" s="2423"/>
      <c r="E7" s="2424"/>
      <c r="F7" s="839"/>
      <c r="G7" s="838"/>
      <c r="H7" s="838"/>
      <c r="I7" s="1925" t="s">
        <v>369</v>
      </c>
      <c r="J7" s="2425">
        <f>COVER!A13</f>
        <v>16000000046</v>
      </c>
      <c r="K7" s="2425"/>
      <c r="L7" s="2425"/>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6" t="s">
        <v>478</v>
      </c>
      <c r="B11" s="2427"/>
      <c r="C11" s="2428"/>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188535</v>
      </c>
      <c r="F12" s="1943"/>
      <c r="G12" s="1969">
        <f>G68</f>
        <v>0</v>
      </c>
      <c r="H12" s="1945">
        <f t="shared" ref="H12:H18" si="0">SUM(E12:G12)</f>
        <v>188535</v>
      </c>
      <c r="I12" s="1944">
        <v>183286</v>
      </c>
      <c r="J12" s="1943"/>
      <c r="K12" s="1944"/>
      <c r="L12" s="1945">
        <f t="shared" ref="L12:L18" si="1">SUM(I12:K12)</f>
        <v>183286</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29" t="s">
        <v>7</v>
      </c>
      <c r="C18" s="2430"/>
      <c r="D18" s="2431"/>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188535</v>
      </c>
      <c r="F19" s="1951">
        <f t="shared" si="2"/>
        <v>0</v>
      </c>
      <c r="G19" s="1951">
        <f t="shared" ref="G19" si="3">SUM(G12:G17)-G18</f>
        <v>0</v>
      </c>
      <c r="H19" s="1951">
        <f t="shared" si="2"/>
        <v>188535</v>
      </c>
      <c r="I19" s="1951">
        <f t="shared" si="2"/>
        <v>183286</v>
      </c>
      <c r="J19" s="1951">
        <f t="shared" si="2"/>
        <v>0</v>
      </c>
      <c r="K19" s="1951">
        <f t="shared" si="2"/>
        <v>0</v>
      </c>
      <c r="L19" s="1951">
        <f t="shared" si="2"/>
        <v>183286</v>
      </c>
      <c r="M19" s="838"/>
      <c r="N19" s="1999"/>
    </row>
    <row r="20" spans="1:14" ht="13.5" thickTop="1" x14ac:dyDescent="0.2">
      <c r="A20" s="2004">
        <v>9</v>
      </c>
      <c r="B20" s="2432" t="s">
        <v>2021</v>
      </c>
      <c r="C20" s="2432"/>
      <c r="D20" s="2433"/>
      <c r="E20" s="1952"/>
      <c r="F20" s="1952"/>
      <c r="G20" s="1952"/>
      <c r="H20" s="1952"/>
      <c r="I20" s="1952"/>
      <c r="J20" s="1952"/>
      <c r="K20" s="1952"/>
      <c r="L20" s="1953">
        <f>IF(AND(H19&gt;0,L19&gt;0),(((L19-H19)/H19)),"Enter Budget Data")</f>
        <v>-2.7840984432598723E-2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4"/>
      <c r="D27" s="2434"/>
      <c r="E27" s="843"/>
      <c r="F27" s="2435"/>
      <c r="G27" s="2435"/>
      <c r="H27" s="2435"/>
      <c r="I27" s="838"/>
      <c r="J27" s="838"/>
      <c r="K27" s="838"/>
      <c r="L27" s="838"/>
      <c r="M27" s="838"/>
      <c r="N27" s="1999"/>
    </row>
    <row r="28" spans="1:14" x14ac:dyDescent="0.2">
      <c r="A28" s="1998"/>
      <c r="B28" s="2008"/>
      <c r="C28" s="1958" t="s">
        <v>1026</v>
      </c>
      <c r="D28" s="844"/>
      <c r="E28" s="1959"/>
      <c r="F28" s="2436" t="s">
        <v>1492</v>
      </c>
      <c r="G28" s="2436"/>
      <c r="H28" s="2436"/>
      <c r="I28" s="838"/>
      <c r="J28" s="838"/>
      <c r="K28" s="838"/>
      <c r="L28" s="838"/>
      <c r="M28" s="838"/>
      <c r="N28" s="1999"/>
    </row>
    <row r="29" spans="1:14" x14ac:dyDescent="0.2">
      <c r="A29" s="1998"/>
      <c r="B29" s="2008"/>
      <c r="C29" s="2437"/>
      <c r="D29" s="2437"/>
      <c r="E29" s="845"/>
      <c r="F29" s="2437"/>
      <c r="G29" s="2437"/>
      <c r="H29" s="2437"/>
      <c r="I29" s="838"/>
      <c r="J29" s="838"/>
      <c r="K29" s="838"/>
      <c r="L29" s="838"/>
      <c r="M29" s="838"/>
      <c r="N29" s="1999"/>
    </row>
    <row r="30" spans="1:14" x14ac:dyDescent="0.2">
      <c r="A30" s="1998"/>
      <c r="B30" s="2008"/>
      <c r="C30" s="1961" t="s">
        <v>1544</v>
      </c>
      <c r="D30" s="838"/>
      <c r="E30" s="1960"/>
      <c r="F30" s="2419" t="s">
        <v>1493</v>
      </c>
      <c r="G30" s="2419"/>
      <c r="H30" s="2419"/>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0" t="s">
        <v>2024</v>
      </c>
      <c r="D34" s="2441"/>
      <c r="E34" s="2441"/>
      <c r="F34" s="2441"/>
      <c r="G34" s="2441"/>
      <c r="H34" s="2441"/>
      <c r="I34" s="2441"/>
      <c r="J34" s="2441"/>
      <c r="K34" s="2017"/>
      <c r="L34" s="838"/>
      <c r="M34" s="838"/>
      <c r="N34" s="1999"/>
    </row>
    <row r="35" spans="1:14" x14ac:dyDescent="0.2">
      <c r="A35" s="1998"/>
      <c r="B35" s="838"/>
      <c r="C35" s="2441"/>
      <c r="D35" s="2441"/>
      <c r="E35" s="2441"/>
      <c r="F35" s="2441"/>
      <c r="G35" s="2441"/>
      <c r="H35" s="2441"/>
      <c r="I35" s="2441"/>
      <c r="J35" s="2441"/>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0" t="s">
        <v>2025</v>
      </c>
      <c r="D37" s="2441"/>
      <c r="E37" s="2441"/>
      <c r="F37" s="2441"/>
      <c r="G37" s="2441"/>
      <c r="H37" s="2441"/>
      <c r="I37" s="2441"/>
      <c r="J37" s="2441"/>
      <c r="K37" s="2017"/>
      <c r="L37" s="2019"/>
      <c r="M37" s="838"/>
      <c r="N37" s="1999"/>
    </row>
    <row r="38" spans="1:14" x14ac:dyDescent="0.2">
      <c r="A38" s="1998"/>
      <c r="B38" s="838"/>
      <c r="C38" s="2441"/>
      <c r="D38" s="2441"/>
      <c r="E38" s="2441"/>
      <c r="F38" s="2441"/>
      <c r="G38" s="2441"/>
      <c r="H38" s="2441"/>
      <c r="I38" s="2441"/>
      <c r="J38" s="2441"/>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2" t="s">
        <v>2026</v>
      </c>
      <c r="D40" s="2443"/>
      <c r="E40" s="2443"/>
      <c r="F40" s="2443"/>
      <c r="G40" s="2443"/>
      <c r="H40" s="2443"/>
      <c r="I40" s="2443"/>
      <c r="J40" s="2443"/>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0" t="str">
        <f>J6</f>
        <v>Kishwaukee Education Consortium</v>
      </c>
      <c r="M52" s="2420"/>
      <c r="N52" s="2450"/>
    </row>
    <row r="53" spans="1:14" x14ac:dyDescent="0.2">
      <c r="A53" s="1983"/>
      <c r="B53" s="1984"/>
      <c r="C53" s="1984"/>
      <c r="D53" s="1984"/>
      <c r="E53" s="1984"/>
      <c r="F53" s="1984"/>
      <c r="G53" s="1984"/>
      <c r="H53" s="1984"/>
      <c r="I53" s="1984"/>
      <c r="J53" s="1984"/>
      <c r="K53" s="1925" t="s">
        <v>369</v>
      </c>
      <c r="L53" s="2425">
        <f>J7</f>
        <v>16000000046</v>
      </c>
      <c r="M53" s="2425"/>
      <c r="N53" s="2451"/>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2"/>
      <c r="B55" s="2453"/>
      <c r="C55" s="2453"/>
      <c r="D55" s="1971"/>
      <c r="E55" s="1971"/>
      <c r="F55" s="1971"/>
      <c r="G55" s="2454" t="s">
        <v>2030</v>
      </c>
      <c r="H55" s="2454"/>
      <c r="I55" s="2454"/>
      <c r="J55" s="2454"/>
      <c r="K55" s="2454"/>
      <c r="L55" s="2454"/>
      <c r="M55" s="2454"/>
      <c r="N55" s="2455"/>
    </row>
    <row r="56" spans="1:14" ht="63.75" x14ac:dyDescent="0.2">
      <c r="A56" s="2456" t="s">
        <v>2031</v>
      </c>
      <c r="B56" s="2457"/>
      <c r="C56" s="2458"/>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59" t="s">
        <v>296</v>
      </c>
      <c r="B57" s="2460"/>
      <c r="C57" s="2460"/>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38" t="s">
        <v>2041</v>
      </c>
      <c r="B58" s="2439"/>
      <c r="C58" s="2439"/>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61" t="s">
        <v>297</v>
      </c>
      <c r="B59" s="2462"/>
      <c r="C59" s="2462"/>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61" t="s">
        <v>236</v>
      </c>
      <c r="B60" s="2462"/>
      <c r="C60" s="2462"/>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61" t="s">
        <v>697</v>
      </c>
      <c r="B61" s="2462"/>
      <c r="C61" s="2462"/>
      <c r="D61" s="1968">
        <v>2365</v>
      </c>
      <c r="E61" s="1978">
        <f>'Expenditures 15-22'!K323</f>
        <v>0</v>
      </c>
      <c r="F61" s="1973"/>
      <c r="G61" s="2032"/>
      <c r="H61" s="2033"/>
      <c r="I61" s="2033"/>
      <c r="J61" s="2033"/>
      <c r="K61" s="2033"/>
      <c r="L61" s="2033"/>
      <c r="M61" s="2033"/>
      <c r="N61" s="1976">
        <f t="shared" si="4"/>
        <v>0</v>
      </c>
    </row>
    <row r="62" spans="1:14" ht="24" customHeight="1" x14ac:dyDescent="0.2">
      <c r="A62" s="2461" t="s">
        <v>237</v>
      </c>
      <c r="B62" s="2462"/>
      <c r="C62" s="2462"/>
      <c r="D62" s="1968">
        <v>2366</v>
      </c>
      <c r="E62" s="1978">
        <f>'Expenditures 15-22'!K324</f>
        <v>0</v>
      </c>
      <c r="F62" s="1973"/>
      <c r="G62" s="2032"/>
      <c r="H62" s="2033"/>
      <c r="I62" s="2033"/>
      <c r="J62" s="2033"/>
      <c r="K62" s="2033"/>
      <c r="L62" s="2033"/>
      <c r="M62" s="2033"/>
      <c r="N62" s="1976">
        <f t="shared" si="4"/>
        <v>0</v>
      </c>
    </row>
    <row r="63" spans="1:14" ht="24" customHeight="1" x14ac:dyDescent="0.2">
      <c r="A63" s="2438" t="s">
        <v>1022</v>
      </c>
      <c r="B63" s="2439"/>
      <c r="C63" s="2439"/>
      <c r="D63" s="1968">
        <v>2367</v>
      </c>
      <c r="E63" s="1978">
        <f>'Expenditures 15-22'!K325</f>
        <v>0</v>
      </c>
      <c r="F63" s="1973"/>
      <c r="G63" s="2032"/>
      <c r="H63" s="2033"/>
      <c r="I63" s="2033"/>
      <c r="J63" s="2033"/>
      <c r="K63" s="2033"/>
      <c r="L63" s="2033"/>
      <c r="M63" s="2033"/>
      <c r="N63" s="1976">
        <f t="shared" si="4"/>
        <v>0</v>
      </c>
    </row>
    <row r="64" spans="1:14" ht="24" customHeight="1" x14ac:dyDescent="0.2">
      <c r="A64" s="2461" t="s">
        <v>1023</v>
      </c>
      <c r="B64" s="2462"/>
      <c r="C64" s="2462"/>
      <c r="D64" s="1968">
        <v>2368</v>
      </c>
      <c r="E64" s="1978">
        <f>'Expenditures 15-22'!K326</f>
        <v>0</v>
      </c>
      <c r="F64" s="1973"/>
      <c r="G64" s="2032"/>
      <c r="H64" s="2033"/>
      <c r="I64" s="2033"/>
      <c r="J64" s="2033"/>
      <c r="K64" s="2033"/>
      <c r="L64" s="2033"/>
      <c r="M64" s="2033"/>
      <c r="N64" s="1976">
        <f t="shared" si="4"/>
        <v>0</v>
      </c>
    </row>
    <row r="65" spans="1:14" ht="24" customHeight="1" x14ac:dyDescent="0.2">
      <c r="A65" s="2461" t="s">
        <v>965</v>
      </c>
      <c r="B65" s="2462"/>
      <c r="C65" s="2462"/>
      <c r="D65" s="1968">
        <v>2369</v>
      </c>
      <c r="E65" s="1978">
        <f>'Expenditures 15-22'!K327</f>
        <v>0</v>
      </c>
      <c r="F65" s="1973"/>
      <c r="G65" s="2032"/>
      <c r="H65" s="2033"/>
      <c r="I65" s="2033"/>
      <c r="J65" s="2033"/>
      <c r="K65" s="2033"/>
      <c r="L65" s="2033"/>
      <c r="M65" s="2033"/>
      <c r="N65" s="1976">
        <f t="shared" si="4"/>
        <v>0</v>
      </c>
    </row>
    <row r="66" spans="1:14" ht="24" customHeight="1" x14ac:dyDescent="0.2">
      <c r="A66" s="2461" t="s">
        <v>469</v>
      </c>
      <c r="B66" s="2462"/>
      <c r="C66" s="2462"/>
      <c r="D66" s="1968">
        <v>2371</v>
      </c>
      <c r="E66" s="1978">
        <f>'Expenditures 15-22'!K328</f>
        <v>0</v>
      </c>
      <c r="F66" s="1973"/>
      <c r="G66" s="2032"/>
      <c r="H66" s="2033"/>
      <c r="I66" s="2033"/>
      <c r="J66" s="2033"/>
      <c r="K66" s="2033"/>
      <c r="L66" s="2033"/>
      <c r="M66" s="2033"/>
      <c r="N66" s="1976">
        <f t="shared" si="4"/>
        <v>0</v>
      </c>
    </row>
    <row r="67" spans="1:14" ht="24.75" customHeight="1" x14ac:dyDescent="0.2">
      <c r="A67" s="2463" t="s">
        <v>2042</v>
      </c>
      <c r="B67" s="2464"/>
      <c r="C67" s="2464"/>
      <c r="D67" s="1970">
        <v>2372</v>
      </c>
      <c r="E67" s="1979">
        <f>'Expenditures 15-22'!K329</f>
        <v>0</v>
      </c>
      <c r="F67" s="1973"/>
      <c r="G67" s="2034"/>
      <c r="H67" s="2035"/>
      <c r="I67" s="2035"/>
      <c r="J67" s="2035"/>
      <c r="K67" s="2035"/>
      <c r="L67" s="2035"/>
      <c r="M67" s="2035"/>
      <c r="N67" s="1976">
        <f t="shared" si="4"/>
        <v>0</v>
      </c>
    </row>
    <row r="68" spans="1:14" x14ac:dyDescent="0.2">
      <c r="A68" s="2465" t="s">
        <v>1151</v>
      </c>
      <c r="B68" s="2466"/>
      <c r="C68" s="2466"/>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view="pageBreakPreview" topLeftCell="A37" zoomScale="60" zoomScaleNormal="110" workbookViewId="0">
      <selection activeCell="D24" sqref="D24"/>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548" t="s">
        <v>2068</v>
      </c>
    </row>
    <row r="6" spans="1:2" x14ac:dyDescent="0.2">
      <c r="A6" s="847">
        <v>2</v>
      </c>
      <c r="B6" s="548" t="s">
        <v>2070</v>
      </c>
    </row>
    <row r="7" spans="1:2" x14ac:dyDescent="0.2">
      <c r="A7" s="847">
        <v>3</v>
      </c>
      <c r="B7" s="548" t="s">
        <v>2069</v>
      </c>
    </row>
    <row r="8" spans="1:2" x14ac:dyDescent="0.2">
      <c r="A8" s="847">
        <v>4</v>
      </c>
      <c r="B8" s="548"/>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Kishwaukee Education Consortium</v>
      </c>
    </row>
    <row r="65" spans="2:2" x14ac:dyDescent="0.2">
      <c r="B65" s="849">
        <f>COVER!A13</f>
        <v>16000000046</v>
      </c>
    </row>
  </sheetData>
  <phoneticPr fontId="16" type="noConversion"/>
  <pageMargins left="0.2" right="0.2" top="1.17" bottom="0.75" header="0.19" footer="0.16"/>
  <pageSetup scale="78"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49" zoomScale="110" zoomScaleNormal="110" workbookViewId="0">
      <selection activeCell="D24" sqref="D2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D24" sqref="D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 sqref="B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6323"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5632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topLeftCell="A4" zoomScale="110" zoomScaleNormal="110" workbookViewId="0">
      <selection activeCell="D24" sqref="D2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2444432</v>
      </c>
      <c r="C8" s="1813">
        <f>'Acct Summary 7-8'!D8</f>
        <v>8565</v>
      </c>
      <c r="D8" s="1813">
        <f>'Acct Summary 7-8'!F8</f>
        <v>0</v>
      </c>
      <c r="E8" s="1813">
        <f>'Acct Summary 7-8'!I8</f>
        <v>0</v>
      </c>
      <c r="F8" s="1813">
        <f>SUM(B8:E8)</f>
        <v>2452997</v>
      </c>
    </row>
    <row r="9" spans="1:8" s="858" customFormat="1" ht="14.25" customHeight="1" thickBot="1" x14ac:dyDescent="0.25">
      <c r="A9" s="857" t="s">
        <v>1353</v>
      </c>
      <c r="B9" s="1814">
        <f>'Acct Summary 7-8'!C17</f>
        <v>2511663</v>
      </c>
      <c r="C9" s="1814">
        <f>'Acct Summary 7-8'!D17</f>
        <v>9478</v>
      </c>
      <c r="D9" s="1814">
        <f>'Acct Summary 7-8'!F17</f>
        <v>0</v>
      </c>
      <c r="E9" s="1813"/>
      <c r="F9" s="1813">
        <f>SUM(B9:E9)</f>
        <v>2521141</v>
      </c>
    </row>
    <row r="10" spans="1:8" s="858" customFormat="1" ht="14.25" thickTop="1" thickBot="1" x14ac:dyDescent="0.25">
      <c r="A10" s="859" t="s">
        <v>1354</v>
      </c>
      <c r="B10" s="1815">
        <f>(B8-B9)</f>
        <v>-67231</v>
      </c>
      <c r="C10" s="1815">
        <f>(C8-C9)</f>
        <v>-913</v>
      </c>
      <c r="D10" s="1815">
        <f>(D8-D9)</f>
        <v>0</v>
      </c>
      <c r="E10" s="1814">
        <f>(E8-E9)</f>
        <v>0</v>
      </c>
      <c r="F10" s="1816">
        <f>SUM(F8-F9)</f>
        <v>-68144</v>
      </c>
    </row>
    <row r="11" spans="1:8" s="858" customFormat="1" ht="14.25" thickTop="1" thickBot="1" x14ac:dyDescent="0.25">
      <c r="A11" s="860" t="s">
        <v>1903</v>
      </c>
      <c r="B11" s="1817">
        <f>'Acct Summary 7-8'!C81</f>
        <v>-54588</v>
      </c>
      <c r="C11" s="1817">
        <f>'Acct Summary 7-8'!D81</f>
        <v>197254</v>
      </c>
      <c r="D11" s="1817">
        <f>'Acct Summary 7-8'!F81</f>
        <v>0</v>
      </c>
      <c r="E11" s="1817">
        <f>'Acct Summary 7-8'!I81</f>
        <v>0</v>
      </c>
      <c r="F11" s="1818">
        <f>SUM(B11:E11)</f>
        <v>142666</v>
      </c>
    </row>
    <row r="12" spans="1:8" ht="16.5" customHeight="1" thickTop="1" x14ac:dyDescent="0.2">
      <c r="A12" s="861"/>
      <c r="B12" s="862"/>
      <c r="C12" s="2472"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4"/>
  <sheetViews>
    <sheetView showGridLines="0" defaultGridColor="0" view="pageBreakPreview" topLeftCell="A50" colorId="8" zoomScaleNormal="85" zoomScaleSheetLayoutView="100" workbookViewId="0">
      <selection activeCell="D24" sqref="D2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16000000046</v>
      </c>
      <c r="E2" s="1542">
        <v>2020</v>
      </c>
      <c r="F2" s="1542">
        <v>1</v>
      </c>
      <c r="G2" s="1899">
        <v>101000300</v>
      </c>
    </row>
    <row r="3" spans="1:7" ht="15" x14ac:dyDescent="0.25">
      <c r="A3" t="s">
        <v>950</v>
      </c>
      <c r="B3" s="135" t="str">
        <f>COVER!A15</f>
        <v>DeKalb</v>
      </c>
      <c r="E3" s="1830" t="s">
        <v>1971</v>
      </c>
      <c r="F3" s="1830" t="s">
        <v>1970</v>
      </c>
      <c r="G3" s="1899">
        <v>101000400</v>
      </c>
    </row>
    <row r="4" spans="1:7" ht="15" x14ac:dyDescent="0.25">
      <c r="A4" t="s">
        <v>1000</v>
      </c>
      <c r="B4" s="135" t="str">
        <f>COVER!A17</f>
        <v>Kishwaukee Education Consortium</v>
      </c>
      <c r="E4" s="1828">
        <v>44119</v>
      </c>
      <c r="F4" s="1829">
        <v>44151</v>
      </c>
      <c r="G4" s="1899">
        <v>101000600</v>
      </c>
    </row>
    <row r="5" spans="1:7" ht="15" x14ac:dyDescent="0.25">
      <c r="A5" t="s">
        <v>699</v>
      </c>
      <c r="B5" s="135">
        <f>COVER!A38</f>
        <v>0</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 xml:space="preserve">ACCRUAL </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066-003284</v>
      </c>
      <c r="G15" s="1899">
        <v>402100400</v>
      </c>
    </row>
    <row r="16" spans="1:7" ht="15" x14ac:dyDescent="0.25">
      <c r="A16" t="s">
        <v>419</v>
      </c>
      <c r="B16" s="135" t="str">
        <f>COVER!T13</f>
        <v>Sikich LLP</v>
      </c>
      <c r="G16" s="1899">
        <v>402100600</v>
      </c>
    </row>
    <row r="17" spans="1:7" ht="15" x14ac:dyDescent="0.25">
      <c r="A17" t="s">
        <v>878</v>
      </c>
      <c r="B17" s="135" t="str">
        <f>COVER!T15</f>
        <v>Brian D. LeFevre, Partner</v>
      </c>
      <c r="G17" s="1899">
        <v>402100800</v>
      </c>
    </row>
    <row r="18" spans="1:7" ht="15" x14ac:dyDescent="0.25">
      <c r="A18" t="s">
        <v>1140</v>
      </c>
      <c r="B18" s="135" t="str">
        <f>COVER!T17</f>
        <v>1415 W. Diehl Rd., Suite 400</v>
      </c>
      <c r="G18" s="1899">
        <v>102200300</v>
      </c>
    </row>
    <row r="19" spans="1:7" ht="15" x14ac:dyDescent="0.25">
      <c r="A19" t="s">
        <v>880</v>
      </c>
      <c r="B19" s="135" t="str">
        <f>COVER!T25</f>
        <v>brian.lefevre@sikich.com</v>
      </c>
      <c r="G19" s="1899">
        <v>102200400</v>
      </c>
    </row>
    <row r="20" spans="1:7" ht="15" x14ac:dyDescent="0.25">
      <c r="A20" t="s">
        <v>881</v>
      </c>
      <c r="B20" s="135" t="str">
        <f>COVER!T19</f>
        <v>Naperville</v>
      </c>
      <c r="G20" s="1899">
        <v>102200600</v>
      </c>
    </row>
    <row r="21" spans="1:7" ht="15" x14ac:dyDescent="0.25">
      <c r="A21" t="s">
        <v>476</v>
      </c>
      <c r="B21" s="135" t="str">
        <f>COVER!X19</f>
        <v>IL</v>
      </c>
      <c r="G21" s="1899">
        <v>102200800</v>
      </c>
    </row>
    <row r="22" spans="1:7" ht="15" x14ac:dyDescent="0.25">
      <c r="A22" t="s">
        <v>882</v>
      </c>
      <c r="B22" s="135">
        <f>COVER!Z19</f>
        <v>60563</v>
      </c>
      <c r="G22" s="1899">
        <v>102300300</v>
      </c>
    </row>
    <row r="23" spans="1:7" ht="15" x14ac:dyDescent="0.25">
      <c r="A23" t="s">
        <v>1142</v>
      </c>
      <c r="B23" s="135" t="str">
        <f>COVER!T21</f>
        <v>630-566-8400</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608177</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553300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662765</v>
      </c>
      <c r="C91" s="2" t="s">
        <v>569</v>
      </c>
      <c r="D91" s="2" t="str">
        <f t="shared" si="0"/>
        <v>Error?</v>
      </c>
      <c r="G91" s="1899">
        <v>102640400</v>
      </c>
    </row>
    <row r="92" spans="1:7" ht="15" x14ac:dyDescent="0.25">
      <c r="A92" s="5">
        <v>31</v>
      </c>
      <c r="B92" s="1832">
        <f>'Assets-Liab 5-6'!C39</f>
        <v>-54588</v>
      </c>
      <c r="D92" s="2" t="str">
        <f t="shared" si="0"/>
        <v>Error?</v>
      </c>
      <c r="G92" s="1899">
        <v>102640600</v>
      </c>
    </row>
    <row r="93" spans="1:7" ht="15" x14ac:dyDescent="0.25">
      <c r="A93" s="5">
        <v>32</v>
      </c>
      <c r="B93" s="1832">
        <f>'Assets-Liab 5-6'!C41</f>
        <v>608177</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184699</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199084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1830</v>
      </c>
      <c r="C122" s="2" t="s">
        <v>569</v>
      </c>
      <c r="D122" s="2" t="str">
        <f t="shared" si="0"/>
        <v>Error?</v>
      </c>
      <c r="G122" s="1899">
        <v>203000300</v>
      </c>
    </row>
    <row r="123" spans="1:7" ht="15" x14ac:dyDescent="0.25">
      <c r="A123" s="5">
        <v>62</v>
      </c>
      <c r="B123" s="1832">
        <f>'Assets-Liab 5-6'!D39</f>
        <v>197254</v>
      </c>
      <c r="D123" s="2" t="str">
        <f t="shared" si="0"/>
        <v>Error?</v>
      </c>
      <c r="G123" s="1899">
        <v>203000400</v>
      </c>
    </row>
    <row r="124" spans="1:7" ht="15" x14ac:dyDescent="0.25">
      <c r="A124" s="5">
        <v>63</v>
      </c>
      <c r="B124" s="1832">
        <f>'Assets-Liab 5-6'!D41</f>
        <v>199084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5131509</v>
      </c>
      <c r="D274" s="2" t="str">
        <f t="shared" si="3"/>
        <v>Error?</v>
      </c>
    </row>
    <row r="275" spans="1:4" x14ac:dyDescent="0.2">
      <c r="A275" s="5">
        <v>214</v>
      </c>
      <c r="B275" s="1832">
        <f>'Assets-Liab 5-6'!M18</f>
        <v>0</v>
      </c>
      <c r="D275" s="2" t="str">
        <f t="shared" si="3"/>
        <v>Error?</v>
      </c>
    </row>
    <row r="276" spans="1:4" x14ac:dyDescent="0.2">
      <c r="A276" s="5">
        <v>215</v>
      </c>
      <c r="B276" s="1832">
        <f>'Assets-Liab 5-6'!M19</f>
        <v>262498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5394007</v>
      </c>
      <c r="C279" s="2" t="s">
        <v>569</v>
      </c>
      <c r="D279" s="2" t="str">
        <f t="shared" si="3"/>
        <v>Error?</v>
      </c>
    </row>
    <row r="280" spans="1:4" x14ac:dyDescent="0.2">
      <c r="A280" s="5">
        <v>219</v>
      </c>
      <c r="B280" s="1832">
        <f>'Assets-Liab 5-6'!M40</f>
        <v>5394007</v>
      </c>
      <c r="D280" s="2" t="str">
        <f t="shared" si="3"/>
        <v>Error?</v>
      </c>
    </row>
    <row r="281" spans="1:4" x14ac:dyDescent="0.2">
      <c r="A281" s="5">
        <v>220</v>
      </c>
      <c r="B281" s="1832">
        <f>'Assets-Liab 5-6'!M41</f>
        <v>5394007</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2510000</v>
      </c>
      <c r="D283" s="2" t="str">
        <f t="shared" si="3"/>
        <v>Error?</v>
      </c>
    </row>
    <row r="284" spans="1:4" x14ac:dyDescent="0.2">
      <c r="A284" s="5">
        <v>223</v>
      </c>
      <c r="B284" s="1832">
        <f>'Assets-Liab 5-6'!N23</f>
        <v>2510000</v>
      </c>
      <c r="C284" s="2" t="s">
        <v>569</v>
      </c>
      <c r="D284" s="2" t="str">
        <f t="shared" si="3"/>
        <v>Error?</v>
      </c>
    </row>
    <row r="285" spans="1:4" x14ac:dyDescent="0.2">
      <c r="A285" s="5">
        <v>224</v>
      </c>
      <c r="B285" s="1832">
        <f>'Assets-Liab 5-6'!N36</f>
        <v>2510000</v>
      </c>
      <c r="D285" s="2" t="str">
        <f t="shared" si="3"/>
        <v>Error?</v>
      </c>
    </row>
    <row r="286" spans="1:4" x14ac:dyDescent="0.2">
      <c r="A286" s="10">
        <v>225</v>
      </c>
      <c r="B286" s="1832"/>
      <c r="D286" s="2" t="str">
        <f t="shared" si="3"/>
        <v>OK</v>
      </c>
    </row>
    <row r="287" spans="1:4" x14ac:dyDescent="0.2">
      <c r="A287" s="5">
        <v>226</v>
      </c>
      <c r="B287" s="1832">
        <f>'Assets-Liab 5-6'!N37</f>
        <v>2510000</v>
      </c>
      <c r="C287" s="2" t="s">
        <v>569</v>
      </c>
      <c r="D287" s="2" t="str">
        <f t="shared" si="3"/>
        <v>Error?</v>
      </c>
    </row>
    <row r="288" spans="1:4" x14ac:dyDescent="0.2">
      <c r="A288" s="5">
        <v>227</v>
      </c>
      <c r="B288" s="1832">
        <f>'Assets-Liab 5-6'!N41</f>
        <v>2510000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416951</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816996</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120816</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120816</v>
      </c>
      <c r="C727" s="2" t="s">
        <v>569</v>
      </c>
      <c r="D727" s="2" t="str">
        <f t="shared" si="10"/>
        <v>Error?</v>
      </c>
    </row>
    <row r="728" spans="1:4" x14ac:dyDescent="0.2">
      <c r="A728" s="5">
        <v>667</v>
      </c>
      <c r="B728" s="1832">
        <f>'Expenditures 15-22'!C44</f>
        <v>117211</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117211</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160219</v>
      </c>
      <c r="D733" s="2" t="str">
        <f t="shared" si="10"/>
        <v>Error?</v>
      </c>
    </row>
    <row r="734" spans="1:4" x14ac:dyDescent="0.2">
      <c r="A734" s="5">
        <v>673</v>
      </c>
      <c r="B734" s="1832">
        <f>'Expenditures 15-22'!C53</f>
        <v>160219</v>
      </c>
      <c r="C734" s="2" t="s">
        <v>569</v>
      </c>
      <c r="D734" s="2" t="str">
        <f t="shared" si="10"/>
        <v>Error?</v>
      </c>
    </row>
    <row r="735" spans="1:4" x14ac:dyDescent="0.2">
      <c r="A735" s="5">
        <v>674</v>
      </c>
      <c r="B735" s="1832">
        <f>'Expenditures 15-22'!C55</f>
        <v>230996</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230996</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119593</v>
      </c>
      <c r="D739" s="2" t="str">
        <f t="shared" si="10"/>
        <v>Error?</v>
      </c>
    </row>
    <row r="740" spans="1:4" x14ac:dyDescent="0.2">
      <c r="A740" s="5">
        <v>679</v>
      </c>
      <c r="B740" s="1832">
        <f>'Expenditures 15-22'!C61</f>
        <v>61181</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12446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193220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822462</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1639458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14491</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46716</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7937</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7937</v>
      </c>
      <c r="C785" s="2" t="s">
        <v>569</v>
      </c>
      <c r="D785" s="2" t="str">
        <f t="shared" si="11"/>
        <v>Error?</v>
      </c>
    </row>
    <row r="786" spans="1:4" x14ac:dyDescent="0.2">
      <c r="A786" s="5">
        <v>725</v>
      </c>
      <c r="B786" s="1832">
        <f>'Expenditures 15-22'!D44</f>
        <v>17727</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17727</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20792</v>
      </c>
      <c r="D791" s="2" t="str">
        <f t="shared" si="11"/>
        <v>Error?</v>
      </c>
    </row>
    <row r="792" spans="1:4" x14ac:dyDescent="0.2">
      <c r="A792" s="5">
        <v>731</v>
      </c>
      <c r="B792" s="1832">
        <f>'Expenditures 15-22'!D53</f>
        <v>20792</v>
      </c>
      <c r="C792" s="2" t="s">
        <v>569</v>
      </c>
      <c r="D792" s="2" t="str">
        <f t="shared" si="11"/>
        <v>Error?</v>
      </c>
    </row>
    <row r="793" spans="1:4" x14ac:dyDescent="0.2">
      <c r="A793" s="5">
        <v>732</v>
      </c>
      <c r="B793" s="1832">
        <f>'Expenditures 15-22'!D55</f>
        <v>84213</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84213</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14116</v>
      </c>
      <c r="D797" s="2" t="str">
        <f t="shared" si="11"/>
        <v>Error?</v>
      </c>
    </row>
    <row r="798" spans="1:4" x14ac:dyDescent="0.2">
      <c r="A798" s="5">
        <v>737</v>
      </c>
      <c r="B798" s="1832">
        <f>'Expenditures 15-22'!D61</f>
        <v>9689</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2092</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25897</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156566</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203282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122389</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126049</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10824</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10824</v>
      </c>
      <c r="C843" s="2" t="s">
        <v>569</v>
      </c>
      <c r="D843" s="2" t="str">
        <f t="shared" si="12"/>
        <v>Error?</v>
      </c>
    </row>
    <row r="844" spans="1:4" x14ac:dyDescent="0.2">
      <c r="A844" s="5">
        <v>783</v>
      </c>
      <c r="B844" s="1832">
        <f>'Expenditures 15-22'!E44</f>
        <v>94593</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94593</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6534</v>
      </c>
      <c r="D849" s="2" t="str">
        <f t="shared" si="12"/>
        <v>Error?</v>
      </c>
    </row>
    <row r="850" spans="1:4" x14ac:dyDescent="0.2">
      <c r="A850" s="5">
        <v>789</v>
      </c>
      <c r="B850" s="1832">
        <f>'Expenditures 15-22'!E53</f>
        <v>6534</v>
      </c>
      <c r="C850" s="2" t="s">
        <v>569</v>
      </c>
      <c r="D850" s="2" t="str">
        <f t="shared" si="12"/>
        <v>Error?</v>
      </c>
    </row>
    <row r="851" spans="1:4" x14ac:dyDescent="0.2">
      <c r="A851" s="5">
        <v>790</v>
      </c>
      <c r="B851" s="1832">
        <f>'Expenditures 15-22'!E55</f>
        <v>45301</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45301</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92170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10713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102883</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2500</v>
      </c>
      <c r="D870" s="2" t="str">
        <f t="shared" si="12"/>
        <v>Error?</v>
      </c>
    </row>
    <row r="871" spans="1:4" x14ac:dyDescent="0.2">
      <c r="A871" s="5">
        <v>810</v>
      </c>
      <c r="B871" s="1832">
        <f>'Expenditures 15-22'!E74</f>
        <v>262635</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393804</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69313</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77150</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2956</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2956</v>
      </c>
      <c r="C901" s="2" t="s">
        <v>569</v>
      </c>
      <c r="D901" s="2" t="str">
        <f t="shared" si="13"/>
        <v>Error?</v>
      </c>
    </row>
    <row r="902" spans="1:4" x14ac:dyDescent="0.2">
      <c r="A902" s="5">
        <v>841</v>
      </c>
      <c r="B902" s="1832">
        <f>'Expenditures 15-22'!F44</f>
        <v>1016</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1016</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990</v>
      </c>
      <c r="D907" s="2" t="str">
        <f t="shared" si="13"/>
        <v>Error?</v>
      </c>
    </row>
    <row r="908" spans="1:4" x14ac:dyDescent="0.2">
      <c r="A908" s="5">
        <v>847</v>
      </c>
      <c r="B908" s="1832">
        <f>'Expenditures 15-22'!F53</f>
        <v>990</v>
      </c>
      <c r="C908" s="2" t="s">
        <v>569</v>
      </c>
      <c r="D908" s="2" t="str">
        <f t="shared" si="13"/>
        <v>Error?</v>
      </c>
    </row>
    <row r="909" spans="1:4" x14ac:dyDescent="0.2">
      <c r="A909" s="5">
        <v>848</v>
      </c>
      <c r="B909" s="1832">
        <f>'Expenditures 15-22'!F55</f>
        <v>17105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17105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55723</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46841</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102564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124631</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201781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10654</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10654</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26046</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26046</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26046</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36700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33469</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33469</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2730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2730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2730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439</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36638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667267</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1111034</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142533</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142533</v>
      </c>
      <c r="C1115" s="2" t="s">
        <v>569</v>
      </c>
      <c r="D1115" s="2" t="str">
        <f t="shared" si="16"/>
        <v>Error?</v>
      </c>
    </row>
    <row r="1116" spans="1:4" x14ac:dyDescent="0.2">
      <c r="A1116" s="5">
        <v>1055</v>
      </c>
      <c r="B1116" s="1832">
        <f>'Expenditures 15-22'!K44</f>
        <v>230547</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230547</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188535</v>
      </c>
      <c r="C1121" s="2" t="s">
        <v>569</v>
      </c>
      <c r="D1121" s="2" t="str">
        <f t="shared" si="16"/>
        <v>Error?</v>
      </c>
    </row>
    <row r="1122" spans="1:4" x14ac:dyDescent="0.2">
      <c r="A1122" s="5">
        <v>1061</v>
      </c>
      <c r="B1122" s="1832">
        <f>'Expenditures 15-22'!K53</f>
        <v>188535</v>
      </c>
      <c r="C1122" s="2" t="s">
        <v>569</v>
      </c>
      <c r="D1122" s="2" t="str">
        <f t="shared" si="16"/>
        <v>Error?</v>
      </c>
    </row>
    <row r="1123" spans="1:4" x14ac:dyDescent="0.2">
      <c r="A1123" s="5">
        <v>1062</v>
      </c>
      <c r="B1123" s="1832">
        <f>'Expenditures 15-22'!K55</f>
        <v>380345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380345</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133709</v>
      </c>
      <c r="C1127" s="2" t="s">
        <v>569</v>
      </c>
      <c r="D1127" s="2" t="str">
        <f t="shared" si="16"/>
        <v>Error?</v>
      </c>
    </row>
    <row r="1128" spans="1:4" x14ac:dyDescent="0.2">
      <c r="A1128" s="5">
        <v>1067</v>
      </c>
      <c r="B1128" s="1832">
        <f>'Expenditures 15-22'!K61</f>
        <v>218763</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98138</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450610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2500</v>
      </c>
      <c r="C1142" s="2" t="s">
        <v>569</v>
      </c>
      <c r="D1142" s="2" t="str">
        <f t="shared" si="16"/>
        <v>Error?</v>
      </c>
    </row>
    <row r="1143" spans="1:4" x14ac:dyDescent="0.2">
      <c r="A1143" s="5">
        <v>1082</v>
      </c>
      <c r="B1143" s="1832">
        <f>'Expenditures 15-22'!K74</f>
        <v>1395070</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5559</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2511663</v>
      </c>
      <c r="C1152" s="2" t="s">
        <v>569</v>
      </c>
      <c r="D1152" s="2" t="str">
        <f t="shared" si="17"/>
        <v>Error?</v>
      </c>
    </row>
    <row r="1153" spans="1:4" x14ac:dyDescent="0.2">
      <c r="A1153" s="5">
        <v>1092</v>
      </c>
      <c r="B1153" s="1832">
        <f>'Expenditures 15-22'!K115</f>
        <v>-67231</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7411</v>
      </c>
      <c r="D1237" s="2" t="str">
        <f t="shared" si="18"/>
        <v>Error?</v>
      </c>
    </row>
    <row r="1238" spans="1:4" x14ac:dyDescent="0.2">
      <c r="A1238" s="10">
        <v>1177</v>
      </c>
      <c r="B1238" s="1832"/>
      <c r="D1238" s="2" t="str">
        <f t="shared" si="18"/>
        <v>OK</v>
      </c>
    </row>
    <row r="1239" spans="1:4" x14ac:dyDescent="0.2">
      <c r="A1239" s="5">
        <v>1178</v>
      </c>
      <c r="B1239" s="1832">
        <f>'Expenditures 15-22'!E127</f>
        <v>7411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7411</v>
      </c>
      <c r="C1241" s="2" t="s">
        <v>569</v>
      </c>
      <c r="D1241" s="2" t="str">
        <f t="shared" si="18"/>
        <v>Error?</v>
      </c>
    </row>
    <row r="1242" spans="1:4" x14ac:dyDescent="0.2">
      <c r="A1242" s="5">
        <v>1181</v>
      </c>
      <c r="B1242" s="1832">
        <f>'Expenditures 15-22'!E151</f>
        <v>7411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2067</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2067</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2067</v>
      </c>
      <c r="C1258" s="2" t="s">
        <v>569</v>
      </c>
      <c r="D1258" s="2" t="str">
        <f t="shared" si="18"/>
        <v>Error?</v>
      </c>
    </row>
    <row r="1259" spans="1:4" x14ac:dyDescent="0.2">
      <c r="A1259" s="5">
        <v>1198</v>
      </c>
      <c r="B1259" s="1832">
        <f>'Expenditures 15-22'!G151</f>
        <v>2067</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9478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9478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9478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9478</v>
      </c>
      <c r="C1288" s="2" t="s">
        <v>569</v>
      </c>
      <c r="D1288" s="2" t="str">
        <f t="shared" si="19"/>
        <v>Error?</v>
      </c>
    </row>
    <row r="1289" spans="1:4" x14ac:dyDescent="0.2">
      <c r="A1289" s="5">
        <v>1228</v>
      </c>
      <c r="B1289" s="1832">
        <f>'Expenditures 15-22'!K152</f>
        <v>-913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86827</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315000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401827</v>
      </c>
      <c r="C1317" s="2" t="s">
        <v>569</v>
      </c>
      <c r="D1317" s="2" t="str">
        <f t="shared" si="19"/>
        <v>Error?</v>
      </c>
    </row>
    <row r="1318" spans="1:4" x14ac:dyDescent="0.2">
      <c r="A1318" s="5">
        <v>1257</v>
      </c>
      <c r="B1318" s="1832">
        <f>'Expenditures 15-22'!H174</f>
        <v>401827</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86827</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315000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401827</v>
      </c>
      <c r="C1331" s="2" t="s">
        <v>569</v>
      </c>
      <c r="D1331" s="2" t="str">
        <f t="shared" si="19"/>
        <v>Error?</v>
      </c>
    </row>
    <row r="1332" spans="1:4" x14ac:dyDescent="0.2">
      <c r="A1332" s="5">
        <v>1271</v>
      </c>
      <c r="B1332" s="1832">
        <f>'Expenditures 15-22'!K174</f>
        <v>401827</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12643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-54588</v>
      </c>
      <c r="C1630" s="2" t="s">
        <v>569</v>
      </c>
      <c r="D1630" s="2" t="str">
        <f t="shared" si="24"/>
        <v>Error?</v>
      </c>
    </row>
    <row r="1631" spans="1:4" x14ac:dyDescent="0.2">
      <c r="A1631" s="5">
        <v>1570</v>
      </c>
      <c r="B1631" s="1832">
        <f>'Acct Summary 7-8'!D79</f>
        <v>198167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197254</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2825000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5131509</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225798</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5357307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36700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36700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5131509</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262498</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5394007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0</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0</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0</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5131509</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262498</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5394007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439</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5559</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1527938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678899</v>
      </c>
      <c r="C2553" s="2" t="s">
        <v>569</v>
      </c>
      <c r="D2553" s="2" t="str">
        <f t="shared" si="38"/>
        <v>Error?</v>
      </c>
    </row>
    <row r="2554" spans="1:4" x14ac:dyDescent="0.2">
      <c r="A2554" s="5">
        <v>2493</v>
      </c>
      <c r="B2554" s="1832">
        <f>'Acct Summary 7-8'!C7</f>
        <v>237595</v>
      </c>
      <c r="C2554" s="2" t="s">
        <v>569</v>
      </c>
      <c r="D2554" s="2" t="str">
        <f t="shared" si="38"/>
        <v>Error?</v>
      </c>
    </row>
    <row r="2555" spans="1:4" x14ac:dyDescent="0.2">
      <c r="A2555" s="5">
        <v>2494</v>
      </c>
      <c r="B2555" s="1832">
        <f>'Acct Summary 7-8'!C8</f>
        <v>2444432</v>
      </c>
      <c r="C2555" s="2" t="s">
        <v>569</v>
      </c>
      <c r="D2555" s="2" t="str">
        <f t="shared" si="38"/>
        <v>Error?</v>
      </c>
    </row>
    <row r="2556" spans="1:4" x14ac:dyDescent="0.2">
      <c r="A2556" s="5">
        <v>2495</v>
      </c>
      <c r="B2556" s="1832">
        <f>'Acct Summary 7-8'!C12</f>
        <v>1111034</v>
      </c>
      <c r="C2556" s="2" t="s">
        <v>569</v>
      </c>
      <c r="D2556" s="2" t="str">
        <f t="shared" si="38"/>
        <v>Error?</v>
      </c>
    </row>
    <row r="2557" spans="1:4" x14ac:dyDescent="0.2">
      <c r="A2557" s="5">
        <v>2496</v>
      </c>
      <c r="B2557" s="1832">
        <f>'Acct Summary 7-8'!C13</f>
        <v>1395070</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5559</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2511663</v>
      </c>
      <c r="C2561" s="2" t="s">
        <v>569</v>
      </c>
      <c r="D2561" s="2" t="str">
        <f t="shared" si="39"/>
        <v>Error?</v>
      </c>
    </row>
    <row r="2562" spans="1:4" x14ac:dyDescent="0.2">
      <c r="A2562" s="5">
        <v>2501</v>
      </c>
      <c r="B2562" s="1832">
        <f>'Acct Summary 7-8'!C20</f>
        <v>-67231</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8565</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8565</v>
      </c>
      <c r="C2568" s="2" t="s">
        <v>569</v>
      </c>
      <c r="D2568" s="2" t="str">
        <f t="shared" si="39"/>
        <v>Error?</v>
      </c>
    </row>
    <row r="2569" spans="1:4" x14ac:dyDescent="0.2">
      <c r="A2569" s="5">
        <v>2508</v>
      </c>
      <c r="B2569" s="1832">
        <f>'Acct Summary 7-8'!D13</f>
        <v>9478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9478</v>
      </c>
      <c r="C2573" s="2" t="s">
        <v>569</v>
      </c>
      <c r="D2573" s="2" t="str">
        <f t="shared" si="39"/>
        <v>Error?</v>
      </c>
    </row>
    <row r="2574" spans="1:4" x14ac:dyDescent="0.2">
      <c r="A2574" s="5">
        <v>2513</v>
      </c>
      <c r="B2574" s="1832">
        <f>'Acct Summary 7-8'!D20</f>
        <v>-913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401827</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401827</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401827</v>
      </c>
      <c r="C2634" s="2" t="s">
        <v>569</v>
      </c>
      <c r="D2634" s="2" t="str">
        <f t="shared" si="40"/>
        <v>Error?</v>
      </c>
    </row>
    <row r="2635" spans="1:4" x14ac:dyDescent="0.2">
      <c r="A2635" s="5">
        <v>2574</v>
      </c>
      <c r="B2635" s="1832">
        <f>'Acct Summary 7-8'!E17</f>
        <v>401827</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5120</v>
      </c>
      <c r="C2789" s="2" t="s">
        <v>569</v>
      </c>
      <c r="D2789" s="2" t="str">
        <f t="shared" si="42"/>
        <v>Error?</v>
      </c>
    </row>
    <row r="2790" spans="1:4" x14ac:dyDescent="0.2">
      <c r="A2790" s="5">
        <v>2729</v>
      </c>
      <c r="B2790" s="1832">
        <f>'Expenditures 15-22'!E102</f>
        <v>5120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5120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439</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5559</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-67231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-913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400045</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32225</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3660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7837</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443767</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508212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14385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14759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2459191</v>
      </c>
      <c r="C4122" s="2" t="s">
        <v>569</v>
      </c>
      <c r="D4122" s="2" t="str">
        <f t="shared" si="63"/>
        <v>Error?</v>
      </c>
    </row>
    <row r="4123" spans="1:4" x14ac:dyDescent="0.2">
      <c r="A4123" s="5">
        <v>4062</v>
      </c>
      <c r="B4123" s="1832">
        <f>'Acct Summary 7-8'!D10</f>
        <v>8565</v>
      </c>
      <c r="C4123" s="2" t="s">
        <v>569</v>
      </c>
      <c r="D4123" s="2" t="str">
        <f t="shared" si="63"/>
        <v>Error?</v>
      </c>
    </row>
    <row r="4124" spans="1:4" x14ac:dyDescent="0.2">
      <c r="A4124" s="5">
        <v>4063</v>
      </c>
      <c r="B4124" s="1832">
        <f>'Acct Summary 7-8'!E10</f>
        <v>401827</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14759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2526422</v>
      </c>
      <c r="C4136" s="2" t="s">
        <v>569</v>
      </c>
      <c r="D4136" s="2" t="str">
        <f t="shared" si="63"/>
        <v>Error?</v>
      </c>
    </row>
    <row r="4137" spans="1:4" x14ac:dyDescent="0.2">
      <c r="A4137" s="5">
        <v>4076</v>
      </c>
      <c r="B4137" s="1832">
        <f>'Acct Summary 7-8'!D19</f>
        <v>9478</v>
      </c>
      <c r="C4137" s="2" t="s">
        <v>569</v>
      </c>
      <c r="D4137" s="2" t="str">
        <f t="shared" si="63"/>
        <v>Error?</v>
      </c>
    </row>
    <row r="4138" spans="1:4" x14ac:dyDescent="0.2">
      <c r="A4138" s="5">
        <v>4077</v>
      </c>
      <c r="B4138" s="1832">
        <f>'Acct Summary 7-8'!E19</f>
        <v>401827</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2510000</v>
      </c>
      <c r="C4171" s="2" t="s">
        <v>569</v>
      </c>
      <c r="D4171" s="2" t="str">
        <f t="shared" si="64"/>
        <v>Error?</v>
      </c>
    </row>
    <row r="4172" spans="1:4" x14ac:dyDescent="0.2">
      <c r="A4172" s="5">
        <v>4111</v>
      </c>
      <c r="B4172" s="1832">
        <f>'Short-Term Long-Term Debt 24'!J49</f>
        <v>2510000</v>
      </c>
      <c r="C4172" s="2" t="s">
        <v>569</v>
      </c>
      <c r="D4172" s="2" t="str">
        <f t="shared" si="64"/>
        <v>Error?</v>
      </c>
    </row>
    <row r="4173" spans="1:4" x14ac:dyDescent="0.2">
      <c r="A4173" s="5">
        <v>4112</v>
      </c>
      <c r="B4173" s="1832">
        <f>'Short-Term Long-Term Debt 24'!H49</f>
        <v>315000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142666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25931</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138675</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34240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112863</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f>'FP Info 3'!H31</f>
        <v>0</v>
      </c>
      <c r="D4996" s="2" t="str">
        <f t="shared" si="77"/>
        <v>Error?</v>
      </c>
    </row>
    <row r="4997" spans="1:4" x14ac:dyDescent="0.2">
      <c r="A4997" s="12">
        <v>4936</v>
      </c>
      <c r="B4997" s="1832">
        <f>'FP Info 3'!H37</f>
        <v>2510000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828030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576013</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1404043</v>
      </c>
      <c r="C5087" s="2" t="s">
        <v>569</v>
      </c>
      <c r="D5087" s="2" t="str">
        <f t="shared" si="78"/>
        <v>Error?</v>
      </c>
    </row>
    <row r="5088" spans="1:4" x14ac:dyDescent="0.2">
      <c r="A5088" s="5">
        <v>5027</v>
      </c>
      <c r="B5088" s="1832">
        <f>'Revenues 9-14'!C65</f>
        <v>3355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3355</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13206</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13206</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45794</v>
      </c>
      <c r="D5114" s="2" t="str">
        <f t="shared" si="78"/>
        <v>Error?</v>
      </c>
    </row>
    <row r="5115" spans="1:4" x14ac:dyDescent="0.2">
      <c r="A5115" s="5">
        <v>5054</v>
      </c>
      <c r="B5115" s="1832">
        <f>'Revenues 9-14'!C98</f>
        <v>25000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2300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107334</v>
      </c>
      <c r="C5120" s="2" t="s">
        <v>569</v>
      </c>
      <c r="D5120" s="2" t="str">
        <f t="shared" si="79"/>
        <v>Error?</v>
      </c>
    </row>
    <row r="5121" spans="1:4" x14ac:dyDescent="0.2">
      <c r="A5121" s="5">
        <v>5060</v>
      </c>
      <c r="B5121" s="1832">
        <f>'Revenues 9-14'!C109</f>
        <v>1527938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202391</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202391</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363139</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363139</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506</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476508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678899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23653</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9205</v>
      </c>
      <c r="D5241" s="2" t="str">
        <f t="shared" si="80"/>
        <v>Error?</v>
      </c>
    </row>
    <row r="5242" spans="1:4" x14ac:dyDescent="0.2">
      <c r="A5242" s="5">
        <v>5181</v>
      </c>
      <c r="B5242" s="1832">
        <f>'Revenues 9-14'!C194</f>
        <v>40131</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98920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138675</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237595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237595</v>
      </c>
      <c r="C5326" s="2" t="s">
        <v>569</v>
      </c>
      <c r="D5326" s="2" t="str">
        <f t="shared" si="82"/>
        <v>Error?</v>
      </c>
    </row>
    <row r="5327" spans="1:5" x14ac:dyDescent="0.2">
      <c r="A5327" s="5">
        <v>5266</v>
      </c>
      <c r="B5327" s="1832">
        <f>'Revenues 9-14'!C268</f>
        <v>2444432</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2538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2538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6027</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6027</v>
      </c>
      <c r="C5355" s="2" t="s">
        <v>569</v>
      </c>
      <c r="D5355" s="2" t="str">
        <f t="shared" si="82"/>
        <v>Error?</v>
      </c>
    </row>
    <row r="5356" spans="1:4" x14ac:dyDescent="0.2">
      <c r="A5356" s="5">
        <v>5295</v>
      </c>
      <c r="B5356" s="1832">
        <f>'Revenues 9-14'!D109</f>
        <v>8565</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8565</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401827</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401827</v>
      </c>
      <c r="C5526" s="2" t="s">
        <v>569</v>
      </c>
      <c r="D5526" s="2" t="str">
        <f t="shared" si="85"/>
        <v>Error?</v>
      </c>
    </row>
    <row r="5527" spans="1:4" x14ac:dyDescent="0.2">
      <c r="A5527" s="5">
        <v>5466</v>
      </c>
      <c r="B5527" s="1832">
        <f>'Revenues 9-14'!E109</f>
        <v>401827</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401827</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99965</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21161</v>
      </c>
      <c r="D6142" s="2" t="str">
        <f t="shared" si="94"/>
        <v>Error?</v>
      </c>
      <c r="E6142" s="2" t="s">
        <v>189</v>
      </c>
    </row>
    <row r="6143" spans="1:5" x14ac:dyDescent="0.2">
      <c r="A6143">
        <v>6082</v>
      </c>
      <c r="B6143" s="1832">
        <f>'Assets-Liab 5-6'!D27</f>
        <v>1830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88304</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-67231</v>
      </c>
      <c r="D6267" s="2" t="str">
        <f t="shared" si="96"/>
        <v>Error?</v>
      </c>
      <c r="E6267" s="2" t="s">
        <v>189</v>
      </c>
    </row>
    <row r="6268" spans="1:5" x14ac:dyDescent="0.2">
      <c r="A6268">
        <v>6207</v>
      </c>
      <c r="B6268" s="1832">
        <f>'Acct Summary 7-8'!D82</f>
        <v>-913</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1.2316076793434454</v>
      </c>
      <c r="D6276" s="2" t="str">
        <f t="shared" si="97"/>
        <v>Error?</v>
      </c>
      <c r="E6276" s="2" t="s">
        <v>189</v>
      </c>
    </row>
    <row r="6277" spans="1:5" x14ac:dyDescent="0.2">
      <c r="A6277">
        <v>6216</v>
      </c>
      <c r="B6277" s="1832">
        <f>'Acct Summary 7-8'!D83</f>
        <v>-4.6285499913816704E-3</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1</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1</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4285000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2922968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359326</v>
      </c>
      <c r="D7834" s="2" t="str">
        <f t="shared" si="129"/>
        <v>Error?</v>
      </c>
      <c r="E7834" s="4" t="s">
        <v>1998</v>
      </c>
    </row>
    <row r="7835" spans="1:5" x14ac:dyDescent="0.2">
      <c r="A7835">
        <v>7774</v>
      </c>
      <c r="B7835" s="1832">
        <f>'PCTC-OEPP 27-28'!F78</f>
        <v>2563642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13206</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25000</v>
      </c>
      <c r="D7840" s="2" t="str">
        <f t="shared" si="129"/>
        <v>Error?</v>
      </c>
      <c r="E7840" s="4" t="s">
        <v>1998</v>
      </c>
    </row>
    <row r="7841" spans="1:5" x14ac:dyDescent="0.2">
      <c r="A7841">
        <v>7780</v>
      </c>
      <c r="B7841" s="1832">
        <f>'PCTC-OEPP 27-28'!F104</f>
        <v>442094</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363139</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112863</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98920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138675</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1194403</v>
      </c>
      <c r="D7877" s="2" t="str">
        <f t="shared" si="129"/>
        <v>Error?</v>
      </c>
      <c r="E7877" s="4" t="s">
        <v>1998</v>
      </c>
    </row>
    <row r="7878" spans="1:5" x14ac:dyDescent="0.2">
      <c r="A7878">
        <v>7817</v>
      </c>
      <c r="B7878" s="1832">
        <f>'PCTC-OEPP 27-28'!F176</f>
        <v>1369239</v>
      </c>
      <c r="D7878" s="2" t="str">
        <f t="shared" si="129"/>
        <v>Error?</v>
      </c>
      <c r="E7878" s="4" t="s">
        <v>1998</v>
      </c>
    </row>
    <row r="7879" spans="1:5" x14ac:dyDescent="0.2">
      <c r="A7879">
        <v>7818</v>
      </c>
      <c r="B7879" s="1832">
        <f>'PCTC-OEPP 27-28'!F178</f>
        <v>1369239</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3"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Kishwaukee Education Consortium</v>
      </c>
      <c r="B7" s="2536"/>
      <c r="C7" s="2536"/>
      <c r="D7" s="2537"/>
      <c r="E7" s="2538">
        <f>COVER!A13</f>
        <v>16000000046</v>
      </c>
      <c r="F7" s="2539"/>
      <c r="G7" s="2545" t="str">
        <f>COVER!T23</f>
        <v>066-003284</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Sikich LLP</v>
      </c>
      <c r="H9" s="2551"/>
      <c r="I9" s="2551"/>
      <c r="J9" s="2551"/>
      <c r="K9" s="2551"/>
      <c r="L9" s="2552"/>
    </row>
    <row r="10" spans="1:29" ht="13.5" customHeight="1" x14ac:dyDescent="0.2">
      <c r="A10" s="2524">
        <f>COVER!A38</f>
        <v>0</v>
      </c>
      <c r="B10" s="2525"/>
      <c r="C10" s="2525"/>
      <c r="D10" s="2525"/>
      <c r="E10" s="2525"/>
      <c r="F10" s="2526"/>
      <c r="G10" s="2518" t="str">
        <f>COVER!T17</f>
        <v>1415 W. Diehl Rd., Suite 400</v>
      </c>
      <c r="H10" s="2519"/>
      <c r="I10" s="2519"/>
      <c r="J10" s="2519"/>
      <c r="K10" s="2519"/>
      <c r="L10" s="2520"/>
    </row>
    <row r="11" spans="1:29" ht="13.5" customHeight="1" x14ac:dyDescent="0.2">
      <c r="A11" s="963" t="s">
        <v>1502</v>
      </c>
      <c r="B11" s="964"/>
      <c r="C11" s="965"/>
      <c r="D11" s="970"/>
      <c r="E11" s="965"/>
      <c r="F11" s="969"/>
      <c r="G11" s="2518" t="str">
        <f>COVER!T19</f>
        <v>Naperville</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brian.lefevre@sikich.com</v>
      </c>
      <c r="J13" s="2531"/>
      <c r="K13" s="2531"/>
      <c r="L13" s="2532"/>
    </row>
    <row r="14" spans="1:29" ht="13.5" customHeight="1" x14ac:dyDescent="0.2">
      <c r="A14" s="2518" t="str">
        <f>COVER!A19</f>
        <v>21255 Malta Road</v>
      </c>
      <c r="B14" s="2519"/>
      <c r="C14" s="2519"/>
      <c r="D14" s="2519"/>
      <c r="E14" s="2519"/>
      <c r="F14" s="2520"/>
      <c r="G14" s="974" t="s">
        <v>1175</v>
      </c>
      <c r="H14" s="972"/>
      <c r="I14" s="972"/>
      <c r="J14" s="972"/>
      <c r="K14" s="972"/>
      <c r="L14" s="973"/>
    </row>
    <row r="15" spans="1:29" ht="13.5" customHeight="1" x14ac:dyDescent="0.2">
      <c r="A15" s="2518" t="str">
        <f>COVER!A21</f>
        <v>Malta</v>
      </c>
      <c r="B15" s="2519"/>
      <c r="C15" s="2519"/>
      <c r="D15" s="2519"/>
      <c r="E15" s="2519"/>
      <c r="F15" s="2520"/>
      <c r="G15" s="2515" t="str">
        <f>COVER!T15</f>
        <v>Brian D. LeFevre, Partner</v>
      </c>
      <c r="H15" s="2516"/>
      <c r="I15" s="2516"/>
      <c r="J15" s="2516"/>
      <c r="K15" s="2516"/>
      <c r="L15" s="2517"/>
    </row>
    <row r="16" spans="1:29" ht="12.2" customHeight="1" x14ac:dyDescent="0.2">
      <c r="A16" s="2541">
        <f>COVER!A25</f>
        <v>60150</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630-566-8400</v>
      </c>
      <c r="H18" s="2536"/>
      <c r="I18" s="2536"/>
      <c r="J18" s="2536"/>
      <c r="K18" s="2535" t="str">
        <f>COVER!X21</f>
        <v>630-566-8401</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Kishwaukee Education Consortium</v>
      </c>
      <c r="B1" s="2558"/>
      <c r="C1" s="2558"/>
      <c r="D1" s="2558"/>
    </row>
    <row r="2" spans="1:11" s="991" customFormat="1" ht="12.75" x14ac:dyDescent="0.2">
      <c r="A2" s="2559">
        <f>'Single Audit Cover'!E7</f>
        <v>16000000046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Kishwaukee Education Consortium</v>
      </c>
      <c r="B1" s="2562"/>
      <c r="C1" s="2562"/>
      <c r="D1" s="2562"/>
      <c r="E1" s="2562"/>
    </row>
    <row r="2" spans="1:5" x14ac:dyDescent="0.2">
      <c r="A2" s="2563">
        <f>'Single Audit Cover'!E7</f>
        <v>16000000046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237595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237595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237595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237595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Kishwaukee Education Consortium</v>
      </c>
      <c r="C1" s="2566"/>
      <c r="D1" s="2566"/>
      <c r="E1" s="2566"/>
      <c r="F1" s="2566"/>
      <c r="G1" s="2566"/>
      <c r="H1" s="2566"/>
      <c r="I1" s="2566"/>
      <c r="J1" s="2566"/>
      <c r="K1" s="2566"/>
      <c r="L1" s="2566"/>
      <c r="M1" s="2566"/>
    </row>
    <row r="2" spans="2:14" ht="15" x14ac:dyDescent="0.2">
      <c r="B2" s="2567">
        <f>'Single Audit Cover'!E7</f>
        <v>16000000046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Kishwaukee Education Consortium</v>
      </c>
      <c r="B1" s="2579"/>
      <c r="C1" s="2579"/>
      <c r="D1" s="2579"/>
      <c r="E1" s="2579"/>
      <c r="F1" s="2579"/>
    </row>
    <row r="2" spans="1:7" ht="13.5" customHeight="1" x14ac:dyDescent="0.2">
      <c r="A2" s="2567">
        <f>'Single Audit Cover'!E7</f>
        <v>16000000046</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2" colorId="8" zoomScaleNormal="100" workbookViewId="0">
      <selection activeCell="D24" sqref="D2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v>1</v>
      </c>
      <c r="G85" s="1544"/>
      <c r="H85" s="1544"/>
      <c r="I85" s="1904"/>
      <c r="J85" s="1727">
        <f>SUM(E85:I85)</f>
        <v>1</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1</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2056</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2071</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Kishwaukee Education Consortium</v>
      </c>
      <c r="C1" s="2594"/>
      <c r="D1" s="2594"/>
      <c r="E1" s="2594"/>
      <c r="F1" s="2594"/>
      <c r="G1" s="2594"/>
      <c r="H1" s="2594"/>
      <c r="I1" s="2594"/>
      <c r="J1" s="1178"/>
    </row>
    <row r="2" spans="2:10" s="295" customFormat="1" ht="12.75" customHeight="1" x14ac:dyDescent="0.2">
      <c r="B2" s="2595">
        <f>'Single Audit Cover'!E7</f>
        <v>16000000046</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8" t="str">
        <f>"Total Federal Expenditures for 7/1/"&amp;MID('AFR20'!E2,3,2)-1&amp;"-6/30/"&amp;MID('AFR20'!E2,3,2)</f>
        <v>Total Federal Expenditures for 7/1/19-6/30/20</v>
      </c>
      <c r="C45" s="1919"/>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Kishwaukee Education Consortium</v>
      </c>
      <c r="C1" s="2593"/>
      <c r="D1" s="2593"/>
      <c r="E1" s="2593"/>
      <c r="F1" s="2593"/>
      <c r="G1" s="2593"/>
      <c r="H1" s="2593"/>
      <c r="I1" s="2593"/>
      <c r="J1" s="2593"/>
      <c r="K1" s="2593"/>
      <c r="L1" s="1144"/>
      <c r="M1" s="1144"/>
    </row>
    <row r="2" spans="1:13" ht="12" customHeight="1" x14ac:dyDescent="0.2">
      <c r="B2" s="2595">
        <f>'Single Audit Cover'!E7</f>
        <v>16000000046</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Kishwaukee Education Consortium</v>
      </c>
      <c r="C1" s="2616"/>
      <c r="D1" s="2616"/>
      <c r="E1" s="2616"/>
      <c r="F1" s="2616"/>
      <c r="G1" s="2616"/>
      <c r="H1" s="2616"/>
      <c r="I1" s="2616"/>
      <c r="J1" s="2616"/>
      <c r="K1" s="2616"/>
      <c r="L1" s="1221"/>
    </row>
    <row r="2" spans="1:12" ht="12.75" customHeight="1" x14ac:dyDescent="0.2">
      <c r="B2" s="2617">
        <f>'Single Audit Cover'!E7</f>
        <v>16000000046</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Kishwaukee Education Consortium</v>
      </c>
      <c r="C1" s="2593"/>
      <c r="D1" s="2593"/>
      <c r="E1" s="1240"/>
    </row>
    <row r="2" spans="2:5" s="1058" customFormat="1" ht="12.75" customHeight="1" x14ac:dyDescent="0.2">
      <c r="B2" s="2595">
        <f>'Single Audit Cover'!E7</f>
        <v>16000000046</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85" zoomScaleNormal="85" workbookViewId="0">
      <selection activeCell="D24" sqref="D2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2452997</v>
      </c>
      <c r="E16" s="1547"/>
      <c r="F16" s="1546">
        <f>SUM('Acct Summary 7-8'!C17,'Acct Summary 7-8'!D17,'Acct Summary 7-8'!F17)</f>
        <v>2521141</v>
      </c>
      <c r="G16" s="1547"/>
      <c r="H16" s="1546">
        <f>SUM(D16-F16)</f>
        <v>-68144</v>
      </c>
      <c r="I16" s="1548"/>
      <c r="J16" s="1546">
        <f>SUM('Acct Summary 7-8'!C81,'Acct Summary 7-8'!D81,'Acct Summary 7-8'!F81,'Acct Summary 7-8'!I81)</f>
        <v>142666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0</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2510000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Normal="100" workbookViewId="0">
      <selection activeCell="D24" sqref="D2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Kishwaukee Education Consortium</v>
      </c>
      <c r="E7" s="368"/>
      <c r="G7" s="247"/>
      <c r="H7" s="364"/>
      <c r="I7" s="364"/>
      <c r="J7" s="364"/>
      <c r="K7" s="364"/>
      <c r="L7" s="307"/>
      <c r="M7" s="307"/>
      <c r="N7" s="307"/>
      <c r="O7" s="307"/>
      <c r="P7" s="307"/>
    </row>
    <row r="8" spans="1:18" ht="12.75" x14ac:dyDescent="0.2">
      <c r="A8" s="307"/>
      <c r="B8" s="307"/>
      <c r="C8" s="366" t="s">
        <v>1115</v>
      </c>
      <c r="D8" s="369">
        <f>COVER!A13</f>
        <v>16000000046</v>
      </c>
      <c r="E8" s="370"/>
      <c r="G8" s="307"/>
      <c r="H8" s="307"/>
      <c r="I8" s="307"/>
      <c r="J8" s="307"/>
      <c r="K8" s="307"/>
      <c r="L8" s="307"/>
      <c r="M8" s="307"/>
      <c r="N8" s="307"/>
      <c r="O8" s="307"/>
      <c r="P8" s="307"/>
    </row>
    <row r="9" spans="1:18" ht="12.75" x14ac:dyDescent="0.2">
      <c r="A9" s="307"/>
      <c r="B9" s="307"/>
      <c r="C9" s="366" t="s">
        <v>708</v>
      </c>
      <c r="D9" s="371" t="str">
        <f>COVER!A15</f>
        <v>DeKalb</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2</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142666</v>
      </c>
      <c r="I12" s="380"/>
      <c r="J12" s="380"/>
      <c r="K12" s="1559">
        <f>TRUNC((H12/H13*100000),5)/100000</f>
        <v>5.8159875399999998E-2</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2452997</v>
      </c>
      <c r="I13" s="380"/>
      <c r="J13" s="380"/>
      <c r="K13" s="1558"/>
      <c r="L13" s="213"/>
      <c r="M13" s="337" t="s">
        <v>1135</v>
      </c>
      <c r="N13" s="337"/>
      <c r="O13" s="1563">
        <f>(O11*O12)</f>
        <v>0.7</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2521141</v>
      </c>
      <c r="I17" s="380"/>
      <c r="J17" s="389"/>
      <c r="K17" s="1559">
        <f>TRUNC((H17/H18*100000),5)/100000</f>
        <v>1.0277798953000001</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2452997</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-1.5061296</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707296</v>
      </c>
      <c r="I24" s="394"/>
      <c r="J24" s="394"/>
      <c r="K24" s="1555">
        <f>TRUNC(((H24/H25*100000)/100000),2)</f>
        <v>100.99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7003.1694399999997</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#DIV/0!</v>
      </c>
      <c r="P31" s="211"/>
    </row>
    <row r="32" spans="1:18" s="382" customFormat="1" ht="11.25" x14ac:dyDescent="0.2">
      <c r="A32" s="213"/>
      <c r="B32" s="377"/>
      <c r="C32" s="213" t="s">
        <v>842</v>
      </c>
      <c r="D32" s="213"/>
      <c r="E32" s="213"/>
      <c r="F32" s="213"/>
      <c r="G32" s="378"/>
      <c r="H32" s="1551">
        <f>'FP Info 3'!H37</f>
        <v>2510000</v>
      </c>
      <c r="I32" s="392"/>
      <c r="J32" s="392"/>
      <c r="K32" s="1555" t="e">
        <f>TRUNC(100-((((H32/H33*100))*100)/100),2)</f>
        <v>#DIV/0!</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0</v>
      </c>
      <c r="I33" s="392"/>
      <c r="J33" s="392"/>
      <c r="K33" s="379"/>
      <c r="L33" s="213"/>
      <c r="M33" s="401" t="s">
        <v>1135</v>
      </c>
      <c r="N33" s="401"/>
      <c r="O33" s="1568" t="e">
        <f>(O31*O32)</f>
        <v>#DIV/0!</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85" zoomScaleNormal="85" workbookViewId="0">
      <pane ySplit="2" topLeftCell="A3" activePane="bottomLeft" state="frozen"/>
      <selection activeCell="D24" sqref="D24"/>
      <selection pane="bottomLeft" activeCell="D24" sqref="D2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508212</v>
      </c>
      <c r="D4" s="1573">
        <v>14385</v>
      </c>
      <c r="E4" s="1573"/>
      <c r="F4" s="1573"/>
      <c r="G4" s="1573"/>
      <c r="H4" s="1573"/>
      <c r="I4" s="1573"/>
      <c r="J4" s="1574"/>
      <c r="K4" s="1573"/>
      <c r="L4" s="1573"/>
      <c r="M4" s="1575"/>
      <c r="N4" s="1576"/>
    </row>
    <row r="5" spans="1:14" x14ac:dyDescent="0.2">
      <c r="A5" s="427" t="s">
        <v>985</v>
      </c>
      <c r="B5" s="429">
        <v>120</v>
      </c>
      <c r="C5" s="1572"/>
      <c r="D5" s="1573">
        <v>184699</v>
      </c>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v>99965</v>
      </c>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608177</v>
      </c>
      <c r="D13" s="1587">
        <f t="shared" ref="D13:L13" si="0">SUM(D4:D12)</f>
        <v>199084</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5131509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262498</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2510000</v>
      </c>
    </row>
    <row r="23" spans="1:14" ht="13.5" customHeight="1" thickBot="1" x14ac:dyDescent="0.25">
      <c r="A23" s="1426" t="s">
        <v>638</v>
      </c>
      <c r="B23" s="1429"/>
      <c r="C23" s="1575"/>
      <c r="D23" s="1575"/>
      <c r="E23" s="1575"/>
      <c r="F23" s="1575"/>
      <c r="G23" s="1575"/>
      <c r="H23" s="1575"/>
      <c r="I23" s="1575"/>
      <c r="J23" s="1575"/>
      <c r="K23" s="1575"/>
      <c r="L23" s="1575"/>
      <c r="M23" s="1594">
        <f>SUM(M15:M22)</f>
        <v>5394007</v>
      </c>
      <c r="N23" s="1594">
        <f>SUM(N21:N22)</f>
        <v>2510000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v>21161</v>
      </c>
      <c r="D27" s="1574">
        <v>1830</v>
      </c>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88304</v>
      </c>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v>553300</v>
      </c>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662765</v>
      </c>
      <c r="D34" s="1600">
        <f t="shared" ref="D34:K34" si="1">SUM(D25:D33)</f>
        <v>1830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2510000</v>
      </c>
    </row>
    <row r="37" spans="1:14" ht="13.5" thickBot="1" x14ac:dyDescent="0.25">
      <c r="A37" s="1426" t="s">
        <v>648</v>
      </c>
      <c r="B37" s="1429"/>
      <c r="C37" s="1582"/>
      <c r="D37" s="1582"/>
      <c r="E37" s="1582"/>
      <c r="F37" s="1582"/>
      <c r="G37" s="1582"/>
      <c r="H37" s="1582"/>
      <c r="I37" s="1582"/>
      <c r="J37" s="1582"/>
      <c r="K37" s="1582"/>
      <c r="L37" s="1585"/>
      <c r="M37" s="1575"/>
      <c r="N37" s="1594">
        <f>SUM(N36:N36)</f>
        <v>2510000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f>'Acct Summary 7-8'!C81</f>
        <v>-54588</v>
      </c>
      <c r="D39" s="1573">
        <f>'Acct Summary 7-8'!D81</f>
        <v>197254</v>
      </c>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5394007</v>
      </c>
      <c r="N40" s="1604"/>
    </row>
    <row r="41" spans="1:14" ht="13.5" customHeight="1" thickBot="1" x14ac:dyDescent="0.25">
      <c r="A41" s="1426" t="s">
        <v>650</v>
      </c>
      <c r="B41" s="1405"/>
      <c r="C41" s="1594">
        <f>(SUM(C34,C37,C38,C39))</f>
        <v>608177</v>
      </c>
      <c r="D41" s="1594">
        <f t="shared" ref="D41:L41" si="2">SUM(D34,D37,D38:D39)</f>
        <v>199084</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5394007</v>
      </c>
      <c r="N41" s="1594">
        <f>SUM(N37)</f>
        <v>2510000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90" zoomScaleNormal="90" zoomScaleSheetLayoutView="100" workbookViewId="0">
      <pane ySplit="2" topLeftCell="A72" activePane="bottomLeft" state="frozen"/>
      <selection activeCell="D24" sqref="D24"/>
      <selection pane="bottomLeft" activeCell="D24" sqref="D2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1527938</v>
      </c>
      <c r="D4" s="1606">
        <f>'Revenues 9-14'!D109</f>
        <v>8565</v>
      </c>
      <c r="E4" s="1606">
        <f>'Revenues 9-14'!E109</f>
        <v>401827</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678899</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237595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2444432</v>
      </c>
      <c r="D8" s="1594">
        <f t="shared" ref="D8:K8" si="0">SUM(D4:D7)</f>
        <v>8565</v>
      </c>
      <c r="E8" s="1594">
        <f t="shared" si="0"/>
        <v>401827</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14759</v>
      </c>
      <c r="D9" s="1613"/>
      <c r="E9" s="1586"/>
      <c r="F9" s="1586"/>
      <c r="G9" s="1614"/>
      <c r="H9" s="1586"/>
      <c r="I9" s="1609" t="s">
        <v>1159</v>
      </c>
      <c r="J9" s="1583"/>
      <c r="K9" s="1586"/>
      <c r="L9" s="325"/>
    </row>
    <row r="10" spans="1:13" s="452" customFormat="1" ht="13.5" thickBot="1" x14ac:dyDescent="0.25">
      <c r="A10" s="1426" t="s">
        <v>1163</v>
      </c>
      <c r="B10" s="1407"/>
      <c r="C10" s="1594">
        <f>SUM(C8:C9)</f>
        <v>2459191</v>
      </c>
      <c r="D10" s="1594">
        <f t="shared" ref="D10:K10" si="1">SUM(D8:D9)</f>
        <v>8565</v>
      </c>
      <c r="E10" s="1594">
        <f t="shared" si="1"/>
        <v>401827</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1111034</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1395070</v>
      </c>
      <c r="D13" s="1607">
        <f>'Expenditures 15-22'!K129</f>
        <v>9478</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5559</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401827</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2511663</v>
      </c>
      <c r="D17" s="1594">
        <f t="shared" si="2"/>
        <v>9478</v>
      </c>
      <c r="E17" s="1594">
        <f t="shared" si="2"/>
        <v>401827</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14759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2526422</v>
      </c>
      <c r="D19" s="1594">
        <f t="shared" si="4"/>
        <v>9478</v>
      </c>
      <c r="E19" s="1594">
        <f t="shared" si="4"/>
        <v>401827</v>
      </c>
      <c r="F19" s="1594">
        <f t="shared" si="4"/>
        <v>0</v>
      </c>
      <c r="G19" s="1594">
        <f t="shared" si="4"/>
        <v>0</v>
      </c>
      <c r="H19" s="1594">
        <f t="shared" si="4"/>
        <v>0</v>
      </c>
      <c r="I19" s="1575"/>
      <c r="J19" s="1594">
        <f>SUM(J17:J18)</f>
        <v>0</v>
      </c>
      <c r="K19" s="1594">
        <f>SUM(K17:K18)</f>
        <v>0</v>
      </c>
      <c r="L19" s="325"/>
    </row>
    <row r="20" spans="1:12" ht="16.5" thickTop="1" thickBot="1" x14ac:dyDescent="0.25">
      <c r="A20" s="2231" t="s">
        <v>1636</v>
      </c>
      <c r="B20" s="2232"/>
      <c r="C20" s="1622">
        <f>C8-C17</f>
        <v>-67231</v>
      </c>
      <c r="D20" s="1622">
        <f t="shared" ref="D20:K20" si="5">D8-D17</f>
        <v>-913</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-67231</v>
      </c>
      <c r="D78" s="1629">
        <f t="shared" si="9"/>
        <v>-913</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12643</v>
      </c>
      <c r="D79" s="1630">
        <v>198167</v>
      </c>
      <c r="E79" s="1630"/>
      <c r="F79" s="1630"/>
      <c r="G79" s="1630"/>
      <c r="H79" s="1630"/>
      <c r="I79" s="1630"/>
      <c r="J79" s="1630"/>
      <c r="K79" s="1630"/>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-54588</v>
      </c>
      <c r="D81" s="1594">
        <f>SUM(D78:D80)</f>
        <v>197254</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-67231</v>
      </c>
      <c r="D82" s="461">
        <f t="shared" ref="D82:K82" si="11">(D81-D79)</f>
        <v>-913</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1.2316076793434454</v>
      </c>
      <c r="D83" s="463">
        <f t="shared" ref="D83:K83" si="12">D82/D81</f>
        <v>-4.6285499913816704E-3</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85" zoomScaleNormal="85" zoomScaleSheetLayoutView="75" workbookViewId="0">
      <pane ySplit="2" topLeftCell="A182" activePane="bottomLeft" state="frozen"/>
      <selection activeCell="D24" sqref="D24"/>
      <selection pane="bottomLeft" activeCell="C193" sqref="C19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v>828030</v>
      </c>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576013</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1404043</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3355</v>
      </c>
      <c r="D65" s="1573">
        <v>2538</v>
      </c>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3355</v>
      </c>
      <c r="D67" s="1594">
        <f t="shared" ref="D67:K67" si="2">SUM(D65:D66)</f>
        <v>2538</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13206</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13206</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45794</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25000</v>
      </c>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34240</v>
      </c>
      <c r="D104" s="1573">
        <v>6027</v>
      </c>
      <c r="E104" s="1586">
        <v>401827</v>
      </c>
      <c r="F104" s="1574"/>
      <c r="G104" s="1574"/>
      <c r="H104" s="1573"/>
      <c r="I104" s="1575"/>
      <c r="J104" s="1575"/>
      <c r="K104" s="1575"/>
    </row>
    <row r="105" spans="1:12" ht="12.75" customHeight="1" x14ac:dyDescent="0.2">
      <c r="A105" s="427" t="s">
        <v>817</v>
      </c>
      <c r="B105" s="429">
        <v>1992</v>
      </c>
      <c r="C105" s="1573">
        <v>2300</v>
      </c>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c r="E107" s="1573"/>
      <c r="F107" s="1573"/>
      <c r="G107" s="1573"/>
      <c r="H107" s="1573"/>
      <c r="I107" s="1573"/>
      <c r="J107" s="1574"/>
      <c r="K107" s="1573"/>
    </row>
    <row r="108" spans="1:12" ht="12.75" customHeight="1" thickBot="1" x14ac:dyDescent="0.25">
      <c r="A108" s="1406" t="s">
        <v>484</v>
      </c>
      <c r="B108" s="1408"/>
      <c r="C108" s="1633">
        <f>SUM(C95:C107)</f>
        <v>107334</v>
      </c>
      <c r="D108" s="1633">
        <f t="shared" ref="D108:K108" si="3">SUM(D95:D107)</f>
        <v>6027</v>
      </c>
      <c r="E108" s="1633">
        <f t="shared" si="3"/>
        <v>401827</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1527938</v>
      </c>
      <c r="D109" s="1641">
        <f t="shared" si="4"/>
        <v>8565</v>
      </c>
      <c r="E109" s="1641">
        <f t="shared" si="4"/>
        <v>401827</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202391</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202391</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363139</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363139</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506</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112863</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476508</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678899</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23653</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9205</v>
      </c>
      <c r="D193" s="1575"/>
      <c r="E193" s="1640"/>
      <c r="F193" s="1575"/>
      <c r="G193" s="1664"/>
      <c r="H193" s="1575"/>
      <c r="I193" s="1575"/>
      <c r="J193" s="1575"/>
      <c r="K193" s="1575"/>
    </row>
    <row r="194" spans="1:11" ht="12.75" customHeight="1" x14ac:dyDescent="0.2">
      <c r="A194" s="427" t="s">
        <v>1434</v>
      </c>
      <c r="B194" s="429">
        <v>4225</v>
      </c>
      <c r="C194" s="1632">
        <v>40131</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v>25931</v>
      </c>
      <c r="D197" s="1575"/>
      <c r="E197" s="1640"/>
      <c r="F197" s="1575"/>
      <c r="G197" s="1664"/>
      <c r="H197" s="1575"/>
      <c r="I197" s="1575"/>
      <c r="J197" s="1575"/>
      <c r="K197" s="1575"/>
    </row>
    <row r="198" spans="1:11" ht="12.75" customHeight="1" thickBot="1" x14ac:dyDescent="0.25">
      <c r="A198" s="1406" t="s">
        <v>544</v>
      </c>
      <c r="B198" s="1407"/>
      <c r="C198" s="1594">
        <f>SUM(C190:C197)</f>
        <v>98920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v>138675</v>
      </c>
      <c r="D220" s="1573"/>
      <c r="E220" s="1575"/>
      <c r="F220" s="1575"/>
      <c r="G220" s="1573"/>
      <c r="H220" s="1575"/>
      <c r="I220" s="1575"/>
      <c r="J220" s="1575"/>
      <c r="K220" s="1575"/>
    </row>
    <row r="221" spans="1:11" ht="12.75" customHeight="1" thickBot="1" x14ac:dyDescent="0.25">
      <c r="A221" s="1415" t="s">
        <v>1076</v>
      </c>
      <c r="B221" s="1416"/>
      <c r="C221" s="1633">
        <f>SUM(C219:C220)</f>
        <v>138675</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237595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237595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2444432</v>
      </c>
      <c r="D268" s="1641">
        <f t="shared" si="12"/>
        <v>8565</v>
      </c>
      <c r="E268" s="1641">
        <f t="shared" si="12"/>
        <v>401827</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85" zoomScaleNormal="85" workbookViewId="0">
      <pane ySplit="2" topLeftCell="A250" activePane="bottomLeft" state="frozen"/>
      <selection activeCell="D24" sqref="D24"/>
      <selection pane="bottomLeft" activeCell="D24" sqref="D2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416951</v>
      </c>
      <c r="D13" s="1573">
        <v>14491</v>
      </c>
      <c r="E13" s="1573">
        <v>122389</v>
      </c>
      <c r="F13" s="1573">
        <v>69313</v>
      </c>
      <c r="G13" s="1573">
        <v>10654</v>
      </c>
      <c r="H13" s="1573">
        <v>33469</v>
      </c>
      <c r="I13" s="1574"/>
      <c r="J13" s="1574"/>
      <c r="K13" s="1672">
        <f t="shared" si="0"/>
        <v>667267</v>
      </c>
      <c r="L13" s="1573">
        <v>683630</v>
      </c>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v>400045</v>
      </c>
      <c r="D19" s="1573">
        <v>32225</v>
      </c>
      <c r="E19" s="1573">
        <v>3660</v>
      </c>
      <c r="F19" s="1573">
        <v>7837</v>
      </c>
      <c r="G19" s="1573"/>
      <c r="H19" s="1573"/>
      <c r="I19" s="1574"/>
      <c r="J19" s="1574"/>
      <c r="K19" s="1672">
        <f t="shared" si="0"/>
        <v>443767</v>
      </c>
      <c r="L19" s="1573">
        <v>491087</v>
      </c>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816996</v>
      </c>
      <c r="D33" s="1674">
        <f t="shared" ref="D33:L33" si="1">SUM(D5:D32)</f>
        <v>46716</v>
      </c>
      <c r="E33" s="1674">
        <f t="shared" si="1"/>
        <v>126049</v>
      </c>
      <c r="F33" s="1674">
        <f t="shared" si="1"/>
        <v>77150</v>
      </c>
      <c r="G33" s="1674">
        <f t="shared" si="1"/>
        <v>10654</v>
      </c>
      <c r="H33" s="1674">
        <f t="shared" si="1"/>
        <v>33469</v>
      </c>
      <c r="I33" s="1674">
        <f t="shared" si="1"/>
        <v>0</v>
      </c>
      <c r="J33" s="1674">
        <f t="shared" si="1"/>
        <v>0</v>
      </c>
      <c r="K33" s="1674">
        <f t="shared" si="1"/>
        <v>1111034</v>
      </c>
      <c r="L33" s="1674">
        <f t="shared" si="1"/>
        <v>1174717</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120816</v>
      </c>
      <c r="D37" s="1573">
        <v>7937</v>
      </c>
      <c r="E37" s="1573">
        <v>10824</v>
      </c>
      <c r="F37" s="1573">
        <v>2956</v>
      </c>
      <c r="G37" s="1573"/>
      <c r="H37" s="1573"/>
      <c r="I37" s="1574"/>
      <c r="J37" s="1574"/>
      <c r="K37" s="1672">
        <f t="shared" si="2"/>
        <v>142533</v>
      </c>
      <c r="L37" s="1573">
        <v>130061</v>
      </c>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120816</v>
      </c>
      <c r="D42" s="1674">
        <f t="shared" ref="D42:L42" si="3">SUM(D36:D41)</f>
        <v>7937</v>
      </c>
      <c r="E42" s="1674">
        <f t="shared" si="3"/>
        <v>10824</v>
      </c>
      <c r="F42" s="1674">
        <f t="shared" si="3"/>
        <v>2956</v>
      </c>
      <c r="G42" s="1674">
        <f t="shared" si="3"/>
        <v>0</v>
      </c>
      <c r="H42" s="1674">
        <f t="shared" si="3"/>
        <v>0</v>
      </c>
      <c r="I42" s="1674">
        <f t="shared" si="3"/>
        <v>0</v>
      </c>
      <c r="J42" s="1674">
        <f t="shared" si="3"/>
        <v>0</v>
      </c>
      <c r="K42" s="1674">
        <f t="shared" si="3"/>
        <v>142533</v>
      </c>
      <c r="L42" s="1674">
        <f t="shared" si="3"/>
        <v>130061</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117211</v>
      </c>
      <c r="D44" s="1586">
        <v>17727</v>
      </c>
      <c r="E44" s="1586">
        <v>94593</v>
      </c>
      <c r="F44" s="1586">
        <v>1016</v>
      </c>
      <c r="G44" s="1586"/>
      <c r="H44" s="1586"/>
      <c r="I44" s="1574"/>
      <c r="J44" s="1574"/>
      <c r="K44" s="1678">
        <f>SUM(C44:J44)</f>
        <v>230547</v>
      </c>
      <c r="L44" s="1586">
        <v>223172</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117211</v>
      </c>
      <c r="D47" s="1674">
        <f t="shared" ref="D47:K47" si="4">SUM(D44:D46)</f>
        <v>17727</v>
      </c>
      <c r="E47" s="1674">
        <f t="shared" si="4"/>
        <v>94593</v>
      </c>
      <c r="F47" s="1674">
        <f t="shared" si="4"/>
        <v>1016</v>
      </c>
      <c r="G47" s="1674">
        <f t="shared" si="4"/>
        <v>0</v>
      </c>
      <c r="H47" s="1674">
        <f t="shared" si="4"/>
        <v>0</v>
      </c>
      <c r="I47" s="1674">
        <f t="shared" si="4"/>
        <v>0</v>
      </c>
      <c r="J47" s="1674">
        <f t="shared" si="4"/>
        <v>0</v>
      </c>
      <c r="K47" s="1674">
        <f t="shared" si="4"/>
        <v>230547</v>
      </c>
      <c r="L47" s="1674">
        <f>SUM(L44:L46)</f>
        <v>223172</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f>102878+57341</f>
        <v>160219</v>
      </c>
      <c r="D50" s="1573">
        <f>13150+7642</f>
        <v>20792</v>
      </c>
      <c r="E50" s="1573">
        <v>6534</v>
      </c>
      <c r="F50" s="1573">
        <v>990</v>
      </c>
      <c r="G50" s="1573"/>
      <c r="H50" s="1573"/>
      <c r="I50" s="1574"/>
      <c r="J50" s="1574"/>
      <c r="K50" s="1678">
        <f>SUM(C50:J50)</f>
        <v>188535</v>
      </c>
      <c r="L50" s="1573">
        <v>197456</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160219</v>
      </c>
      <c r="D53" s="1674">
        <f t="shared" ref="D53:L53" si="5">SUM(D49:D52)</f>
        <v>20792</v>
      </c>
      <c r="E53" s="1674">
        <f t="shared" si="5"/>
        <v>6534</v>
      </c>
      <c r="F53" s="1674">
        <f t="shared" si="5"/>
        <v>990</v>
      </c>
      <c r="G53" s="1674">
        <f t="shared" si="5"/>
        <v>0</v>
      </c>
      <c r="H53" s="1674">
        <f t="shared" si="5"/>
        <v>0</v>
      </c>
      <c r="I53" s="1674">
        <f t="shared" si="5"/>
        <v>0</v>
      </c>
      <c r="J53" s="1674">
        <f t="shared" si="5"/>
        <v>0</v>
      </c>
      <c r="K53" s="1674">
        <f t="shared" si="5"/>
        <v>188535</v>
      </c>
      <c r="L53" s="1674">
        <f t="shared" si="5"/>
        <v>197456</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f>216621+14375</f>
        <v>230996</v>
      </c>
      <c r="D55" s="1586">
        <f>83044+1169</f>
        <v>84213</v>
      </c>
      <c r="E55" s="1586">
        <v>45301</v>
      </c>
      <c r="F55" s="1586">
        <v>17105</v>
      </c>
      <c r="G55" s="1586"/>
      <c r="H55" s="1586">
        <v>2730</v>
      </c>
      <c r="I55" s="1574"/>
      <c r="J55" s="1574"/>
      <c r="K55" s="1678">
        <f>SUM(C55:J55)</f>
        <v>380345</v>
      </c>
      <c r="L55" s="1586">
        <v>310991</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230996</v>
      </c>
      <c r="D57" s="1679">
        <f t="shared" ref="D57:K57" si="6">SUM(D55:D56)</f>
        <v>84213</v>
      </c>
      <c r="E57" s="1679">
        <f t="shared" si="6"/>
        <v>45301</v>
      </c>
      <c r="F57" s="1679">
        <f t="shared" si="6"/>
        <v>17105</v>
      </c>
      <c r="G57" s="1679">
        <f t="shared" si="6"/>
        <v>0</v>
      </c>
      <c r="H57" s="1679">
        <f t="shared" si="6"/>
        <v>2730</v>
      </c>
      <c r="I57" s="1679">
        <f t="shared" si="6"/>
        <v>0</v>
      </c>
      <c r="J57" s="1679">
        <f t="shared" si="6"/>
        <v>0</v>
      </c>
      <c r="K57" s="1679">
        <f t="shared" si="6"/>
        <v>380345</v>
      </c>
      <c r="L57" s="1674">
        <f>SUM(L55:L56)</f>
        <v>310991</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119593</v>
      </c>
      <c r="D60" s="1573">
        <v>14116</v>
      </c>
      <c r="E60" s="1573"/>
      <c r="F60" s="1573"/>
      <c r="G60" s="1573"/>
      <c r="H60" s="1573"/>
      <c r="I60" s="1574"/>
      <c r="J60" s="1574"/>
      <c r="K60" s="1678">
        <f t="shared" si="7"/>
        <v>133709</v>
      </c>
      <c r="L60" s="1573">
        <v>96195</v>
      </c>
      <c r="M60" s="501"/>
      <c r="N60" s="501"/>
    </row>
    <row r="61" spans="1:14" s="321" customFormat="1" x14ac:dyDescent="0.2">
      <c r="A61" s="1274" t="s">
        <v>195</v>
      </c>
      <c r="B61" s="503">
        <v>2540</v>
      </c>
      <c r="C61" s="1573">
        <v>61181</v>
      </c>
      <c r="D61" s="1573">
        <v>9689</v>
      </c>
      <c r="E61" s="1573">
        <v>92170</v>
      </c>
      <c r="F61" s="1573">
        <v>55723</v>
      </c>
      <c r="G61" s="1573"/>
      <c r="H61" s="1573"/>
      <c r="I61" s="1574"/>
      <c r="J61" s="1574"/>
      <c r="K61" s="1678">
        <f t="shared" si="7"/>
        <v>218763</v>
      </c>
      <c r="L61" s="1573">
        <v>190000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12446</v>
      </c>
      <c r="D63" s="1573">
        <v>2092</v>
      </c>
      <c r="E63" s="1573">
        <v>10713</v>
      </c>
      <c r="F63" s="1573">
        <v>46841</v>
      </c>
      <c r="G63" s="1573">
        <v>26046</v>
      </c>
      <c r="H63" s="1573"/>
      <c r="I63" s="1574"/>
      <c r="J63" s="1574"/>
      <c r="K63" s="1678">
        <f t="shared" si="7"/>
        <v>98138</v>
      </c>
      <c r="L63" s="1573">
        <v>72563</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193220</v>
      </c>
      <c r="D65" s="1674">
        <f t="shared" ref="D65:L65" si="8">SUM(D59:D64)</f>
        <v>25897</v>
      </c>
      <c r="E65" s="1674">
        <f t="shared" si="8"/>
        <v>102883</v>
      </c>
      <c r="F65" s="1674">
        <f t="shared" si="8"/>
        <v>102564</v>
      </c>
      <c r="G65" s="1674">
        <f t="shared" si="8"/>
        <v>26046</v>
      </c>
      <c r="H65" s="1674">
        <f t="shared" si="8"/>
        <v>0</v>
      </c>
      <c r="I65" s="1674">
        <f t="shared" si="8"/>
        <v>0</v>
      </c>
      <c r="J65" s="1674">
        <f t="shared" si="8"/>
        <v>0</v>
      </c>
      <c r="K65" s="1674">
        <f t="shared" si="8"/>
        <v>450610</v>
      </c>
      <c r="L65" s="1674">
        <f t="shared" si="8"/>
        <v>358758</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v>2500</v>
      </c>
      <c r="F73" s="1649"/>
      <c r="G73" s="1649"/>
      <c r="H73" s="1649"/>
      <c r="I73" s="1627"/>
      <c r="J73" s="1627"/>
      <c r="K73" s="1674">
        <f>SUM(C73:J73)</f>
        <v>2500</v>
      </c>
      <c r="L73" s="1651"/>
      <c r="M73" s="501"/>
      <c r="N73" s="501"/>
    </row>
    <row r="74" spans="1:14" ht="12.75" customHeight="1" thickTop="1" thickBot="1" x14ac:dyDescent="0.25">
      <c r="A74" s="1380" t="s">
        <v>806</v>
      </c>
      <c r="B74" s="1384">
        <v>2000</v>
      </c>
      <c r="C74" s="1681">
        <f>SUM(C42,C47,C53,C57,C65,C72,C73)</f>
        <v>822462</v>
      </c>
      <c r="D74" s="1681">
        <f t="shared" ref="D74:K74" si="10">SUM(D42,D47,D53,D57,D65,D72,D73)</f>
        <v>156566</v>
      </c>
      <c r="E74" s="1681">
        <f t="shared" si="10"/>
        <v>262635</v>
      </c>
      <c r="F74" s="1681">
        <f t="shared" si="10"/>
        <v>124631</v>
      </c>
      <c r="G74" s="1681">
        <f t="shared" si="10"/>
        <v>26046</v>
      </c>
      <c r="H74" s="1681">
        <f t="shared" si="10"/>
        <v>2730</v>
      </c>
      <c r="I74" s="1681">
        <f t="shared" si="10"/>
        <v>0</v>
      </c>
      <c r="J74" s="1681">
        <f t="shared" si="10"/>
        <v>0</v>
      </c>
      <c r="K74" s="1681">
        <f t="shared" si="10"/>
        <v>1395070</v>
      </c>
      <c r="L74" s="1681">
        <f>SUM(L42,L47,L53,L57,L65,L72,L73)</f>
        <v>1220438</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v>5120</v>
      </c>
      <c r="F81" s="1673"/>
      <c r="G81" s="1673"/>
      <c r="H81" s="1573">
        <v>439</v>
      </c>
      <c r="I81" s="1582"/>
      <c r="J81" s="1582"/>
      <c r="K81" s="1672">
        <f t="shared" si="11"/>
        <v>5559</v>
      </c>
      <c r="L81" s="1573">
        <v>5045</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5120</v>
      </c>
      <c r="F84" s="1673"/>
      <c r="G84" s="1673"/>
      <c r="H84" s="1674">
        <f>SUM(H78:H83)</f>
        <v>439</v>
      </c>
      <c r="I84" s="1582"/>
      <c r="J84" s="1582"/>
      <c r="K84" s="1674">
        <f>SUM(K78:K83)</f>
        <v>5559</v>
      </c>
      <c r="L84" s="1674">
        <f>SUM(L78:L83)</f>
        <v>5045</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5120</v>
      </c>
      <c r="F102" s="1673"/>
      <c r="G102" s="1673"/>
      <c r="H102" s="1681">
        <f>SUM(H84,H92,H100,H101)</f>
        <v>439</v>
      </c>
      <c r="I102" s="1582"/>
      <c r="J102" s="1582"/>
      <c r="K102" s="1681">
        <f>SUM(K84,K92,K100,K101)</f>
        <v>5559</v>
      </c>
      <c r="L102" s="1681">
        <f>SUM(L84,L92,L100,L101)</f>
        <v>5045</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1639458</v>
      </c>
      <c r="D114" s="1674">
        <f t="shared" ref="D114:K114" si="13">SUM(D33,D74,D75,D102,D112,D113)</f>
        <v>203282</v>
      </c>
      <c r="E114" s="1674">
        <f t="shared" si="13"/>
        <v>393804</v>
      </c>
      <c r="F114" s="1674">
        <f t="shared" si="13"/>
        <v>201781</v>
      </c>
      <c r="G114" s="1674">
        <f t="shared" si="13"/>
        <v>36700</v>
      </c>
      <c r="H114" s="1674">
        <f>SUM(H33,H74,H75,H102,H112,H113)</f>
        <v>36638</v>
      </c>
      <c r="I114" s="1674">
        <f t="shared" si="13"/>
        <v>0</v>
      </c>
      <c r="J114" s="1674">
        <f t="shared" si="13"/>
        <v>0</v>
      </c>
      <c r="K114" s="1674">
        <f t="shared" si="13"/>
        <v>2511663</v>
      </c>
      <c r="L114" s="1674">
        <f>SUM(L33,L74,L75,L102,L112,L113)</f>
        <v>2400200</v>
      </c>
    </row>
    <row r="115" spans="1:14" ht="13.5" thickTop="1" x14ac:dyDescent="0.2">
      <c r="A115" s="2286" t="s">
        <v>989</v>
      </c>
      <c r="B115" s="2287"/>
      <c r="C115" s="1675"/>
      <c r="D115" s="1675"/>
      <c r="E115" s="1675"/>
      <c r="F115" s="1675"/>
      <c r="G115" s="1675"/>
      <c r="H115" s="1675"/>
      <c r="I115" s="1675"/>
      <c r="J115" s="1675"/>
      <c r="K115" s="1689">
        <f>'Revenues 9-14'!C268-'Expenditures 15-22'!K114</f>
        <v>-67231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v>7411</v>
      </c>
      <c r="F124" s="1573"/>
      <c r="G124" s="1573">
        <v>2067</v>
      </c>
      <c r="H124" s="1573"/>
      <c r="I124" s="1574"/>
      <c r="J124" s="1574"/>
      <c r="K124" s="1674">
        <f>SUM(C124:J124)</f>
        <v>9478</v>
      </c>
      <c r="L124" s="1573">
        <v>6000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7411</v>
      </c>
      <c r="F127" s="1674">
        <f t="shared" si="14"/>
        <v>0</v>
      </c>
      <c r="G127" s="1674">
        <f t="shared" si="14"/>
        <v>2067</v>
      </c>
      <c r="H127" s="1674">
        <f t="shared" si="14"/>
        <v>0</v>
      </c>
      <c r="I127" s="1674">
        <f t="shared" si="14"/>
        <v>0</v>
      </c>
      <c r="J127" s="1674">
        <f t="shared" si="14"/>
        <v>0</v>
      </c>
      <c r="K127" s="1674">
        <f t="shared" si="14"/>
        <v>9478</v>
      </c>
      <c r="L127" s="1674">
        <f t="shared" si="14"/>
        <v>6000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7411</v>
      </c>
      <c r="F129" s="1681">
        <f t="shared" si="15"/>
        <v>0</v>
      </c>
      <c r="G129" s="1681">
        <f t="shared" si="15"/>
        <v>2067</v>
      </c>
      <c r="H129" s="1681">
        <f t="shared" si="15"/>
        <v>0</v>
      </c>
      <c r="I129" s="1681">
        <f t="shared" si="15"/>
        <v>0</v>
      </c>
      <c r="J129" s="1681">
        <f t="shared" si="15"/>
        <v>0</v>
      </c>
      <c r="K129" s="1681">
        <f t="shared" si="15"/>
        <v>9478</v>
      </c>
      <c r="L129" s="1681">
        <f t="shared" si="15"/>
        <v>6000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0</v>
      </c>
      <c r="D151" s="1674">
        <f t="shared" ref="D151:K151" si="16">SUM(D129,D130,D139,D149,D150)</f>
        <v>0</v>
      </c>
      <c r="E151" s="1674">
        <f t="shared" si="16"/>
        <v>7411</v>
      </c>
      <c r="F151" s="1674">
        <f t="shared" si="16"/>
        <v>0</v>
      </c>
      <c r="G151" s="1674">
        <f t="shared" si="16"/>
        <v>2067</v>
      </c>
      <c r="H151" s="1674">
        <f t="shared" si="16"/>
        <v>0</v>
      </c>
      <c r="I151" s="1674">
        <f t="shared" si="16"/>
        <v>0</v>
      </c>
      <c r="J151" s="1674">
        <f t="shared" si="16"/>
        <v>0</v>
      </c>
      <c r="K151" s="1674">
        <f t="shared" si="16"/>
        <v>9478</v>
      </c>
      <c r="L151" s="1674">
        <f>SUM(L129,L130,L139,L149,L150)</f>
        <v>6000</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-913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86827</v>
      </c>
      <c r="I169" s="1673"/>
      <c r="J169" s="1673"/>
      <c r="K169" s="1672">
        <f>SUM(C169:H169)</f>
        <v>86827</v>
      </c>
      <c r="L169" s="1695">
        <v>86827</v>
      </c>
    </row>
    <row r="170" spans="1:14" ht="33.75" customHeight="1" x14ac:dyDescent="0.2">
      <c r="A170" s="543" t="s">
        <v>1651</v>
      </c>
      <c r="B170" s="545" t="s">
        <v>31</v>
      </c>
      <c r="C170" s="1673"/>
      <c r="D170" s="1673"/>
      <c r="E170" s="1673"/>
      <c r="F170" s="1673"/>
      <c r="G170" s="1673"/>
      <c r="H170" s="1646">
        <v>315000</v>
      </c>
      <c r="I170" s="1673"/>
      <c r="J170" s="1673"/>
      <c r="K170" s="1672">
        <f>SUM(C170:J170)</f>
        <v>315000</v>
      </c>
      <c r="L170" s="1646">
        <v>315000</v>
      </c>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401827</v>
      </c>
      <c r="I172" s="1684"/>
      <c r="J172" s="1673"/>
      <c r="K172" s="1681">
        <f>SUM(K168,K169,K170,K171)</f>
        <v>401827</v>
      </c>
      <c r="L172" s="1681">
        <f>SUM(L168,L169,L170,L171)</f>
        <v>401827</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401827</v>
      </c>
      <c r="I174" s="1684"/>
      <c r="J174" s="1673"/>
      <c r="K174" s="1681">
        <f>SUM(K160,K172,K173)</f>
        <v>401827</v>
      </c>
      <c r="L174" s="1681">
        <f>SUM(L160,L172,L173)</f>
        <v>401827</v>
      </c>
    </row>
    <row r="175" spans="1:14" ht="13.5" thickTop="1" x14ac:dyDescent="0.2">
      <c r="A175" s="2286" t="s">
        <v>989</v>
      </c>
      <c r="B175" s="2287"/>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86" t="s">
        <v>989</v>
      </c>
      <c r="B211" s="2287"/>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86" t="s">
        <v>989</v>
      </c>
      <c r="B296" s="2287"/>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6" t="s">
        <v>989</v>
      </c>
      <c r="B368" s="2287"/>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sharepoint/v3"/>
    <ds:schemaRef ds:uri="http://schemas.microsoft.com/office/infopath/2007/PartnerControls"/>
    <ds:schemaRef ds:uri="http://schemas.microsoft.com/office/2006/metadata/properties"/>
    <ds:schemaRef ds:uri="http://schemas.microsoft.com/office/2006/documentManagement/types"/>
    <ds:schemaRef ds:uri="http://purl.org/dc/elements/1.1/"/>
    <ds:schemaRef ds:uri="d21dc803-237d-4c68-8692-8d731fd29118"/>
    <ds:schemaRef ds:uri="http://schemas.openxmlformats.org/package/2006/metadata/core-properties"/>
    <ds:schemaRef ds:uri="4d435f69-8686-490b-bd6d-b153bf22ab50"/>
    <ds:schemaRef ds:uri="6ce3111e-7420-4802-b50a-75d4e9a0b980"/>
    <ds:schemaRef ds:uri="http://purl.org/dc/dcmitype/"/>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2020-12-15T18:31:07Z</cp:lastPrinted>
  <dcterms:created xsi:type="dcterms:W3CDTF">2003-10-29T19:06:34Z</dcterms:created>
  <dcterms:modified xsi:type="dcterms:W3CDTF">2020-12-18T01:57:14Z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