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7981E807-068A-4E43-861E-54561063571B}"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 sheetId="188" r:id="rId28"/>
    <sheet name=" SEFA" sheetId="179" r:id="rId29"/>
    <sheet name=" SEFA (2)" sheetId="185" r:id="rId30"/>
    <sheet name=" SEFA (3)" sheetId="186" r:id="rId31"/>
    <sheet name="SEFA NOTES" sheetId="173" r:id="rId32"/>
    <sheet name="SEFA NOTES (2)" sheetId="189" r:id="rId33"/>
    <sheet name="SF&amp;QC Sec-1" sheetId="174" r:id="rId34"/>
    <sheet name="SF&amp;QC Sec-2" sheetId="175" r:id="rId35"/>
    <sheet name="SF&amp;QC Sec-3" sheetId="176" r:id="rId36"/>
    <sheet name="SSPAF" sheetId="177" r:id="rId37"/>
  </sheets>
  <definedNames>
    <definedName name="_xlnm._FilterDatabase" localSheetId="23" hidden="1">'AFR20'!$A$1:$F$7884</definedName>
    <definedName name="_xlnm.Print_Area" localSheetId="28">' SEFA'!$B$1:$M$46</definedName>
    <definedName name="_xlnm.Print_Area" localSheetId="27">' SEFA '!$B$1:$M$46</definedName>
    <definedName name="_xlnm.Print_Area" localSheetId="29">' SEFA (2)'!$B$1:$M$46</definedName>
    <definedName name="_xlnm.Print_Area" localSheetId="30">' SEFA (3)'!$B$1:$M$46</definedName>
    <definedName name="_xlnm.Print_Area" localSheetId="31">'SEFA NOTES'!$A$1:$F$52</definedName>
    <definedName name="_xlnm.Print_Area" localSheetId="32">'SEFA NOTES (2)'!$A$1:$F$52</definedName>
    <definedName name="_xlnm.Print_Area" localSheetId="26">'SEFA Reconcile'!$A$1:$E$49</definedName>
    <definedName name="_xlnm.Print_Area" localSheetId="33">'SF&amp;QC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7">#REF!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8">#REF!</definedName>
    <definedName name="SCHCTY" localSheetId="27">#REF!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8">#REF!</definedName>
    <definedName name="SCHNMBR" localSheetId="27">#REF!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8">#REF!</definedName>
    <definedName name="SCHNME" localSheetId="27">#REF!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8">#REF!</definedName>
    <definedName name="SUPT" localSheetId="27">#REF!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8" i="188" l="1"/>
  <c r="K22" i="179"/>
  <c r="J22" i="179"/>
  <c r="I22" i="179"/>
  <c r="H22" i="179"/>
  <c r="G22" i="179"/>
  <c r="D29" i="189" l="1"/>
  <c r="F22" i="179" l="1"/>
  <c r="E22" i="179"/>
  <c r="K19" i="186"/>
  <c r="I19" i="186"/>
  <c r="G19" i="186"/>
  <c r="E19" i="186"/>
  <c r="K16" i="186"/>
  <c r="J16" i="186"/>
  <c r="J19" i="186" s="1"/>
  <c r="I16" i="186"/>
  <c r="H16" i="186"/>
  <c r="H19" i="186" s="1"/>
  <c r="G16" i="186"/>
  <c r="F16" i="186"/>
  <c r="F19" i="186" s="1"/>
  <c r="E16" i="186"/>
  <c r="E19" i="183"/>
  <c r="K23" i="188" l="1"/>
  <c r="J23" i="188"/>
  <c r="I23" i="188"/>
  <c r="H23" i="188"/>
  <c r="G23" i="188"/>
  <c r="F23" i="188"/>
  <c r="E23" i="188"/>
  <c r="F19" i="188"/>
  <c r="K22" i="185"/>
  <c r="J22" i="185"/>
  <c r="I22" i="185"/>
  <c r="H22" i="185"/>
  <c r="G22" i="185"/>
  <c r="F22" i="185"/>
  <c r="E22" i="185"/>
  <c r="E27" i="185" s="1"/>
  <c r="K16" i="185"/>
  <c r="J16" i="185"/>
  <c r="J27" i="185" s="1"/>
  <c r="I16" i="185"/>
  <c r="H16" i="185"/>
  <c r="H27" i="185" s="1"/>
  <c r="G16" i="185"/>
  <c r="F16" i="185"/>
  <c r="E16" i="185"/>
  <c r="K27" i="185" l="1"/>
  <c r="G27" i="185"/>
  <c r="I27" i="185"/>
  <c r="F27" i="185"/>
  <c r="K19" i="188" l="1"/>
  <c r="J19" i="188"/>
  <c r="I19" i="188"/>
  <c r="H19" i="188"/>
  <c r="G19" i="188"/>
  <c r="E19" i="188"/>
  <c r="K15" i="188"/>
  <c r="J15" i="188"/>
  <c r="I15" i="188"/>
  <c r="H15" i="188"/>
  <c r="G15" i="188"/>
  <c r="F15" i="188"/>
  <c r="E15" i="188"/>
  <c r="L23" i="188"/>
  <c r="L22" i="188"/>
  <c r="L21" i="188"/>
  <c r="L17" i="188"/>
  <c r="L14" i="188"/>
  <c r="L13" i="188"/>
  <c r="I9" i="188"/>
  <c r="G9" i="188"/>
  <c r="F9" i="188"/>
  <c r="E9" i="188"/>
  <c r="J8" i="188"/>
  <c r="H8" i="188"/>
  <c r="L19" i="186"/>
  <c r="L16" i="186"/>
  <c r="L15" i="186"/>
  <c r="L14" i="186"/>
  <c r="I9" i="186"/>
  <c r="G9" i="186"/>
  <c r="F9" i="186"/>
  <c r="E9" i="186"/>
  <c r="J8" i="186"/>
  <c r="H8" i="186"/>
  <c r="L27" i="185"/>
  <c r="L22" i="185"/>
  <c r="L21" i="185"/>
  <c r="L20" i="185"/>
  <c r="L16" i="185"/>
  <c r="L15" i="185"/>
  <c r="L14" i="185"/>
  <c r="I9" i="185"/>
  <c r="G9" i="185"/>
  <c r="F9" i="185"/>
  <c r="E9" i="185"/>
  <c r="J8" i="185"/>
  <c r="H8" i="185"/>
  <c r="F27" i="188" l="1"/>
  <c r="F27" i="179"/>
  <c r="F27" i="186" s="1"/>
  <c r="E27" i="188"/>
  <c r="E27" i="179"/>
  <c r="E27" i="186" s="1"/>
  <c r="H27" i="179"/>
  <c r="H27" i="186" s="1"/>
  <c r="H27" i="188"/>
  <c r="G27" i="188"/>
  <c r="G27" i="179"/>
  <c r="G27" i="186" s="1"/>
  <c r="L19" i="188"/>
  <c r="K27" i="179"/>
  <c r="K27" i="186" s="1"/>
  <c r="K27" i="188"/>
  <c r="J27" i="179"/>
  <c r="J27" i="186" s="1"/>
  <c r="J27" i="188"/>
  <c r="I27" i="179"/>
  <c r="I27" i="188"/>
  <c r="L15" i="188"/>
  <c r="L27" i="188" l="1"/>
  <c r="I27" i="186"/>
  <c r="L27" i="186" s="1"/>
  <c r="L27" i="179"/>
  <c r="E8" i="29"/>
  <c r="G8" i="29" l="1"/>
  <c r="F8" i="29"/>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37" i="183" l="1"/>
  <c r="F36" i="183"/>
  <c r="F35" i="183"/>
  <c r="F34" i="183"/>
  <c r="F33" i="183"/>
  <c r="F31" i="183"/>
  <c r="F30" i="183"/>
  <c r="F29" i="183"/>
  <c r="F28" i="183"/>
  <c r="F27" i="183"/>
  <c r="F26" i="183"/>
  <c r="F25" i="183"/>
  <c r="F24" i="183"/>
  <c r="F23" i="183"/>
  <c r="F21" i="183"/>
  <c r="F20" i="183"/>
  <c r="F19" i="183"/>
  <c r="E37" i="183"/>
  <c r="E36" i="183"/>
  <c r="E35" i="183"/>
  <c r="E34" i="183"/>
  <c r="E33" i="183"/>
  <c r="E32" i="183"/>
  <c r="F32" i="183" s="1"/>
  <c r="E31" i="183"/>
  <c r="E30" i="183"/>
  <c r="E29" i="183"/>
  <c r="E28" i="183"/>
  <c r="E27" i="183"/>
  <c r="E26" i="183"/>
  <c r="E25" i="183"/>
  <c r="E24" i="183"/>
  <c r="E23" i="183"/>
  <c r="E22" i="183"/>
  <c r="F22" i="183" s="1"/>
  <c r="E21" i="183"/>
  <c r="E20"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A4" i="189" l="1"/>
  <c r="B4" i="185"/>
  <c r="B4" i="188"/>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2" i="179" l="1"/>
  <c r="L21" i="179"/>
  <c r="L20" i="179"/>
  <c r="L17" i="179"/>
  <c r="L15" i="179"/>
  <c r="L14"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A2" i="189"/>
  <c r="B2" i="188"/>
  <c r="B2" i="186"/>
  <c r="B2" i="185"/>
  <c r="A1" i="189"/>
  <c r="B1" i="188"/>
  <c r="B1" i="186"/>
  <c r="B1"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L22" i="37"/>
  <c r="D24" i="37"/>
  <c r="B4270" i="106" s="1"/>
  <c r="D4270" i="106" s="1"/>
  <c r="B5752" i="106"/>
  <c r="D5752" i="106" s="1"/>
  <c r="H342" i="29" l="1"/>
  <c r="F64" i="34"/>
  <c r="G39" i="108"/>
  <c r="E34" i="108"/>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6995" i="106"/>
  <c r="D6995" i="106" s="1"/>
  <c r="C352" i="29"/>
  <c r="H76" i="4"/>
  <c r="B3298" i="106" s="1"/>
  <c r="D3298" i="106" s="1"/>
  <c r="B1274" i="106"/>
  <c r="D1274" i="106" s="1"/>
  <c r="H12" i="184"/>
  <c r="J129" i="29"/>
  <c r="B7038" i="106" s="1"/>
  <c r="D7038" i="106" s="1"/>
  <c r="H15" i="184"/>
  <c r="D22" i="37"/>
  <c r="B2724" i="106"/>
  <c r="D2724" i="106" s="1"/>
  <c r="C129" i="29"/>
  <c r="D31" i="108"/>
  <c r="E16" i="184"/>
  <c r="H16"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G170" i="5"/>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14" i="29" l="1"/>
  <c r="F41" i="108"/>
  <c r="G43" i="108" s="1"/>
  <c r="D44" i="36"/>
  <c r="E367" i="29"/>
  <c r="B3636" i="106" s="1"/>
  <c r="D3636" i="106" s="1"/>
  <c r="B3635" i="106"/>
  <c r="E19" i="184"/>
  <c r="B7235" i="106"/>
  <c r="D7235" i="106" s="1"/>
  <c r="L16" i="11"/>
  <c r="B2061" i="106" s="1"/>
  <c r="D2061" i="106" s="1"/>
  <c r="B7220" i="106"/>
  <c r="D7220" i="106" s="1"/>
  <c r="F75" i="34"/>
  <c r="B7886" i="106" s="1"/>
  <c r="D7886" i="106" s="1"/>
  <c r="B7222" i="106"/>
  <c r="D7222" i="106" s="1"/>
  <c r="F76" i="34"/>
  <c r="B7887" i="106" s="1"/>
  <c r="D7887" i="106" s="1"/>
  <c r="B1328" i="106"/>
  <c r="D1328" i="106" s="1"/>
  <c r="N57" i="184"/>
  <c r="N68" i="184" s="1"/>
  <c r="E68"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30" i="106" s="1"/>
  <c r="D6230" i="106" s="1"/>
  <c r="F77" i="34"/>
  <c r="B6227" i="106"/>
  <c r="D6227" i="106" s="1"/>
  <c r="F8" i="4"/>
  <c r="K17" i="4"/>
  <c r="K19" i="4" s="1"/>
  <c r="B4144" i="106" s="1"/>
  <c r="D4144" i="106" s="1"/>
  <c r="B6223" i="106"/>
  <c r="D6223"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<sst xmlns="http://schemas.openxmlformats.org/spreadsheetml/2006/main" count="5465" uniqueCount="2181">
  <si>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</si>
  <si>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</si>
  <si>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</si>
  <si>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</si>
  <si>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</si>
  <si>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</si>
  <si>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</si>
  <si>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</si>
  <si>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</si>
  <si>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</si>
  <si>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</si>
  <si>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</si>
  <si>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</si>
  <si>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</si>
  <si>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</si>
  <si>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</si>
  <si>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</si>
  <si>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</si>
  <si>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</si>
  <si>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</si>
  <si>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</si>
  <si>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</si>
  <si>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</si>
  <si>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</si>
  <si>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</si>
  <si>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</si>
  <si>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</si>
  <si>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</si>
  <si>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</si>
  <si>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</si>
  <si>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</si>
  <si>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</si>
  <si>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</si>
  <si>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</si>
  <si>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</si>
  <si>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</si>
  <si>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</si>
  <si>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</si>
  <si>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</si>
  <si>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</si>
  <si>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</si>
  <si>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</si>
  <si>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</si>
  <si>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</si>
  <si>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</si>
  <si>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</si>
  <si>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</si>
  <si>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</si>
  <si>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</si>
  <si>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</si>
  <si>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</si>
  <si>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</si>
  <si>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</si>
  <si>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</si>
  <si>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</si>
  <si>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</si>
  <si>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</si>
  <si>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</si>
  <si>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</si>
  <si>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</si>
  <si>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</si>
  <si>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</si>
  <si>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</si>
  <si>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</si>
  <si>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</si>
  <si>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</si>
  <si>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</si>
  <si>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</si>
  <si>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</si>
  <si>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</si>
  <si>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</si>
  <si>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</si>
  <si>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</si>
  <si>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</si>
  <si>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</si>
  <si>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</si>
  <si>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</si>
  <si>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</si>
  <si>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</si>
  <si>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</si>
  <si>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</si>
  <si>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</si>
  <si>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</si>
  <si>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</si>
  <si>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</si>
  <si>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</si>
  <si>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</si>
  <si>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</si>
  <si>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</si>
  <si>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</si>
  <si>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</si>
  <si>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</si>
  <si>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</si>
  <si>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</si>
  <si>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</si>
  <si>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</si>
  <si>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</si>
  <si>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</si>
  <si>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</si>
  <si>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</si>
  <si>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</si>
  <si>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</si>
  <si>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</si>
  <si>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</si>
  <si>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</si>
  <si>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</si>
  <si>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</si>
  <si>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</si>
  <si>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</si>
  <si>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</si>
  <si>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</si>
  <si>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</si>
  <si>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</si>
  <si>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</si>
  <si>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</si>
  <si>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</si>
  <si>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</si>
  <si>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</si>
  <si>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</si>
  <si>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</si>
  <si>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</si>
  <si>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</si>
  <si>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</si>
  <si>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</si>
  <si>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</si>
  <si>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</si>
  <si>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</si>
  <si>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</si>
  <si>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</si>
  <si>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</si>
  <si>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</si>
  <si>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</si>
  <si>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</si>
  <si>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</si>
  <si>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</si>
  <si>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</si>
  <si>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</si>
  <si>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</si>
  <si>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</si>
  <si>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</si>
  <si>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</si>
  <si>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</si>
  <si>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</si>
  <si>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</si>
  <si>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</si>
  <si>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</si>
  <si>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</si>
  <si>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</si>
  <si>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</si>
  <si>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</si>
  <si>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</si>
  <si>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</si>
  <si>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</si>
  <si>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</si>
  <si>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</si>
  <si>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</si>
  <si>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</si>
  <si>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</si>
  <si>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</si>
  <si>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</si>
  <si>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</si>
  <si>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</si>
  <si>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</si>
  <si>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</si>
  <si>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</si>
  <si>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</si>
  <si>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</si>
  <si>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</si>
  <si>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</si>
  <si>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</si>
  <si>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</si>
  <si>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</si>
  <si>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</si>
  <si>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</si>
  <si>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</si>
  <si>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</si>
  <si>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</si>
  <si>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</si>
  <si>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</si>
  <si>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</si>
  <si>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</si>
  <si>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</si>
  <si>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</si>
  <si>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</si>
  <si>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</si>
  <si>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</si>
  <si>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</si>
  <si>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</si>
  <si>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</si>
  <si>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</si>
  <si>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</si>
  <si>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</si>
  <si>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</si>
  <si>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</si>
  <si>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</si>
  <si>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</si>
  <si>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</si>
  <si>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</si>
  <si>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</si>
  <si>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</si>
  <si>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</si>
  <si>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</si>
  <si>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</si>
  <si>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</si>
  <si>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</si>
  <si>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</si>
  <si>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</si>
  <si>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</si>
  <si>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</si>
  <si>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</si>
  <si>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</si>
  <si>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</si>
  <si>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</si>
  <si>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</si>
  <si>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</si>
  <si>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</si>
  <si>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</si>
  <si>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</si>
  <si>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</si>
  <si>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</si>
  <si>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</si>
  <si>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</si>
  <si>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</si>
  <si>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</si>
  <si>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</si>
  <si>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</si>
  <si>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</si>
  <si>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</si>
  <si>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</si>
  <si>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</si>
  <si>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</si>
  <si>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</si>
  <si>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</si>
  <si>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</si>
  <si>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</si>
  <si>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</si>
  <si>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</si>
  <si>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</si>
  <si>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</si>
  <si>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</si>
  <si>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</si>
  <si>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</si>
  <si>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</si>
  <si>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</si>
  <si>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</si>
  <si>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</si>
  <si>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</si>
  <si>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</si>
  <si>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</si>
  <si>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</si>
  <si>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</si>
  <si>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</si>
  <si>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</si>
  <si>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</si>
  <si>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</si>
  <si>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</si>
  <si>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</si>
  <si>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</si>
  <si>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</si>
  <si>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</si>
  <si>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</si>
  <si>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</si>
  <si>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</si>
  <si>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</si>
  <si>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</si>
  <si>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</si>
  <si>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</si>
  <si>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</si>
  <si>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</si>
  <si>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</si>
  <si>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</si>
  <si>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</si>
  <si>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</si>
  <si>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</si>
  <si>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</si>
  <si>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</si>
  <si>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</si>
  <si>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</si>
  <si>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</si>
  <si>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</si>
  <si>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</si>
  <si>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</si>
  <si>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</si>
  <si>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</si>
  <si>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</si>
  <si>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</si>
  <si>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</si>
  <si>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</si>
  <si>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</si>
  <si>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</si>
  <si>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</si>
  <si>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</si>
  <si>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</si>
  <si>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</si>
  <si>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</si>
  <si>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</si>
  <si>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</si>
  <si>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</si>
  <si>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</si>
  <si>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</si>
  <si>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</si>
  <si>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</si>
  <si>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</si>
  <si>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</si>
  <si>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</si>
  <si>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</si>
  <si>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</si>
  <si>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</si>
  <si>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</si>
  <si>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</si>
  <si>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</si>
  <si>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</si>
  <si>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</si>
  <si>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</si>
  <si>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</si>
  <si>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</si>
  <si>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</si>
  <si>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</si>
  <si>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</si>
  <si>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</si>
  <si>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</si>
  <si>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</si>
  <si>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</si>
  <si>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</si>
  <si>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</si>
  <si>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</si>
  <si>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</si>
  <si>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</si>
  <si>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</si>
  <si>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</si>
  <si>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</si>
  <si>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</si>
  <si>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</si>
  <si>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</si>
  <si>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</si>
  <si>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</si>
  <si>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</si>
  <si>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</si>
  <si>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</si>
  <si>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</si>
  <si>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</si>
  <si>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</si>
  <si>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</si>
  <si>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</si>
  <si>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</si>
  <si>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</si>
  <si>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</si>
  <si>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</si>
  <si>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</si>
  <si>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</si>
  <si>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</si>
  <si>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</si>
  <si>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</si>
  <si>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</si>
  <si>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</si>
  <si>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</si>
  <si>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</si>
  <si>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</si>
  <si>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</si>
  <si>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</si>
  <si>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</si>
  <si>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</si>
  <si>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</si>
  <si>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</si>
  <si>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</si>
  <si>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</si>
  <si>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</si>
  <si>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</si>
  <si>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</si>
  <si>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</si>
  <si>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</si>
  <si>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</si>
  <si>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</si>
  <si>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</si>
  <si>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</si>
  <si>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</si>
  <si>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</si>
  <si>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</si>
  <si>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</si>
  <si>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</si>
  <si>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</si>
  <si>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</si>
  <si>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</si>
  <si>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</si>
  <si>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</si>
  <si>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</si>
  <si>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</si>
  <si>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</si>
  <si>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</si>
  <si>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</si>
  <si>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</si>
  <si>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</si>
  <si>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</si>
  <si>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</si>
  <si>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</si>
  <si>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</si>
  <si>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</si>
  <si>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</si>
  <si>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</si>
  <si>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</si>
  <si>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</si>
  <si>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</si>
  <si>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</si>
  <si>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</si>
  <si>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</si>
  <si>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</si>
  <si>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</si>
  <si>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</si>
  <si>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</si>
  <si>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</si>
  <si>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</si>
  <si>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</si>
  <si>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</si>
  <si>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</si>
  <si>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</si>
  <si>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</si>
  <si>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</si>
  <si>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</si>
  <si>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</si>
  <si>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</si>
  <si>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</si>
  <si>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</si>
  <si>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</si>
  <si>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</si>
  <si>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</si>
  <si>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</si>
  <si>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</si>
  <si>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</si>
  <si>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</si>
  <si>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</si>
  <si>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</si>
  <si>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</si>
  <si>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</si>
  <si>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</si>
  <si>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</si>
  <si>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</si>
  <si>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</si>
  <si>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</si>
  <si>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</si>
  <si>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</si>
  <si>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</si>
  <si>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</si>
  <si>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</si>
  <si>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</si>
  <si>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</si>
  <si>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</si>
  <si>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</si>
  <si>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</si>
  <si>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</si>
  <si>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</si>
  <si>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</si>
  <si>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</si>
  <si>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</si>
  <si>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</si>
  <si>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</si>
  <si>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</si>
  <si>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</si>
  <si>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</si>
  <si>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</si>
  <si>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</si>
  <si>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</si>
  <si>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</si>
  <si>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</si>
  <si>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</si>
  <si>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</si>
  <si>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</si>
  <si>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</si>
  <si>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</si>
  <si>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</si>
  <si>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</si>
  <si>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</si>
  <si>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</si>
  <si>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</si>
  <si>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</si>
  <si>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</si>
  <si>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</si>
  <si>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</si>
  <si>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</si>
  <si>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</si>
  <si>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</si>
  <si>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</si>
  <si>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</si>
  <si>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</si>
  <si>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</si>
  <si>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</si>
  <si>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</si>
  <si>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</si>
  <si>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</si>
  <si>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</si>
  <si>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</si>
  <si>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</si>
  <si>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</si>
  <si>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</si>
  <si>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</si>
  <si>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</si>
  <si>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</si>
  <si>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</si>
  <si>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</si>
  <si>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</si>
  <si>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</si>
  <si>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</si>
  <si>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</si>
  <si>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</si>
  <si>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</si>
  <si>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</si>
  <si>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</si>
  <si>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</si>
  <si>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</si>
  <si>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</si>
  <si>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</si>
  <si>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</si>
  <si>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</si>
  <si>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</si>
  <si>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</si>
  <si>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</si>
  <si>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</si>
  <si>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</si>
  <si>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</si>
  <si>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</si>
  <si>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</si>
  <si>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</si>
  <si>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</si>
  <si>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</si>
  <si>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</si>
  <si>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</si>
  <si>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</si>
  <si>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</si>
  <si>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</si>
  <si>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</si>
  <si>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</si>
  <si>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</si>
  <si>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</si>
  <si>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</si>
  <si>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</si>
  <si>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</si>
  <si>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</si>
  <si>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</si>
  <si>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</si>
  <si>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</si>
  <si>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</si>
  <si>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</si>
  <si>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</si>
  <si>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</si>
  <si>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</si>
  <si>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</si>
  <si>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</si>
  <si>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</si>
  <si>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</si>
  <si>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</si>
  <si>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</si>
  <si>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</si>
  <si>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</si>
  <si>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</si>
  <si>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</si>
  <si>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</si>
  <si>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</si>
  <si>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</si>
  <si>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</si>
  <si>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</si>
  <si>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</si>
  <si>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</si>
  <si>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</si>
  <si>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</si>
  <si>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</si>
  <si>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</si>
  <si>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</si>
  <si>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</si>
  <si>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</si>
  <si>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</si>
  <si>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</si>
  <si>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</si>
  <si>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</si>
  <si>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</si>
  <si>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</si>
  <si>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</si>
  <si>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</si>
  <si>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</si>
  <si>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</si>
  <si>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</si>
  <si>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</si>
  <si>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</si>
  <si>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</si>
  <si>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</si>
  <si>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</si>
  <si>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</si>
  <si>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</si>
  <si>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</si>
  <si>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</si>
  <si>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</si>
  <si>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</si>
  <si>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</si>
  <si>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</si>
  <si>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</si>
  <si>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</si>
  <si>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</si>
  <si>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</si>
  <si>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</si>
  <si>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</si>
  <si>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</si>
  <si>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</si>
  <si>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</si>
  <si>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</si>
  <si>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</si>
  <si>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</si>
  <si>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</si>
  <si>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</si>
  <si>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</si>
  <si>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</si>
  <si>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</si>
  <si>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</si>
  <si>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</si>
  <si>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</si>
  <si>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</si>
  <si>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</si>
  <si>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</si>
  <si>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</si>
  <si>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</si>
  <si>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</si>
  <si>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</si>
  <si>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</si>
  <si>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</si>
  <si>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</si>
  <si>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</si>
  <si>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</si>
  <si>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</si>
  <si>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</si>
  <si>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</si>
  <si>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</si>
  <si>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</si>
  <si>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</si>
  <si>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</si>
  <si>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</si>
  <si>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</si>
  <si>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</si>
  <si>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</si>
  <si>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</si>
  <si>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</si>
  <si>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</si>
  <si>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</si>
  <si>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</si>
  <si>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</si>
  <si>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</si>
  <si>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</si>
  <si>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</si>
  <si>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</si>
  <si>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</si>
  <si>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</si>
  <si>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</si>
  <si>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</si>
  <si>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</si>
  <si>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</si>
  <si>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</si>
  <si>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</si>
  <si>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</si>
  <si>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</si>
  <si>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</si>
  <si>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</si>
  <si>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</si>
  <si>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</si>
  <si>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</si>
  <si>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</si>
  <si>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</si>
  <si>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</si>
  <si>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</si>
  <si>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</si>
  <si>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</si>
  <si>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</si>
  <si>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</si>
  <si>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</si>
  <si>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</si>
  <si>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</si>
  <si>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</si>
  <si>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</si>
  <si>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</si>
  <si>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</si>
  <si>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</si>
  <si>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</si>
  <si>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</si>
  <si>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</si>
  <si>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</si>
  <si>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</si>
  <si>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</si>
  <si>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</si>
  <si>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</si>
  <si>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</si>
  <si>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</si>
  <si>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</si>
  <si>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</si>
  <si>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</si>
  <si>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</si>
  <si>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</si>
  <si>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</si>
  <si>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</si>
  <si>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</si>
  <si>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</si>
  <si>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</si>
  <si>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</si>
  <si>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</si>
  <si>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</si>
  <si>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</si>
  <si>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</si>
  <si>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</si>
  <si>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</si>
  <si>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</si>
  <si>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</si>
  <si>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</si>
  <si>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</si>
  <si>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</si>
  <si>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</si>
  <si>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</si>
  <si>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</si>
  <si>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</si>
  <si>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</si>
  <si>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</si>
  <si>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</si>
  <si>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</si>
  <si>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</si>
  <si>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</si>
  <si>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</si>
  <si>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</si>
  <si>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</si>
  <si>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</si>
  <si>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</si>
  <si>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</si>
  <si>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</si>
  <si>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</si>
  <si>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</si>
  <si>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</si>
  <si>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</si>
  <si>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</si>
  <si>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</si>
  <si>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</si>
  <si>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</si>
  <si>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</si>
  <si>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</si>
  <si>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</si>
  <si>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</si>
  <si>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</si>
  <si>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</si>
  <si>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</si>
  <si>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</si>
  <si>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</si>
  <si>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</si>
  <si>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</si>
  <si>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</si>
  <si>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</si>
  <si>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</si>
  <si>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</si>
  <si>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</si>
  <si>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</si>
  <si>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</si>
  <si>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</si>
  <si>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</si>
  <si>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</si>
  <si>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</si>
  <si>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</si>
  <si>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</si>
  <si>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</si>
  <si>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</si>
  <si>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</si>
  <si>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</si>
  <si>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</si>
  <si>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</si>
  <si>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</si>
  <si>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</si>
  <si>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</si>
  <si>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</si>
  <si>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</si>
  <si>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</si>
  <si>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</si>
  <si>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</si>
  <si>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</si>
  <si>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</si>
  <si>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</si>
  <si>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</si>
  <si>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</si>
  <si>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</si>
  <si>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</si>
  <si>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</si>
  <si>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</si>
  <si>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</si>
  <si>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</si>
  <si>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</si>
  <si>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</si>
  <si>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</si>
  <si>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</si>
  <si>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</si>
  <si>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</si>
  <si>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</si>
  <si>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</si>
  <si>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</si>
  <si>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</si>
  <si>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</si>
  <si>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</si>
  <si>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</si>
  <si>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</si>
  <si>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</si>
  <si>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</si>
  <si>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</si>
  <si>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</si>
  <si>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</si>
  <si>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</si>
  <si>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</si>
  <si>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</si>
  <si>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</si>
  <si>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</si>
  <si>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</si>
  <si>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</si>
  <si>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</si>
  <si>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</si>
  <si>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</si>
  <si>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</si>
  <si>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</si>
  <si>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</si>
  <si>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</si>
  <si>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</si>
  <si>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</si>
  <si>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</si>
  <si>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</si>
  <si>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</si>
  <si>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</si>
  <si>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</si>
  <si>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</si>
  <si>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</si>
  <si>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</si>
  <si>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</si>
  <si>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</si>
  <si>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</si>
  <si>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</si>
  <si>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</si>
  <si>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</si>
  <si>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</si>
  <si>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</si>
  <si>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</si>
  <si>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</si>
  <si>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</si>
  <si>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</si>
  <si>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</si>
  <si>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</si>
  <si>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</si>
  <si>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</si>
  <si>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</si>
  <si>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</si>
  <si>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</si>
  <si>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</si>
  <si>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</si>
  <si>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</si>
  <si>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</si>
  <si>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</si>
  <si>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</si>
  <si>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</si>
  <si>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</si>
  <si>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</si>
  <si>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</si>
  <si>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</si>
  <si>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</si>
  <si>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</si>
  <si>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</si>
  <si>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</si>
  <si>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</si>
  <si>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</si>
  <si>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</si>
  <si>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</si>
  <si>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</si>
  <si>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</si>
  <si>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</si>
  <si>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</si>
  <si>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</si>
  <si>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</si>
  <si>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</si>
  <si>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</si>
  <si>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</si>
  <si>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</si>
  <si>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</si>
  <si>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</si>
  <si>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</si>
  <si>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</si>
  <si>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</si>
  <si>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</si>
  <si>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</si>
  <si>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</si>
  <si>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</si>
  <si>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</si>
  <si>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</si>
  <si>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</si>
  <si>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</si>
  <si>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</si>
  <si>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</si>
  <si>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</si>
  <si>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</si>
  <si>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</si>
  <si>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</si>
  <si>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</si>
  <si>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</si>
  <si>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</si>
  <si>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</si>
  <si>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</si>
  <si>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</si>
  <si>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</si>
  <si>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</si>
  <si>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</si>
  <si>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</si>
  <si>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</si>
  <si>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</si>
  <si>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</si>
  <si>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</si>
  <si>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</si>
  <si>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</si>
  <si>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</si>
  <si>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</si>
  <si>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</si>
  <si>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</si>
  <si>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</si>
  <si>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</si>
  <si>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</si>
  <si>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</si>
  <si>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</si>
  <si>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</si>
  <si>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</si>
  <si>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</si>
  <si>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</si>
  <si>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</si>
  <si>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</si>
  <si>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</si>
  <si>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</si>
  <si>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</si>
  <si>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</si>
  <si>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</si>
  <si>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</si>
  <si>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</si>
  <si>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</si>
  <si>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</si>
  <si>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</si>
  <si>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</si>
  <si>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</si>
  <si>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</si>
  <si>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</si>
  <si>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</si>
  <si>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</si>
  <si>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</si>
  <si>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</si>
  <si>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</si>
  <si>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</si>
  <si>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</si>
  <si>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</si>
  <si>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</si>
  <si>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</si>
  <si>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</si>
  <si>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</si>
  <si>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</si>
  <si>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</si>
  <si>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</si>
  <si>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</si>
  <si>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</si>
  <si>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</si>
  <si>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</si>
  <si>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</si>
  <si>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</si>
  <si>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</si>
  <si>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</si>
  <si>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</si>
  <si>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</si>
  <si>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</si>
  <si>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</si>
  <si>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</si>
  <si>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</si>
  <si>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</si>
  <si>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</si>
  <si>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</si>
  <si>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</si>
  <si>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</si>
  <si>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</si>
  <si>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</si>
  <si>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</si>
  <si>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</si>
  <si>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</si>
  <si>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</si>
  <si>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</si>
  <si>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</si>
  <si>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</si>
  <si>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</si>
  <si>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</si>
  <si>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</si>
  <si>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</si>
  <si>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</si>
  <si>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</si>
  <si>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</si>
  <si>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</si>
  <si>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</si>
  <si>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</si>
  <si>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</si>
  <si>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</si>
  <si>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</si>
  <si>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</si>
  <si>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</si>
  <si>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</si>
  <si>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</si>
  <si>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</si>
  <si>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</si>
  <si>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</si>
  <si>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</si>
  <si>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</si>
  <si>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</si>
  <si>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</si>
  <si>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</si>
  <si>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</si>
  <si>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</si>
  <si>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</si>
  <si>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</si>
  <si>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</si>
  <si>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</si>
  <si>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</si>
  <si>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</si>
  <si>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</si>
  <si>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</si>
  <si>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</si>
  <si>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</si>
  <si>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</si>
  <si>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</si>
  <si>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</si>
  <si>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</si>
  <si>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</si>
  <si>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</si>
  <si>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</si>
  <si>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</si>
  <si>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</si>
  <si>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</si>
  <si>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</si>
  <si>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</si>
  <si>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</si>
  <si>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</si>
  <si>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</si>
  <si>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</si>
  <si>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</si>
  <si>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</si>
  <si>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</si>
  <si>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</si>
  <si>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</si>
  <si>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</si>
  <si>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</si>
  <si>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</si>
  <si>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</si>
  <si>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</si>
  <si>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</si>
  <si>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</si>
  <si>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</si>
  <si>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</si>
  <si>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</si>
  <si>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</si>
  <si>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</si>
  <si>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</si>
  <si>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</si>
  <si>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</si>
  <si>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</si>
  <si>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</si>
  <si>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</si>
  <si>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</si>
  <si>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</si>
  <si>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</si>
  <si>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</si>
  <si>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</si>
  <si>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</si>
  <si>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</si>
  <si>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</si>
  <si>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</si>
  <si>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</si>
  <si>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</si>
  <si>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</si>
  <si>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</si>
  <si>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</si>
  <si>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</si>
  <si>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</si>
  <si>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</si>
  <si>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</si>
  <si>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</si>
  <si>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</si>
  <si>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</si>
  <si>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</si>
  <si>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</si>
  <si>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</si>
  <si>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</si>
  <si>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</si>
  <si>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</si>
  <si>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</si>
  <si>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</si>
  <si>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</si>
  <si>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</si>
  <si>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</si>
  <si>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</si>
  <si>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</si>
  <si>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</si>
  <si>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</si>
  <si>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</si>
  <si>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</si>
  <si>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</si>
  <si>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</si>
  <si>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</si>
  <si>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</si>
  <si>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</si>
  <si>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</si>
  <si>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</si>
  <si>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</si>
  <si>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</si>
  <si>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</si>
  <si>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</si>
  <si>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</si>
  <si>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</si>
  <si>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</si>
  <si>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</si>
  <si>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</si>
  <si>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</si>
  <si>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</si>
  <si>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</si>
  <si>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</si>
  <si>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</si>
  <si>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</si>
  <si>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</si>
  <si>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</si>
  <si>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</si>
  <si>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</si>
  <si>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</si>
  <si>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</si>
  <si>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</si>
  <si>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</si>
  <si>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</si>
  <si>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</si>
  <si>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</si>
  <si>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</si>
  <si>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</si>
  <si>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</si>
  <si>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</si>
  <si>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</si>
  <si>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</si>
  <si>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</si>
  <si>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</si>
  <si>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</si>
  <si>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</si>
  <si>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</si>
  <si>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</si>
  <si>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</si>
  <si>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</si>
  <si>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</si>
  <si>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</si>
  <si>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</si>
  <si>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</si>
  <si>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</si>
  <si>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</si>
  <si>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</si>
  <si>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</si>
  <si>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</si>
  <si>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</si>
  <si>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</si>
  <si>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</si>
  <si>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</si>
  <si>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</si>
  <si>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</si>
  <si>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</si>
  <si>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</si>
  <si>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</si>
  <si>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</si>
  <si>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</si>
  <si>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</si>
  <si>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</si>
  <si>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</si>
  <si>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</si>
  <si>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</si>
  <si>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</si>
  <si>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</si>
  <si>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</si>
  <si>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</si>
  <si>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</si>
  <si>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</si>
  <si>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</si>
  <si>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</si>
  <si>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</si>
  <si>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</si>
  <si>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</si>
  <si>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</si>
  <si>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</si>
  <si>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</si>
  <si>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</si>
  <si>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</si>
  <si>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</si>
  <si>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</si>
  <si>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</si>
  <si>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</si>
  <si>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</si>
  <si>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</si>
  <si>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</si>
  <si>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</si>
  <si>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</si>
  <si>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</si>
  <si>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</si>
  <si>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</si>
  <si>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</si>
  <si>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</si>
  <si>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</si>
  <si>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</si>
  <si>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</si>
  <si>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</si>
  <si>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</si>
  <si>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</si>
  <si>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</si>
  <si>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</si>
  <si>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</si>
  <si>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</si>
  <si>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</si>
  <si>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</si>
  <si>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</si>
  <si>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</si>
  <si>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</si>
  <si>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</si>
  <si>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</si>
  <si>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</si>
  <si>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</si>
  <si>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</si>
  <si>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</si>
  <si>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</si>
  <si>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</si>
  <si>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</si>
  <si>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</si>
  <si>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</si>
  <si>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</si>
  <si>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</si>
  <si>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</si>
  <si>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</si>
  <si>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</si>
  <si>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</si>
  <si>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</si>
  <si>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</si>
  <si>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</si>
  <si>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</si>
  <si>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</si>
  <si>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</si>
  <si>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</si>
  <si>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</si>
  <si>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</si>
  <si>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</si>
  <si>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</si>
  <si>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</si>
  <si>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</si>
  <si>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</si>
  <si>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</si>
  <si>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</si>
  <si>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</si>
  <si>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</si>
  <si>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</si>
  <si>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</si>
  <si>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</si>
  <si>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</si>
  <si>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</si>
  <si>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</si>
  <si>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</si>
  <si>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</si>
  <si>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</si>
  <si>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</si>
  <si>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</si>
  <si>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</si>
  <si>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</si>
  <si>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</si>
  <si>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</si>
  <si>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</si>
  <si>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</si>
  <si>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</si>
  <si>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</si>
  <si>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</si>
  <si>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</si>
  <si>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</si>
  <si>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</si>
  <si>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</si>
  <si>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</si>
  <si>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</si>
  <si>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</si>
  <si>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</si>
  <si>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</si>
  <si>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</si>
  <si>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</si>
  <si>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</si>
  <si>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</si>
  <si>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</si>
  <si>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</si>
  <si>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</si>
  <si>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</si>
  <si>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</si>
  <si>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</si>
  <si>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</si>
  <si>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</si>
  <si>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</si>
  <si>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</si>
  <si>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</si>
  <si>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</si>
  <si>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</si>
  <si>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</si>
  <si>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</si>
  <si>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</si>
  <si>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</si>
  <si>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</si>
  <si>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</si>
  <si>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</si>
  <si>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</si>
  <si>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</si>
  <si>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</si>
  <si>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</si>
  <si>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</si>
  <si>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</si>
  <si>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</si>
  <si>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</si>
  <si>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</si>
  <si>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</si>
  <si>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</si>
  <si>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</si>
  <si>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</si>
  <si>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</si>
  <si>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</si>
  <si>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</si>
  <si>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</si>
  <si>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</si>
  <si>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</si>
  <si>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</si>
  <si>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</si>
  <si>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</si>
  <si>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</si>
  <si>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</si>
  <si>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</si>
  <si>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</si>
  <si>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</si>
  <si>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</si>
  <si>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</si>
  <si>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</si>
  <si>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</si>
  <si>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</si>
  <si>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</si>
  <si>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</si>
  <si>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</si>
  <si>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</si>
  <si>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</si>
  <si>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</si>
  <si>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</si>
  <si>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</si>
  <si>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</si>
  <si>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</si>
  <si>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</si>
  <si>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</si>
  <si>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</si>
  <si>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</si>
  <si>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</si>
  <si>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</si>
  <si>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</si>
  <si>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</si>
  <si>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</si>
  <si>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</si>
  <si>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</si>
  <si>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</si>
  <si>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</si>
  <si>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</si>
  <si>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</si>
  <si>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</si>
  <si>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</si>
  <si>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</si>
  <si>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</si>
  <si>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</si>
  <si>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</si>
  <si>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</si>
  <si>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</si>
  <si>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</si>
  <si>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</si>
  <si>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</si>
  <si>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</si>
  <si>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</si>
  <si>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</si>
  <si>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</si>
  <si>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</si>
  <si>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</si>
  <si>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</si>
  <si>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</si>
  <si>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</si>
  <si>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</si>
  <si>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</si>
  <si>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</si>
  <si>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</si>
  <si>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</si>
  <si>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</si>
  <si>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</si>
  <si>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</si>
  <si>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</si>
  <si>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</si>
  <si>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</si>
  <si>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</si>
  <si>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</si>
  <si>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</si>
  <si>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</si>
  <si>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</si>
  <si>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</si>
  <si>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</si>
  <si>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</si>
  <si>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</si>
  <si>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</si>
  <si>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</si>
  <si>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</si>
  <si>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</si>
  <si>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</si>
  <si>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</si>
  <si>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</si>
  <si>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</si>
  <si>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</si>
  <si>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</si>
  <si>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</si>
  <si>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</si>
  <si>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</si>
  <si>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</si>
  <si>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</si>
  <si>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</si>
  <si>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</si>
  <si>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</si>
  <si>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</si>
  <si>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</si>
  <si>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</si>
  <si>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</si>
  <si>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</si>
  <si>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</si>
  <si>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</si>
  <si>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</si>
  <si>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</si>
  <si>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</si>
  <si>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</si>
  <si>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</si>
  <si>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</si>
  <si>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</si>
  <si>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</si>
  <si>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</si>
  <si>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</si>
  <si>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</si>
  <si>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</si>
  <si>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</si>
  <si>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</si>
  <si>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</si>
  <si>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</si>
  <si>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</si>
  <si>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</si>
  <si>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</si>
  <si>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</si>
  <si>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</si>
  <si>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</si>
  <si>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</si>
  <si>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</si>
  <si>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</si>
  <si>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</si>
  <si>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</si>
  <si>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</si>
  <si>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</si>
  <si>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</si>
  <si>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</si>
  <si>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</si>
  <si>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</si>
  <si>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</si>
  <si>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</si>
  <si>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</si>
  <si>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</si>
  <si>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</si>
  <si>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</si>
  <si>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</si>
  <si>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</si>
  <si>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</si>
  <si>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</si>
  <si>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</si>
  <si>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</si>
  <si>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</si>
  <si>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</si>
  <si>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</si>
  <si>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</si>
  <si>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</si>
  <si>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</si>
  <si>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</si>
  <si>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</si>
  <si>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</si>
  <si>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</si>
  <si>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</si>
  <si>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</si>
  <si>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</si>
  <si>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</si>
  <si>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</si>
  <si>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</si>
  <si>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</si>
  <si>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</si>
  <si>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</si>
  <si>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</si>
  <si>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</si>
  <si>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</si>
  <si>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</si>
  <si>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</si>
  <si>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</si>
  <si>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</si>
  <si>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</si>
  <si>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</si>
  <si>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</si>
  <si>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</si>
  <si>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</si>
  <si>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</si>
  <si>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</si>
  <si>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</si>
  <si>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</si>
  <si>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</si>
  <si>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</si>
  <si>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</si>
  <si>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</si>
  <si>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</si>
  <si>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</si>
  <si>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</si>
  <si>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</si>
  <si>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</si>
  <si>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</si>
  <si>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</si>
  <si>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</si>
  <si>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</si>
  <si>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</si>
  <si>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</si>
  <si>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</si>
  <si>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</si>
  <si>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</si>
  <si>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</si>
  <si>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</si>
  <si>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</si>
  <si>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</si>
  <si>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</si>
  <si>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</si>
  <si>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</si>
  <si>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</si>
  <si>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</si>
  <si>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</si>
  <si>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</si>
  <si>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</si>
  <si>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</si>
  <si>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</si>
  <si>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</si>
  <si>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</si>
  <si>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</si>
  <si>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</si>
  <si>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</si>
  <si>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</si>
  <si>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</si>
  <si>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</si>
  <si>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</si>
  <si>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</si>
  <si>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</si>
  <si>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</si>
  <si>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</si>
  <si>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</si>
  <si>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</si>
  <si>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</si>
  <si>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</si>
  <si>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</si>
  <si>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</si>
  <si>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</si>
  <si>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</si>
  <si>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</si>
  <si>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</si>
  <si>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</si>
  <si>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</si>
  <si>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</si>
  <si>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</si>
  <si>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</si>
  <si>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</si>
  <si>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</si>
  <si>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</si>
  <si>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</si>
  <si>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</si>
  <si>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</si>
  <si>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</si>
  <si>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</si>
  <si>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</si>
  <si>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</si>
  <si>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</si>
  <si>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</si>
  <si>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</si>
  <si>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</si>
  <si>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</si>
  <si>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</si>
  <si>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</si>
  <si>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</si>
  <si>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</si>
  <si>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</si>
  <si>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</si>
  <si>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</si>
  <si>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</si>
  <si>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</si>
  <si>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</si>
  <si>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</si>
  <si>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</si>
  <si>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</si>
  <si>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</si>
  <si>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</si>
  <si>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</si>
  <si>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</si>
  <si>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</si>
  <si>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</si>
  <si>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</si>
  <si>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</si>
  <si>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</si>
  <si>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</si>
  <si>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</si>
  <si>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</si>
  <si>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</si>
  <si>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</si>
  <si>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</si>
  <si>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</si>
  <si>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</si>
  <si>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</si>
  <si>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</si>
  <si>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</si>
  <si>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</si>
  <si>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</si>
  <si>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</si>
  <si>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</si>
  <si>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</si>
  <si>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</si>
  <si>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</si>
  <si>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</si>
  <si>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</si>
  <si>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</si>
  <si>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</si>
  <si>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</si>
  <si>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</si>
  <si>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</si>
  <si>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</si>
  <si>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</si>
  <si>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</si>
  <si>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</si>
  <si>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</si>
  <si>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</si>
  <si>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</si>
  <si>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</si>
  <si>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</si>
  <si>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</si>
  <si>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</si>
  <si>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</si>
  <si>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</si>
  <si>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</si>
  <si>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</si>
  <si>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</si>
  <si>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</si>
  <si>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</si>
  <si>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</si>
  <si>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</si>
  <si>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</si>
  <si>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</si>
  <si>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</si>
  <si>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</si>
  <si>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</si>
  <si>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</si>
  <si>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</si>
  <si>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</si>
  <si>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</si>
  <si>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</si>
  <si>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</si>
  <si>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</si>
  <si>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</si>
  <si>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</si>
  <si>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</si>
  <si>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</si>
  <si>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</si>
  <si>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</si>
  <si>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</si>
  <si>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</si>
  <si>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</si>
  <si>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</si>
  <si>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</si>
  <si>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</si>
  <si>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</si>
  <si>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</si>
  <si>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</si>
  <si>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</si>
  <si>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</si>
  <si>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</si>
  <si>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</si>
  <si>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</si>
  <si>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</si>
  <si>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</si>
  <si>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</si>
  <si>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</si>
  <si>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</si>
  <si>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</si>
  <si>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</si>
  <si>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</si>
  <si>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</si>
  <si>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</si>
  <si>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</si>
  <si>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</si>
  <si>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</si>
  <si>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</si>
  <si>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</si>
  <si>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</si>
  <si>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</si>
  <si>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</si>
  <si>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</si>
  <si>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</si>
  <si>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</si>
  <si>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</si>
  <si>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</si>
  <si>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</si>
  <si>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</si>
  <si>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</si>
  <si>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</si>
  <si>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</si>
  <si>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</si>
  <si>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</si>
  <si>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</si>
  <si>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</si>
  <si>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</si>
  <si>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</si>
  <si>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</si>
  <si>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</si>
  <si>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</si>
  <si>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</si>
  <si>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</si>
  <si>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</si>
  <si>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</si>
  <si>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</si>
  <si>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</si>
  <si>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</si>
  <si>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</si>
  <si>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</si>
  <si>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</si>
  <si>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</si>
  <si>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</si>
  <si>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</si>
  <si>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</si>
  <si>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</si>
  <si>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</si>
  <si>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</si>
  <si>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</si>
  <si>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</si>
  <si>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</si>
  <si>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</si>
  <si>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</si>
  <si>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</si>
  <si>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</si>
  <si>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</si>
  <si>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</si>
  <si>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</si>
  <si>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</si>
  <si>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</si>
  <si>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</si>
  <si>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</si>
  <si>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</si>
  <si>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</si>
  <si>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</si>
  <si>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</si>
  <si>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</si>
  <si>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</si>
  <si>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</si>
  <si>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</si>
  <si>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</si>
  <si>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</si>
  <si>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</si>
  <si>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</si>
  <si>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</si>
  <si>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</si>
  <si>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</si>
  <si>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</si>
  <si>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</si>
  <si>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</si>
  <si>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</si>
  <si>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</si>
  <si>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</si>
  <si>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</si>
  <si>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</si>
  <si>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</si>
  <si>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</si>
  <si>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</si>
  <si>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</si>
  <si>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</si>
  <si>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</si>
  <si>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</si>
  <si>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</si>
  <si>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</si>
  <si>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</si>
  <si>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</si>
  <si>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</si>
  <si>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</si>
  <si>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</si>
  <si>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</si>
  <si>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</si>
  <si>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</si>
  <si>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</si>
  <si>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</si>
  <si>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</si>
  <si>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</si>
  <si>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</si>
  <si>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</si>
  <si>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</si>
  <si>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</si>
  <si>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</si>
  <si>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</si>
  <si>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</si>
  <si>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</si>
  <si>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</si>
  <si>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</si>
  <si>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</si>
  <si>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</si>
  <si>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</si>
  <si>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</si>
  <si>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</si>
  <si>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</si>
  <si>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</si>
  <si>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</si>
  <si>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</si>
  <si>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</si>
  <si>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</si>
  <si>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</si>
  <si>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</si>
  <si>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</si>
  <si>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</si>
  <si>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</si>
  <si>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</si>
  <si>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</si>
  <si>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</si>
  <si>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</si>
  <si>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</si>
  <si>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</si>
  <si>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</si>
  <si>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</si>
  <si>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</si>
  <si>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</si>
  <si>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</si>
  <si>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</si>
  <si>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</si>
  <si>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</si>
  <si>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</si>
  <si>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</si>
  <si>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</si>
  <si>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</si>
  <si>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</si>
  <si>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</si>
  <si>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</si>
  <si>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</si>
  <si>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</si>
  <si>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</si>
  <si>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</si>
  <si>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</si>
  <si>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</si>
  <si>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</si>
  <si>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</si>
  <si>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</si>
  <si>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</si>
  <si>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</si>
  <si>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</si>
  <si>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</si>
  <si>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</si>
  <si>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</si>
  <si>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</si>
  <si>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</si>
  <si>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</si>
  <si>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</si>
  <si>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</si>
  <si>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</si>
  <si>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</si>
  <si>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</si>
  <si>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</si>
  <si>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</si>
  <si>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</si>
  <si>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</si>
  <si>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</si>
  <si>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</si>
  <si>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</si>
  <si>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</si>
  <si>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</si>
  <si>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</si>
  <si>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</si>
  <si>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</si>
  <si>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</si>
  <si>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</si>
  <si>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</si>
  <si>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</si>
  <si>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</si>
  <si>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</si>
  <si>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</si>
  <si>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</si>
  <si>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</si>
  <si>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</si>
  <si>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</si>
  <si>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</si>
  <si>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</si>
  <si>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</si>
  <si>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</si>
  <si>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</si>
  <si>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</si>
  <si>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</si>
  <si>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</si>
  <si>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</si>
  <si>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</si>
  <si>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</si>
  <si>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</si>
  <si>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</si>
  <si>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</si>
  <si>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</si>
  <si>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</si>
  <si>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</si>
  <si>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</si>
  <si>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</si>
  <si>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</si>
  <si>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</si>
  <si>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</si>
  <si>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</si>
  <si>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</si>
  <si>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</si>
  <si>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</si>
  <si>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</si>
  <si>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</si>
  <si>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</si>
  <si>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</si>
  <si>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</si>
  <si>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</si>
  <si>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</si>
  <si>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</si>
  <si>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</si>
  <si>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</si>
  <si>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</si>
  <si>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</si>
  <si>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</si>
  <si>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</si>
  <si>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</si>
  <si>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</si>
  <si>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</si>
  <si>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</si>
  <si>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</si>
  <si>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</si>
  <si>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</si>
  <si>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</si>
  <si>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</si>
  <si>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</si>
  <si>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</si>
  <si>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</si>
  <si>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</si>
  <si>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</si>
  <si>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</si>
  <si>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</si>
  <si>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</si>
  <si>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</si>
  <si>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</si>
  <si>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</si>
  <si>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</si>
  <si>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</si>
  <si>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</si>
  <si>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</si>
  <si>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</si>
  <si>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</si>
  <si>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</si>
  <si>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</si>
  <si>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</si>
  <si>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</si>
  <si>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</si>
  <si>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</si>
  <si>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</si>
  <si>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</si>
  <si>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</si>
  <si>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</si>
  <si>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</si>
  <si>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</si>
  <si>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</si>
  <si>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</si>
  <si>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</si>
  <si>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</si>
  <si>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</si>
  <si>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</si>
  <si>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</si>
  <si>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</si>
  <si>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</si>
  <si>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</si>
  <si>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</si>
  <si>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</si>
  <si>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</si>
  <si>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</si>
  <si>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</si>
  <si>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</si>
  <si>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</si>
  <si>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</si>
  <si>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</si>
  <si>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</si>
  <si>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</si>
  <si>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</si>
  <si>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</si>
  <si>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</si>
  <si>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</si>
  <si>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</si>
  <si>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</si>
  <si>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</si>
  <si>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</si>
  <si>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</si>
  <si>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</si>
  <si>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</si>
  <si>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</si>
  <si>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</si>
  <si>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</si>
  <si>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</si>
  <si>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</si>
  <si>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</si>
  <si>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</si>
  <si>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</si>
  <si>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</si>
  <si>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</si>
  <si>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</si>
  <si>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</si>
  <si>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</si>
  <si>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</si>
  <si>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</si>
  <si>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</si>
  <si>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</si>
  <si>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</si>
  <si>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</si>
  <si>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</si>
  <si>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</si>
  <si>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</si>
  <si>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</si>
  <si>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</si>
  <si>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</si>
  <si>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</si>
  <si>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</si>
  <si>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</si>
  <si>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</si>
  <si>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</si>
  <si>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</si>
  <si>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</si>
  <si>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</si>
  <si>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</si>
  <si>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</si>
  <si>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</si>
  <si>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</si>
  <si>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</si>
  <si>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</si>
  <si>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</si>
  <si>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</si>
  <si>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</si>
  <si>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</si>
  <si>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</si>
  <si>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</si>
  <si>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</si>
  <si>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</si>
  <si>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</si>
  <si>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</si>
  <si>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</si>
  <si>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</si>
  <si>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</si>
  <si>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</si>
  <si>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</si>
  <si>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</si>
  <si>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</si>
  <si>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</si>
  <si>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</si>
  <si>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Franklin - Jefferson</t>
  </si>
  <si>
    <t>409 East Park</t>
  </si>
  <si>
    <t>Benton</t>
  </si>
  <si>
    <t>Jera Pieper</t>
  </si>
  <si>
    <t>jpieper@fjsped.org</t>
  </si>
  <si>
    <t>618-439-7231</t>
  </si>
  <si>
    <t>618-438-2210</t>
  </si>
  <si>
    <t>Emling &amp; Hoffman, PC</t>
  </si>
  <si>
    <t>Donald L Hoffman</t>
  </si>
  <si>
    <t>1191 West Saint Louis Street</t>
  </si>
  <si>
    <t>Nashville</t>
  </si>
  <si>
    <t>IL</t>
  </si>
  <si>
    <t>618-327-4375</t>
  </si>
  <si>
    <t>618-327-4376</t>
  </si>
  <si>
    <t>060-004252</t>
  </si>
  <si>
    <t>donhoffman@emlingcpa.com</t>
  </si>
  <si>
    <t>Ron Daniels</t>
  </si>
  <si>
    <t>rdaniels@roe13.org</t>
  </si>
  <si>
    <t>618-438-9711</t>
  </si>
  <si>
    <t>618-435-2861</t>
  </si>
  <si>
    <t>Detailed property records are not presently maintained; consequently, we cannot express an opinion on the General Fixed Assets Account Group.</t>
  </si>
  <si>
    <t>See Finding 2020-001</t>
  </si>
  <si>
    <t>Department of Education</t>
  </si>
  <si>
    <t xml:space="preserve">  Flow Through IL State Board of Education</t>
  </si>
  <si>
    <t xml:space="preserve">      I.D.E.A.  Flow Through FY 19 (M)</t>
  </si>
  <si>
    <t>84.027A</t>
  </si>
  <si>
    <t>19-4620</t>
  </si>
  <si>
    <t xml:space="preserve">     Total FY 19 Project</t>
  </si>
  <si>
    <t xml:space="preserve">      I.D.E.A.  Flow Through FY 20 (M)</t>
  </si>
  <si>
    <t xml:space="preserve">     Total FY 20 Project</t>
  </si>
  <si>
    <t>20-4620</t>
  </si>
  <si>
    <t xml:space="preserve">      Preschool  Flow Through FY 20 (M)</t>
  </si>
  <si>
    <t xml:space="preserve">      Preschool  Flow Through FY 19 (M)</t>
  </si>
  <si>
    <t>84.173A</t>
  </si>
  <si>
    <t>19-4600</t>
  </si>
  <si>
    <t>20-4600</t>
  </si>
  <si>
    <t>Department of Agriculture</t>
  </si>
  <si>
    <t xml:space="preserve">       National School Lunch</t>
  </si>
  <si>
    <t xml:space="preserve">                FY 19</t>
  </si>
  <si>
    <t xml:space="preserve">                FY 20</t>
  </si>
  <si>
    <t>19-4210</t>
  </si>
  <si>
    <t>20-4210</t>
  </si>
  <si>
    <t xml:space="preserve">       National School Breakfast</t>
  </si>
  <si>
    <t>19-4220</t>
  </si>
  <si>
    <t>20-4220</t>
  </si>
  <si>
    <t>Total Department of Agriculture</t>
  </si>
  <si>
    <t>Department of Health and Human Services</t>
  </si>
  <si>
    <t xml:space="preserve">  Flow Through IL Healthcare and Family Services</t>
  </si>
  <si>
    <t xml:space="preserve">       Medicaid Admin Outreach</t>
  </si>
  <si>
    <t>19-4991</t>
  </si>
  <si>
    <t>20-4991</t>
  </si>
  <si>
    <t xml:space="preserve">  Flow Through Various School Districts</t>
  </si>
  <si>
    <t>21-4600</t>
  </si>
  <si>
    <t xml:space="preserve">         Spring Garden Dist 178</t>
  </si>
  <si>
    <t xml:space="preserve">                 Preschool  Flow Through FY 21 (M)</t>
  </si>
  <si>
    <t xml:space="preserve">         Thompsonville Unit 174</t>
  </si>
  <si>
    <t xml:space="preserve">         Field District 3</t>
  </si>
  <si>
    <t>Total Flow Through IL State Board of Education</t>
  </si>
  <si>
    <t>Total Department of Education</t>
  </si>
  <si>
    <t>ED-Administration-Purchased Service</t>
  </si>
  <si>
    <t>Brecht's Database</t>
  </si>
  <si>
    <t>ED-Instruction-Purchased Service</t>
  </si>
  <si>
    <t>Clearwave</t>
  </si>
  <si>
    <t>Embrace Education</t>
  </si>
  <si>
    <t>ED-Board Services-Purchased Service</t>
  </si>
  <si>
    <t>Illinois School District Agency</t>
  </si>
  <si>
    <t>ED-Social Work-Purchased Service</t>
  </si>
  <si>
    <t>ED-Therapy-Purchsed Service</t>
  </si>
  <si>
    <t>ED-School Psychologist-Purchased Service</t>
  </si>
  <si>
    <t>ED-Speech Therapist-Purchased Service</t>
  </si>
  <si>
    <t>ED-Intruction-Purchased Service</t>
  </si>
  <si>
    <t>Mt. Vernon City Schools #80</t>
  </si>
  <si>
    <t>ED-Internal Services-Purchased Service</t>
  </si>
  <si>
    <t>Pitney Bowes</t>
  </si>
  <si>
    <t>Summersville Grade School #79</t>
  </si>
  <si>
    <t>UCP/Infinitec</t>
  </si>
  <si>
    <t>Worker's Compensation Self Insurance</t>
  </si>
  <si>
    <t>Xerox Corp</t>
  </si>
  <si>
    <t>Xerox Financial Services</t>
  </si>
  <si>
    <t>Zeigler-Royalton Unit #188</t>
  </si>
  <si>
    <t>Mt. Vernon City Schools #80, Summersville GSD #79, Ziegler-Royalton Dist #188</t>
  </si>
  <si>
    <t>Regional Office of Education #13</t>
  </si>
  <si>
    <t>Williamson County SP ED, Tri-County Sp Ed, Mt. Vernon City Schools #80</t>
  </si>
  <si>
    <t>Total Department of  Health and Human Services</t>
  </si>
  <si>
    <t>TOTAL FEDERAL AWARDS</t>
  </si>
  <si>
    <t>Of the federal expenditures presented in the schedule, Franklin-Jefferson Special Ed District provided federal awards to subrecipients as follows:</t>
  </si>
  <si>
    <r>
      <t xml:space="preserve">The following amounts were expended in the form of non-cash assistance by Franklin - Jefferson Special Ed District and </t>
    </r>
    <r>
      <rPr>
        <b/>
        <sz val="9"/>
        <rFont val="Calibri"/>
        <family val="2"/>
        <scheme val="minor"/>
      </rPr>
      <t>should be</t>
    </r>
    <r>
      <rPr>
        <sz val="9"/>
        <rFont val="Calibri"/>
        <family val="2"/>
        <scheme val="minor"/>
      </rPr>
      <t xml:space="preserve"> included in the Schedule of Expenditures of Federal Awards:</t>
    </r>
  </si>
  <si>
    <t>Unmodified</t>
  </si>
  <si>
    <t>Page 11:  Line 107:  Education Fund:  E-Rate Reimb $6,692,  Misc Rev $18,926</t>
  </si>
  <si>
    <t xml:space="preserve">                I.D.E.A.  Flow Through FY 21 (M)</t>
  </si>
  <si>
    <t>21-4620</t>
  </si>
  <si>
    <t>Rounding</t>
  </si>
  <si>
    <t>NA</t>
  </si>
  <si>
    <t>2019-001</t>
  </si>
  <si>
    <t>2019-002</t>
  </si>
  <si>
    <t>Note 3:  Subrecipients - Concluded</t>
  </si>
  <si>
    <t xml:space="preserve">I.D.E.A. Flow Through </t>
  </si>
  <si>
    <t xml:space="preserve">      Benton High School #103</t>
  </si>
  <si>
    <t xml:space="preserve">      Thompsonville Unit School #174</t>
  </si>
  <si>
    <t xml:space="preserve">      Sesser-Valier #196</t>
  </si>
  <si>
    <t xml:space="preserve">      Akin Grade School #91</t>
  </si>
  <si>
    <t xml:space="preserve">      Christopher CUSD #99</t>
  </si>
  <si>
    <t xml:space="preserve">      Bethel Grade School #82</t>
  </si>
  <si>
    <t xml:space="preserve">      Spring Garden #178</t>
  </si>
  <si>
    <t xml:space="preserve">      Rome School #2</t>
  </si>
  <si>
    <t xml:space="preserve">      Farrington School #99</t>
  </si>
  <si>
    <t xml:space="preserve">      Field Grade School #3</t>
  </si>
  <si>
    <t xml:space="preserve">      Summersville #79</t>
  </si>
  <si>
    <t xml:space="preserve">      Waltonville #1</t>
  </si>
  <si>
    <t xml:space="preserve">       Woodlawn #209</t>
  </si>
  <si>
    <t xml:space="preserve">       Mt. Vernon Grade Schools #80</t>
  </si>
  <si>
    <t xml:space="preserve">      Ewing - Northern District #115</t>
  </si>
  <si>
    <t xml:space="preserve">      Mt. Vernon High School #201</t>
  </si>
  <si>
    <t xml:space="preserve">     Zeigler-Royalton CUSD #188</t>
  </si>
  <si>
    <t xml:space="preserve">      Opdyke-Belle Rive </t>
  </si>
  <si>
    <t xml:space="preserve">      Grand Prairie</t>
  </si>
  <si>
    <t xml:space="preserve">      Benton Grade School #47</t>
  </si>
  <si>
    <t xml:space="preserve">      Blueford </t>
  </si>
  <si>
    <t>84.173A/84.027A</t>
  </si>
  <si>
    <t>US Department of Edcuation/Special Education Cluster</t>
  </si>
  <si>
    <t>Segregation of Duties</t>
  </si>
  <si>
    <t>There is a limited segregation of duties over cash reciepts and disbursements, receiving and purchasing, recording of transactions and reconciliation of bank accounts.  The District employs few individuals to perform all of the above mentioned functions.</t>
  </si>
  <si>
    <t>The District does not have adequate segregation of duties.</t>
  </si>
  <si>
    <t>Transaction and reporting errors could occur and not be detected in a timely manner.</t>
  </si>
  <si>
    <t>The cost versus benefit of hiring additional staff is not conducive for the District.</t>
  </si>
  <si>
    <t>The District should segregate or rotate duties so that no one individual handles a transaction from its inception to its completion.  While the District's staffing arrangement may not permit an adequate segregation of duties in all respects for an effective system of internal control procedures,  it is important that the personnel and management is aware of this condition.</t>
  </si>
  <si>
    <t>The District is aware of this condition.  A review of the staffing arrangement and assignment of duties will be reviewed by the District.</t>
  </si>
  <si>
    <t>Management oversight of financial statements</t>
  </si>
  <si>
    <t>Corrected.</t>
  </si>
  <si>
    <t>Segregation of duties</t>
  </si>
  <si>
    <t>Not implemented due to financial restraints.</t>
  </si>
  <si>
    <t>The accompanying Schedule of Expenditures of Federal Awards includes the federal grant activity of Franklin-Jefferson Special Ed District #801 and is presented on the regualtory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 the basic financial statments.</t>
  </si>
  <si>
    <t xml:space="preserve">  Franklin-Jefferson Co Sp Ed Dist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</si>
</sst>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3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65" fillId="0" borderId="0" xfId="3" applyFont="1" applyBorder="1" applyAlignment="1" applyProtection="1"/>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3" fontId="64" fillId="0" borderId="22" xfId="3" applyNumberFormat="1" applyFont="1" applyBorder="1" applyAlignment="1" applyProtection="1">
      <alignment horizontal="left" vertical="center" wrapText="1"/>
      <protection locked="0"/>
    </xf>
    <xf numFmtId="3" fontId="62" fillId="0" borderId="45" xfId="3" applyNumberFormat="1" applyFont="1" applyBorder="1" applyAlignment="1" applyProtection="1">
      <alignment horizontal="center" shrinkToFit="1"/>
      <protection locked="0"/>
    </xf>
    <xf numFmtId="3" fontId="62" fillId="0" borderId="44" xfId="3" applyNumberFormat="1" applyFont="1" applyBorder="1" applyAlignment="1" applyProtection="1">
      <alignment horizontal="center" shrinkToFit="1"/>
      <protection locked="0"/>
    </xf>
    <xf numFmtId="3" fontId="62" fillId="0" borderId="196" xfId="3" applyNumberFormat="1" applyFont="1" applyBorder="1" applyAlignment="1" applyProtection="1">
      <alignment horizontal="center" shrinkToFit="1"/>
      <protection locked="0"/>
    </xf>
    <xf numFmtId="3" fontId="64" fillId="0" borderId="196"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3" fontId="64" fillId="0" borderId="197" xfId="3" applyNumberFormat="1" applyFont="1" applyBorder="1" applyAlignment="1" applyProtection="1">
      <alignment horizontal="center" shrinkToFit="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5" fontId="55" fillId="0" borderId="0" xfId="3" applyNumberFormat="1" applyFont="1" applyBorder="1" applyAlignment="1" applyProtection="1">
      <protection locked="0"/>
    </xf>
    <xf numFmtId="5" fontId="65" fillId="0" borderId="0" xfId="3" applyNumberFormat="1" applyFont="1" applyBorder="1" applyAlignment="1" applyProtection="1"/>
    <xf numFmtId="5" fontId="55" fillId="0" borderId="0" xfId="3" applyNumberFormat="1" applyFont="1" applyBorder="1" applyAlignment="1" applyProtection="1">
      <alignment horizontal="center"/>
      <protection locked="0"/>
    </xf>
    <xf numFmtId="6" fontId="55" fillId="0" borderId="0" xfId="3" applyNumberFormat="1" applyFont="1" applyBorder="1" applyAlignment="1" applyProtection="1">
      <alignment horizont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5" fontId="65" fillId="0" borderId="0" xfId="3" applyNumberFormat="1" applyFont="1" applyBorder="1" applyAlignment="1" applyProtection="1">
      <protection locked="0"/>
    </xf>
    <xf numFmtId="0" fontId="65" fillId="0" borderId="0" xfId="3" applyFont="1" applyBorder="1" applyAlignment="1" applyProtection="1">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1095375</xdr:colOff>
          <xdr:row>0</xdr:row>
          <xdr:rowOff>142875</xdr:rowOff>
        </xdr:from>
        <xdr:to>
          <xdr:col>1</xdr:col>
          <xdr:colOff>2009775</xdr:colOff>
          <xdr:row>5</xdr:row>
          <xdr:rowOff>9525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2305050</xdr:colOff>
          <xdr:row>0</xdr:row>
          <xdr:rowOff>114300</xdr:rowOff>
        </xdr:from>
        <xdr:to>
          <xdr:col>1</xdr:col>
          <xdr:colOff>3219450</xdr:colOff>
          <xdr:row>4</xdr:row>
          <xdr:rowOff>152400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142875</xdr:rowOff>
        </xdr:from>
        <xdr:to>
          <xdr:col>1</xdr:col>
          <xdr:colOff>790575</xdr:colOff>
          <xdr:row>5</xdr:row>
          <xdr:rowOff>19050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1133475</xdr:colOff>
          <xdr:row>6</xdr:row>
          <xdr:rowOff>142875</xdr:rowOff>
        </xdr:from>
        <xdr:to>
          <xdr:col>1</xdr:col>
          <xdr:colOff>2047875</xdr:colOff>
          <xdr:row>11</xdr:row>
          <xdr:rowOff>19050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2333625</xdr:colOff>
          <xdr:row>7</xdr:row>
          <xdr:rowOff>47625</xdr:rowOff>
        </xdr:from>
        <xdr:to>
          <xdr:col>1</xdr:col>
          <xdr:colOff>3248025</xdr:colOff>
          <xdr:row>11</xdr:row>
          <xdr:rowOff>85725</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3">
        <f>+'AFR20'!E4</f>
        <v>44119</v>
      </c>
      <c r="C1" s="2133"/>
      <c r="D1" s="2134"/>
      <c r="I1" s="2092" t="s">
        <v>402</v>
      </c>
      <c r="J1" s="2093"/>
      <c r="K1" s="2093"/>
      <c r="L1" s="2093"/>
      <c r="M1" s="2093"/>
      <c r="N1" s="2093"/>
      <c r="O1" s="2093"/>
      <c r="P1" s="2093"/>
      <c r="Q1" s="2093"/>
      <c r="R1" s="2093"/>
      <c r="S1" s="2093"/>
    </row>
    <row r="2" spans="1:32" ht="12" customHeight="1" x14ac:dyDescent="0.2">
      <c r="A2" s="1831" t="str">
        <f>"Due to ISBE on "</f>
        <v xml:space="preserve">Due to ISBE on </v>
      </c>
      <c r="B2" s="2135">
        <f>+'AFR20'!F4</f>
        <v>44151</v>
      </c>
      <c r="C2" s="2135"/>
      <c r="D2" s="2136"/>
      <c r="I2" s="2094" t="s">
        <v>1999</v>
      </c>
      <c r="J2" s="2093"/>
      <c r="K2" s="2093"/>
      <c r="L2" s="2093"/>
      <c r="M2" s="2093"/>
      <c r="N2" s="2093"/>
      <c r="O2" s="2093"/>
      <c r="P2" s="2093"/>
      <c r="Q2" s="2093"/>
      <c r="R2" s="2093"/>
      <c r="S2" s="2093"/>
    </row>
    <row r="3" spans="1:32" ht="12" customHeight="1" x14ac:dyDescent="0.2">
      <c r="A3" s="1834" t="str">
        <f>"SD/JA"&amp;MID('AFR20'!E2,3,2)</f>
        <v>SD/JA20</v>
      </c>
      <c r="B3" s="151"/>
      <c r="C3" s="151"/>
      <c r="D3" s="152"/>
      <c r="I3" s="2094" t="s">
        <v>52</v>
      </c>
      <c r="J3" s="2093"/>
      <c r="K3" s="2093"/>
      <c r="L3" s="2093"/>
      <c r="M3" s="2093"/>
      <c r="N3" s="2093"/>
      <c r="O3" s="2093"/>
      <c r="P3" s="2093"/>
      <c r="Q3" s="2093"/>
      <c r="R3" s="2093"/>
      <c r="S3" s="2093"/>
    </row>
    <row r="4" spans="1:32" ht="12" customHeight="1" x14ac:dyDescent="0.2">
      <c r="A4" s="37"/>
      <c r="I4" s="2094" t="s">
        <v>521</v>
      </c>
      <c r="J4" s="2093"/>
      <c r="K4" s="2093"/>
      <c r="L4" s="2093"/>
      <c r="M4" s="2093"/>
      <c r="N4" s="2093"/>
      <c r="O4" s="2093"/>
      <c r="P4" s="2093"/>
      <c r="Q4" s="2093"/>
      <c r="R4" s="2093"/>
      <c r="S4" s="2093"/>
    </row>
    <row r="5" spans="1:32" ht="14.1" customHeight="1" x14ac:dyDescent="0.2">
      <c r="B5" s="101"/>
      <c r="C5" s="26" t="s">
        <v>904</v>
      </c>
      <c r="D5" s="81"/>
      <c r="E5" s="81"/>
      <c r="H5" s="38"/>
      <c r="I5" s="2102" t="s">
        <v>675</v>
      </c>
      <c r="J5" s="2101"/>
      <c r="K5" s="2101"/>
      <c r="L5" s="2101"/>
      <c r="M5" s="2101"/>
      <c r="N5" s="2101"/>
      <c r="O5" s="2101"/>
      <c r="P5" s="2101"/>
      <c r="Q5" s="2101"/>
      <c r="R5" s="2101"/>
      <c r="S5" s="2101"/>
      <c r="AF5" s="1827"/>
    </row>
    <row r="6" spans="1:32" ht="14.1" customHeight="1" x14ac:dyDescent="0.2">
      <c r="B6" s="101" t="s">
        <v>2047</v>
      </c>
      <c r="C6" s="26" t="s">
        <v>905</v>
      </c>
      <c r="D6" s="81"/>
      <c r="E6" s="81"/>
      <c r="I6" s="2100" t="s">
        <v>877</v>
      </c>
      <c r="J6" s="2101"/>
      <c r="K6" s="2101"/>
      <c r="L6" s="2101"/>
      <c r="M6" s="2101"/>
      <c r="N6" s="2101"/>
      <c r="O6" s="2101"/>
      <c r="P6" s="2101"/>
      <c r="Q6" s="2101"/>
      <c r="R6" s="2101"/>
      <c r="S6" s="2101"/>
    </row>
    <row r="7" spans="1:32" ht="12.2" customHeight="1" x14ac:dyDescent="0.2">
      <c r="I7" s="2095" t="str">
        <f>"June 30, "&amp;'AFR20'!E2</f>
        <v>June 30, 2020</v>
      </c>
      <c r="J7" s="2096"/>
      <c r="K7" s="2096"/>
      <c r="L7" s="2096"/>
      <c r="M7" s="2096"/>
      <c r="N7" s="2096"/>
      <c r="O7" s="2096"/>
      <c r="P7" s="2096"/>
      <c r="Q7" s="2096"/>
      <c r="R7" s="2096"/>
      <c r="S7" s="209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7" t="s">
        <v>669</v>
      </c>
      <c r="J9" s="2098"/>
      <c r="K9" s="2098"/>
      <c r="L9" s="2098"/>
      <c r="M9" s="2098"/>
      <c r="N9" s="2098"/>
      <c r="O9" s="2098"/>
      <c r="P9" s="2098"/>
      <c r="Q9" s="2098"/>
      <c r="R9" s="2098"/>
      <c r="S9" s="2099"/>
      <c r="T9" s="2150" t="s">
        <v>530</v>
      </c>
      <c r="U9" s="2151"/>
      <c r="V9" s="2151"/>
      <c r="W9" s="2151"/>
      <c r="X9" s="2151"/>
      <c r="Y9" s="2151"/>
      <c r="Z9" s="2151"/>
      <c r="AA9" s="2152"/>
    </row>
    <row r="10" spans="1:32" ht="13.5" customHeight="1" x14ac:dyDescent="0.2">
      <c r="A10" s="2157" t="s">
        <v>670</v>
      </c>
      <c r="B10" s="2158"/>
      <c r="C10" s="2158"/>
      <c r="D10" s="2158"/>
      <c r="E10" s="2158"/>
      <c r="F10" s="2158"/>
      <c r="G10" s="2158"/>
      <c r="H10" s="2159"/>
      <c r="I10" s="29"/>
      <c r="J10" s="30"/>
      <c r="K10" s="28"/>
      <c r="R10" s="30"/>
      <c r="S10" s="30"/>
      <c r="T10" s="2153"/>
      <c r="U10" s="2101"/>
      <c r="V10" s="2101"/>
      <c r="W10" s="2101"/>
      <c r="X10" s="2101"/>
      <c r="Y10" s="2101"/>
      <c r="Z10" s="2101"/>
      <c r="AA10" s="2107"/>
    </row>
    <row r="11" spans="1:32" ht="14.25" customHeight="1" x14ac:dyDescent="0.2">
      <c r="A11" s="2160" t="s">
        <v>949</v>
      </c>
      <c r="B11" s="2161"/>
      <c r="C11" s="2161"/>
      <c r="D11" s="2161"/>
      <c r="E11" s="2161"/>
      <c r="F11" s="2161"/>
      <c r="G11" s="2161"/>
      <c r="H11" s="2162"/>
      <c r="I11" s="27"/>
      <c r="J11" s="71"/>
      <c r="K11" s="27"/>
      <c r="O11" s="144" t="s">
        <v>2047</v>
      </c>
      <c r="P11" s="97" t="s">
        <v>199</v>
      </c>
      <c r="Q11" s="30"/>
      <c r="R11" s="28"/>
      <c r="S11" s="27"/>
      <c r="T11" s="2154"/>
      <c r="U11" s="2155"/>
      <c r="V11" s="2155"/>
      <c r="W11" s="2155"/>
      <c r="X11" s="2155"/>
      <c r="Y11" s="2155"/>
      <c r="Z11" s="2155"/>
      <c r="AA11" s="215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3">
        <v>13041801060</v>
      </c>
      <c r="B13" s="2114"/>
      <c r="C13" s="2114"/>
      <c r="D13" s="2114"/>
      <c r="E13" s="2114"/>
      <c r="F13" s="2114"/>
      <c r="G13" s="2114"/>
      <c r="H13" s="2115"/>
      <c r="I13" s="31"/>
      <c r="J13" s="30"/>
      <c r="K13" s="28"/>
      <c r="L13" s="30"/>
      <c r="M13" s="30"/>
      <c r="N13" s="30"/>
      <c r="O13" s="30"/>
      <c r="P13" s="30"/>
      <c r="Q13" s="30"/>
      <c r="R13" s="30"/>
      <c r="S13" s="30"/>
      <c r="T13" s="2119" t="s">
        <v>2055</v>
      </c>
      <c r="U13" s="2120"/>
      <c r="V13" s="2120"/>
      <c r="W13" s="2120"/>
      <c r="X13" s="2120"/>
      <c r="Y13" s="2121"/>
      <c r="Z13" s="2121"/>
      <c r="AA13" s="2122"/>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6" t="s">
        <v>2048</v>
      </c>
      <c r="B15" s="2117"/>
      <c r="C15" s="2117"/>
      <c r="D15" s="2117"/>
      <c r="E15" s="2117"/>
      <c r="F15" s="2117"/>
      <c r="G15" s="2117"/>
      <c r="H15" s="2118"/>
      <c r="T15" s="2123" t="s">
        <v>2056</v>
      </c>
      <c r="U15" s="2080"/>
      <c r="V15" s="2080"/>
      <c r="W15" s="2080"/>
      <c r="X15" s="2080"/>
      <c r="Y15" s="2124"/>
      <c r="Z15" s="2124"/>
      <c r="AA15" s="212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6" t="s">
        <v>2180</v>
      </c>
      <c r="B17" s="2087"/>
      <c r="C17" s="2087"/>
      <c r="D17" s="2087"/>
      <c r="E17" s="2087"/>
      <c r="F17" s="2087"/>
      <c r="G17" s="2087"/>
      <c r="H17" s="2112"/>
      <c r="T17" s="2130" t="s">
        <v>2057</v>
      </c>
      <c r="U17" s="2131"/>
      <c r="V17" s="2131"/>
      <c r="W17" s="2131"/>
      <c r="X17" s="2131"/>
      <c r="Y17" s="2131"/>
      <c r="Z17" s="2131"/>
      <c r="AA17" s="2132"/>
    </row>
    <row r="18" spans="1:27" ht="13.5" customHeight="1" x14ac:dyDescent="0.2">
      <c r="A18" s="82" t="s">
        <v>527</v>
      </c>
      <c r="B18" s="73"/>
      <c r="C18" s="69"/>
      <c r="D18" s="73"/>
      <c r="E18" s="73"/>
      <c r="F18" s="73"/>
      <c r="G18" s="73"/>
      <c r="H18" s="53"/>
      <c r="I18" s="2111" t="s">
        <v>671</v>
      </c>
      <c r="J18" s="2062"/>
      <c r="K18" s="2062"/>
      <c r="L18" s="2062"/>
      <c r="M18" s="2062"/>
      <c r="N18" s="2062"/>
      <c r="O18" s="2062"/>
      <c r="P18" s="2062"/>
      <c r="Q18" s="2062"/>
      <c r="R18" s="2062"/>
      <c r="S18" s="2063"/>
      <c r="T18" s="82" t="s">
        <v>706</v>
      </c>
      <c r="U18" s="48"/>
      <c r="V18" s="69"/>
      <c r="W18" s="47"/>
      <c r="X18" s="82" t="s">
        <v>264</v>
      </c>
      <c r="Y18" s="78"/>
      <c r="Z18" s="154" t="s">
        <v>672</v>
      </c>
      <c r="AA18" s="44"/>
    </row>
    <row r="19" spans="1:27" ht="13.5" customHeight="1" x14ac:dyDescent="0.2">
      <c r="A19" s="2116" t="s">
        <v>2049</v>
      </c>
      <c r="B19" s="2072"/>
      <c r="C19" s="2072"/>
      <c r="D19" s="2072"/>
      <c r="E19" s="2072"/>
      <c r="F19" s="2072"/>
      <c r="G19" s="2072"/>
      <c r="H19" s="2052"/>
      <c r="I19" s="30"/>
      <c r="J19" s="96"/>
      <c r="K19" s="40"/>
      <c r="L19" s="38"/>
      <c r="M19" s="109" t="s">
        <v>312</v>
      </c>
      <c r="P19" s="27"/>
      <c r="Q19" s="27"/>
      <c r="R19" s="27"/>
      <c r="S19" s="31"/>
      <c r="T19" s="2116" t="s">
        <v>2058</v>
      </c>
      <c r="U19" s="2051"/>
      <c r="V19" s="2051"/>
      <c r="W19" s="2052"/>
      <c r="X19" s="2128" t="s">
        <v>2059</v>
      </c>
      <c r="Y19" s="2129"/>
      <c r="Z19" s="2126">
        <v>62263</v>
      </c>
      <c r="AA19" s="212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50" t="s">
        <v>2050</v>
      </c>
      <c r="B21" s="2051"/>
      <c r="C21" s="2051"/>
      <c r="D21" s="2051"/>
      <c r="E21" s="2051"/>
      <c r="F21" s="2051"/>
      <c r="G21" s="2051"/>
      <c r="H21" s="2052"/>
      <c r="I21" s="2106" t="s">
        <v>673</v>
      </c>
      <c r="J21" s="2101"/>
      <c r="K21" s="2101"/>
      <c r="L21" s="2101"/>
      <c r="M21" s="2101"/>
      <c r="N21" s="2101"/>
      <c r="O21" s="2101"/>
      <c r="P21" s="2101"/>
      <c r="Q21" s="2101"/>
      <c r="R21" s="2101"/>
      <c r="S21" s="2107"/>
      <c r="T21" s="2141" t="s">
        <v>2060</v>
      </c>
      <c r="U21" s="2142"/>
      <c r="V21" s="2142"/>
      <c r="W21" s="2142"/>
      <c r="X21" s="2147" t="s">
        <v>2061</v>
      </c>
      <c r="Y21" s="2148"/>
      <c r="Z21" s="2148"/>
      <c r="AA21" s="2149"/>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3" t="s">
        <v>2052</v>
      </c>
      <c r="B23" s="2104"/>
      <c r="C23" s="2104"/>
      <c r="D23" s="2104"/>
      <c r="E23" s="2104"/>
      <c r="F23" s="2104"/>
      <c r="G23" s="2104"/>
      <c r="H23" s="2105"/>
      <c r="T23" s="2086" t="s">
        <v>2062</v>
      </c>
      <c r="U23" s="2140"/>
      <c r="V23" s="2140"/>
      <c r="W23" s="2140"/>
      <c r="X23" s="2144">
        <v>44197</v>
      </c>
      <c r="Y23" s="2145"/>
      <c r="Z23" s="2145"/>
      <c r="AA23" s="2146"/>
    </row>
    <row r="24" spans="1:27" ht="14.1" customHeight="1" x14ac:dyDescent="0.2">
      <c r="A24" s="85" t="s">
        <v>672</v>
      </c>
      <c r="B24" s="46"/>
      <c r="C24" s="46"/>
      <c r="D24" s="46"/>
      <c r="E24" s="46"/>
      <c r="F24" s="46"/>
      <c r="G24" s="46"/>
      <c r="H24" s="58"/>
      <c r="J24" s="2073" t="str">
        <f>IF(B5="x",IF(AUDITCHECK!D29="AFR form Incomplete.","",IF(AUDITCHECK!D29="Deficit reduction plan is required.","School District must complete a deficit reduction plan in the 2020-2021 Budget",)),"")</f>
        <v/>
      </c>
      <c r="K24" s="2073"/>
      <c r="L24" s="2073"/>
      <c r="M24" s="2073"/>
      <c r="N24" s="2073"/>
      <c r="O24" s="2073"/>
      <c r="P24" s="2073"/>
      <c r="Q24" s="2073"/>
      <c r="R24" s="2073"/>
      <c r="S24" s="2074"/>
      <c r="T24" s="102" t="s">
        <v>528</v>
      </c>
      <c r="U24" s="103"/>
      <c r="V24" s="103"/>
      <c r="W24" s="103"/>
      <c r="X24" s="104"/>
      <c r="Y24" s="104"/>
      <c r="Z24" s="104"/>
      <c r="AA24" s="105"/>
    </row>
    <row r="25" spans="1:27" ht="14.1" customHeight="1" x14ac:dyDescent="0.2">
      <c r="A25" s="2050">
        <v>62812</v>
      </c>
      <c r="B25" s="2051"/>
      <c r="C25" s="2051"/>
      <c r="D25" s="2051"/>
      <c r="E25" s="2051"/>
      <c r="F25" s="2051"/>
      <c r="G25" s="2051"/>
      <c r="H25" s="2052"/>
      <c r="I25" s="110"/>
      <c r="J25" s="2075"/>
      <c r="K25" s="2075"/>
      <c r="L25" s="2075"/>
      <c r="M25" s="2075"/>
      <c r="N25" s="2075"/>
      <c r="O25" s="2075"/>
      <c r="P25" s="2075"/>
      <c r="Q25" s="2075"/>
      <c r="R25" s="2075"/>
      <c r="S25" s="2076"/>
      <c r="T25" s="2137" t="s">
        <v>2063</v>
      </c>
      <c r="U25" s="2138"/>
      <c r="V25" s="2138"/>
      <c r="W25" s="2138"/>
      <c r="X25" s="2138"/>
      <c r="Y25" s="2138"/>
      <c r="Z25" s="2138"/>
      <c r="AA25" s="213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61" t="s">
        <v>1494</v>
      </c>
      <c r="J27" s="2062"/>
      <c r="K27" s="2062"/>
      <c r="L27" s="2062"/>
      <c r="M27" s="2062"/>
      <c r="N27" s="2062"/>
      <c r="O27" s="2062"/>
      <c r="P27" s="2062"/>
      <c r="Q27" s="2062"/>
      <c r="R27" s="2062"/>
      <c r="S27" s="206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2047</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2047</v>
      </c>
      <c r="C30" s="121" t="s">
        <v>1154</v>
      </c>
      <c r="D30" s="28"/>
      <c r="E30" s="28"/>
      <c r="F30" s="136"/>
      <c r="G30" s="111"/>
      <c r="H30" s="111"/>
      <c r="I30" s="51"/>
      <c r="J30" s="144" t="s">
        <v>2047</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2047</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2047</v>
      </c>
      <c r="C34" s="32" t="s">
        <v>539</v>
      </c>
      <c r="D34" s="31"/>
      <c r="E34" s="31"/>
      <c r="F34" s="31"/>
      <c r="G34" s="31"/>
      <c r="H34" s="31"/>
      <c r="I34" s="51"/>
      <c r="J34" s="80"/>
      <c r="L34" s="98"/>
      <c r="M34" s="90" t="s">
        <v>702</v>
      </c>
      <c r="N34" s="30"/>
      <c r="O34" s="30"/>
      <c r="P34" s="30"/>
      <c r="Q34" s="30"/>
      <c r="R34" s="30"/>
      <c r="S34" s="52"/>
      <c r="T34" s="30"/>
      <c r="U34" s="144" t="s">
        <v>2047</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2"/>
      <c r="Q35" s="2051"/>
      <c r="R35" s="205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6" t="s">
        <v>2051</v>
      </c>
      <c r="B38" s="2087"/>
      <c r="C38" s="2087"/>
      <c r="D38" s="2087"/>
      <c r="E38" s="2087"/>
      <c r="F38" s="2051"/>
      <c r="G38" s="2051"/>
      <c r="H38" s="2052"/>
      <c r="I38" s="2079"/>
      <c r="J38" s="2080"/>
      <c r="K38" s="2080"/>
      <c r="L38" s="2080"/>
      <c r="M38" s="2080"/>
      <c r="N38" s="2080"/>
      <c r="O38" s="2080"/>
      <c r="P38" s="2081"/>
      <c r="Q38" s="2081"/>
      <c r="R38" s="2081"/>
      <c r="S38" s="2082"/>
      <c r="T38" s="2123" t="s">
        <v>2064</v>
      </c>
      <c r="U38" s="2080"/>
      <c r="V38" s="2080"/>
      <c r="W38" s="2080"/>
      <c r="X38" s="2081"/>
      <c r="Y38" s="2081"/>
      <c r="Z38" s="2081"/>
      <c r="AA38" s="2082"/>
    </row>
    <row r="39" spans="1:27" ht="12" customHeight="1" x14ac:dyDescent="0.2">
      <c r="A39" s="2056" t="s">
        <v>528</v>
      </c>
      <c r="B39" s="2057"/>
      <c r="C39" s="69"/>
      <c r="D39" s="66"/>
      <c r="E39" s="66"/>
      <c r="F39" s="76"/>
      <c r="G39" s="66"/>
      <c r="H39" s="53"/>
      <c r="I39" s="2056" t="s">
        <v>528</v>
      </c>
      <c r="J39" s="2057"/>
      <c r="K39" s="2057"/>
      <c r="L39" s="2057"/>
      <c r="M39" s="2057"/>
      <c r="N39" s="64"/>
      <c r="O39" s="69"/>
      <c r="P39" s="69"/>
      <c r="Q39" s="75"/>
      <c r="R39" s="69"/>
      <c r="S39" s="53"/>
      <c r="T39" s="69" t="s">
        <v>528</v>
      </c>
      <c r="U39" s="48"/>
      <c r="V39" s="69"/>
      <c r="W39" s="47"/>
      <c r="X39" s="75"/>
      <c r="Y39" s="43"/>
      <c r="Z39" s="43"/>
      <c r="AA39" s="44"/>
    </row>
    <row r="40" spans="1:27" ht="13.5" customHeight="1" x14ac:dyDescent="0.2">
      <c r="A40" s="2064" t="s">
        <v>2052</v>
      </c>
      <c r="B40" s="2065"/>
      <c r="C40" s="2066"/>
      <c r="D40" s="2066"/>
      <c r="E40" s="2066"/>
      <c r="F40" s="2067"/>
      <c r="G40" s="2067"/>
      <c r="H40" s="2068"/>
      <c r="I40" s="2089"/>
      <c r="J40" s="2090"/>
      <c r="K40" s="2090"/>
      <c r="L40" s="2090"/>
      <c r="M40" s="2090"/>
      <c r="N40" s="2090"/>
      <c r="O40" s="2090"/>
      <c r="P40" s="2090"/>
      <c r="Q40" s="2090"/>
      <c r="R40" s="2090"/>
      <c r="S40" s="2091"/>
      <c r="T40" s="2089" t="s">
        <v>2065</v>
      </c>
      <c r="U40" s="2143"/>
      <c r="V40" s="2090"/>
      <c r="W40" s="2090"/>
      <c r="X40" s="2090"/>
      <c r="Y40" s="2090"/>
      <c r="Z40" s="2090"/>
      <c r="AA40" s="209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8" t="s">
        <v>2053</v>
      </c>
      <c r="B42" s="2070"/>
      <c r="C42" s="2071"/>
      <c r="D42" s="2069" t="s">
        <v>2054</v>
      </c>
      <c r="E42" s="2070"/>
      <c r="F42" s="2070"/>
      <c r="G42" s="2070"/>
      <c r="H42" s="2071"/>
      <c r="I42" s="2053"/>
      <c r="J42" s="2054"/>
      <c r="K42" s="2054"/>
      <c r="L42" s="2054"/>
      <c r="M42" s="2054"/>
      <c r="N42" s="2054"/>
      <c r="O42" s="2055"/>
      <c r="P42" s="2088"/>
      <c r="Q42" s="2054"/>
      <c r="R42" s="2054"/>
      <c r="S42" s="2055"/>
      <c r="T42" s="2053" t="s">
        <v>2066</v>
      </c>
      <c r="U42" s="2054"/>
      <c r="V42" s="2054"/>
      <c r="W42" s="2055"/>
      <c r="X42" s="2088" t="s">
        <v>2067</v>
      </c>
      <c r="Y42" s="2054"/>
      <c r="Z42" s="2054"/>
      <c r="AA42" s="205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3"/>
      <c r="B44" s="2084"/>
      <c r="C44" s="2084"/>
      <c r="D44" s="2084"/>
      <c r="E44" s="2084"/>
      <c r="F44" s="2084"/>
      <c r="G44" s="2084"/>
      <c r="H44" s="2085"/>
      <c r="I44" s="2058"/>
      <c r="J44" s="2059"/>
      <c r="K44" s="2059"/>
      <c r="L44" s="2059"/>
      <c r="M44" s="2059"/>
      <c r="N44" s="2059"/>
      <c r="O44" s="2059"/>
      <c r="P44" s="2059"/>
      <c r="Q44" s="2059"/>
      <c r="R44" s="2059"/>
      <c r="S44" s="2060"/>
      <c r="T44" s="2058"/>
      <c r="U44" s="2077"/>
      <c r="V44" s="2077"/>
      <c r="W44" s="2077"/>
      <c r="X44" s="2077"/>
      <c r="Y44" s="2077"/>
      <c r="Z44" s="2059"/>
      <c r="AA44" s="206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horizontalDpi="4294967293" verticalDpi="4294967293"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19" sqref="A19:H1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01" t="s">
        <v>1775</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02"/>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1781</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19" sqref="A19:H1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3" t="s">
        <v>625</v>
      </c>
      <c r="B1" s="2321"/>
      <c r="C1" s="585"/>
    </row>
    <row r="2" spans="1:7" ht="33.75" x14ac:dyDescent="0.2">
      <c r="A2" s="2328" t="s">
        <v>1775</v>
      </c>
      <c r="B2" s="232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30" t="s">
        <v>1104</v>
      </c>
      <c r="B3" s="2331"/>
      <c r="C3" s="2324"/>
      <c r="D3" s="2325"/>
      <c r="E3" s="2325"/>
      <c r="F3" s="2326"/>
    </row>
    <row r="4" spans="1:7" ht="12.75" customHeight="1" thickBot="1" x14ac:dyDescent="0.25">
      <c r="A4" s="2318" t="s">
        <v>626</v>
      </c>
      <c r="B4" s="2319"/>
      <c r="C4" s="1656"/>
      <c r="D4" s="1656"/>
      <c r="E4" s="1656"/>
      <c r="F4" s="1732">
        <f>SUM(C4+D4)-E4</f>
        <v>0</v>
      </c>
    </row>
    <row r="5" spans="1:7" ht="15.75" customHeight="1" thickTop="1" x14ac:dyDescent="0.2">
      <c r="A5" s="2322" t="s">
        <v>1101</v>
      </c>
      <c r="B5" s="2317"/>
      <c r="C5" s="2311"/>
      <c r="D5" s="2312"/>
      <c r="E5" s="2312"/>
      <c r="F5" s="231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14" t="s">
        <v>627</v>
      </c>
      <c r="B15" s="2315"/>
      <c r="C15" s="1732">
        <f>SUM(C6:C14)</f>
        <v>0</v>
      </c>
      <c r="D15" s="1732">
        <f>SUM(D6:D14)</f>
        <v>0</v>
      </c>
      <c r="E15" s="1732">
        <f>SUM(E6:E14)</f>
        <v>0</v>
      </c>
      <c r="F15" s="1732">
        <f>SUM(F6:F14)</f>
        <v>0</v>
      </c>
      <c r="G15" s="473"/>
    </row>
    <row r="16" spans="1:7" s="197" customFormat="1" ht="15.75" customHeight="1" thickTop="1" x14ac:dyDescent="0.2">
      <c r="A16" s="2327" t="s">
        <v>1102</v>
      </c>
      <c r="B16" s="2317"/>
      <c r="C16" s="2311"/>
      <c r="D16" s="2312"/>
      <c r="E16" s="2312"/>
      <c r="F16" s="2313"/>
    </row>
    <row r="17" spans="1:11" ht="12.75" customHeight="1" thickBot="1" x14ac:dyDescent="0.25">
      <c r="A17" s="2309" t="s">
        <v>64</v>
      </c>
      <c r="B17" s="2310"/>
      <c r="C17" s="1733"/>
      <c r="D17" s="1664"/>
      <c r="E17" s="1733"/>
      <c r="F17" s="1732">
        <f>SUM(C17+D17)-E17</f>
        <v>0</v>
      </c>
    </row>
    <row r="18" spans="1:11" ht="12.75" customHeight="1" thickTop="1" thickBot="1" x14ac:dyDescent="0.25">
      <c r="A18" s="2309" t="s">
        <v>6</v>
      </c>
      <c r="B18" s="2310"/>
      <c r="C18" s="1733"/>
      <c r="D18" s="1664"/>
      <c r="E18" s="1733"/>
      <c r="F18" s="1732">
        <f>SUM(C18+D18)-E18</f>
        <v>0</v>
      </c>
    </row>
    <row r="19" spans="1:11" ht="12.75" customHeight="1" thickTop="1" thickBot="1" x14ac:dyDescent="0.25">
      <c r="A19" s="2309" t="s">
        <v>385</v>
      </c>
      <c r="B19" s="2310"/>
      <c r="C19" s="1733"/>
      <c r="D19" s="1664"/>
      <c r="E19" s="1733"/>
      <c r="F19" s="1732">
        <f>SUM(C19+D19)-E19</f>
        <v>0</v>
      </c>
    </row>
    <row r="20" spans="1:11" ht="12.75" customHeight="1" thickTop="1" thickBot="1" x14ac:dyDescent="0.25">
      <c r="A20" s="2309" t="s">
        <v>445</v>
      </c>
      <c r="B20" s="2310"/>
      <c r="C20" s="1733"/>
      <c r="D20" s="1664"/>
      <c r="E20" s="1733"/>
      <c r="F20" s="1732">
        <f>SUM(C20+D20)-E20</f>
        <v>0</v>
      </c>
    </row>
    <row r="21" spans="1:11" ht="14.25" thickTop="1" thickBot="1" x14ac:dyDescent="0.25">
      <c r="A21" s="2314" t="s">
        <v>628</v>
      </c>
      <c r="B21" s="2315"/>
      <c r="C21" s="1732">
        <f>SUM(C17:C20)</f>
        <v>0</v>
      </c>
      <c r="D21" s="1732">
        <f>SUM(D17:D20)</f>
        <v>0</v>
      </c>
      <c r="E21" s="1732">
        <f>SUM(E17:E20)</f>
        <v>0</v>
      </c>
      <c r="F21" s="1732">
        <f>SUM(F17:F20)</f>
        <v>0</v>
      </c>
      <c r="G21" s="473"/>
    </row>
    <row r="22" spans="1:11" ht="15.75" customHeight="1" thickTop="1" x14ac:dyDescent="0.2">
      <c r="A22" s="2316" t="s">
        <v>1103</v>
      </c>
      <c r="B22" s="2317"/>
      <c r="C22" s="2311"/>
      <c r="D22" s="2312"/>
      <c r="E22" s="2312"/>
      <c r="F22" s="2313"/>
    </row>
    <row r="23" spans="1:11" ht="13.5" thickBot="1" x14ac:dyDescent="0.25">
      <c r="A23" s="2318" t="s">
        <v>629</v>
      </c>
      <c r="B23" s="2319"/>
      <c r="C23" s="1656"/>
      <c r="D23" s="1656"/>
      <c r="E23" s="1656"/>
      <c r="F23" s="1732">
        <f>SUM(C23+D23)-E23</f>
        <v>0</v>
      </c>
      <c r="G23" s="473"/>
    </row>
    <row r="24" spans="1:11" ht="15.75" customHeight="1" thickTop="1" x14ac:dyDescent="0.2">
      <c r="A24" s="2316" t="s">
        <v>2002</v>
      </c>
      <c r="B24" s="2317"/>
      <c r="C24" s="2311"/>
      <c r="D24" s="2312"/>
      <c r="E24" s="2312"/>
      <c r="F24" s="2313"/>
    </row>
    <row r="25" spans="1:11" ht="13.5" thickBot="1" x14ac:dyDescent="0.25">
      <c r="A25" s="2318" t="s">
        <v>2003</v>
      </c>
      <c r="B25" s="2319"/>
      <c r="C25" s="1656"/>
      <c r="D25" s="1656"/>
      <c r="E25" s="1656"/>
      <c r="F25" s="1732">
        <f>SUM(C25+D25)-E25</f>
        <v>0</v>
      </c>
      <c r="G25" s="473"/>
    </row>
    <row r="26" spans="1:11" ht="15.75" customHeight="1" thickTop="1" x14ac:dyDescent="0.2">
      <c r="A26" s="2322" t="s">
        <v>652</v>
      </c>
      <c r="B26" s="2317"/>
      <c r="C26" s="589"/>
      <c r="D26" s="589"/>
      <c r="E26" s="589"/>
      <c r="F26" s="590"/>
    </row>
    <row r="27" spans="1:11" ht="13.5" thickBot="1" x14ac:dyDescent="0.25">
      <c r="A27" s="2314" t="s">
        <v>1061</v>
      </c>
      <c r="B27" s="2315"/>
      <c r="C27" s="1664"/>
      <c r="D27" s="1664"/>
      <c r="E27" s="1664"/>
      <c r="F27" s="1732">
        <f>SUM(C27+D27)-E27</f>
        <v>0</v>
      </c>
      <c r="G27" s="473"/>
    </row>
    <row r="28" spans="1:11" ht="7.5" customHeight="1" thickTop="1" x14ac:dyDescent="0.2">
      <c r="A28" s="489"/>
    </row>
    <row r="29" spans="1:11" ht="23.25" customHeight="1" x14ac:dyDescent="0.2">
      <c r="A29" s="2320" t="s">
        <v>578</v>
      </c>
      <c r="B29" s="232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1873</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906</v>
      </c>
      <c r="B52" s="2303" t="s">
        <v>580</v>
      </c>
      <c r="C52" s="2304"/>
      <c r="D52" s="2304"/>
      <c r="E52" s="603" t="s">
        <v>840</v>
      </c>
      <c r="F52" s="2305"/>
      <c r="G52" s="2306"/>
      <c r="H52" s="596"/>
      <c r="I52" s="596"/>
      <c r="J52" s="600"/>
    </row>
    <row r="53" spans="1:11" ht="11.25" customHeight="1" x14ac:dyDescent="0.2">
      <c r="A53" s="604" t="s">
        <v>907</v>
      </c>
      <c r="B53" s="605" t="s">
        <v>945</v>
      </c>
      <c r="C53" s="600"/>
      <c r="D53" s="597"/>
      <c r="E53" s="603" t="s">
        <v>494</v>
      </c>
      <c r="F53" s="2307"/>
      <c r="G53" s="2308"/>
      <c r="H53" s="596"/>
      <c r="I53" s="596"/>
      <c r="J53" s="600"/>
    </row>
    <row r="54" spans="1:11" ht="11.25" customHeight="1" x14ac:dyDescent="0.2">
      <c r="A54" s="606" t="s">
        <v>908</v>
      </c>
      <c r="B54" s="601" t="s">
        <v>946</v>
      </c>
      <c r="C54" s="600"/>
      <c r="D54" s="597"/>
      <c r="E54" s="603" t="s">
        <v>495</v>
      </c>
      <c r="F54" s="2307"/>
      <c r="G54" s="230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28" colorId="8" zoomScale="110" zoomScaleNormal="110" workbookViewId="0">
      <selection activeCell="A19" sqref="A19:H1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2" t="s">
        <v>851</v>
      </c>
      <c r="B1" s="2333"/>
      <c r="C1" s="2333"/>
      <c r="D1" s="2333"/>
      <c r="E1" s="2333"/>
      <c r="F1" s="2333"/>
      <c r="G1" s="2334"/>
      <c r="H1" s="1298"/>
      <c r="I1" s="614"/>
      <c r="J1" s="400"/>
    </row>
    <row r="2" spans="1:11" ht="26.25" x14ac:dyDescent="0.2">
      <c r="A2" s="2351" t="s">
        <v>1658</v>
      </c>
      <c r="B2" s="2352"/>
      <c r="C2" s="2352"/>
      <c r="D2" s="2352"/>
      <c r="E2" s="2353"/>
      <c r="F2" s="615" t="s">
        <v>898</v>
      </c>
      <c r="G2" s="616" t="s">
        <v>1655</v>
      </c>
      <c r="H2" s="616" t="s">
        <v>407</v>
      </c>
      <c r="I2" s="616" t="s">
        <v>1148</v>
      </c>
      <c r="J2" s="616" t="s">
        <v>1785</v>
      </c>
      <c r="K2" s="616" t="s">
        <v>137</v>
      </c>
    </row>
    <row r="3" spans="1:11" x14ac:dyDescent="0.2">
      <c r="A3" s="2354" t="str">
        <f>"Cash Basis Fund Balance as of July 1, "&amp;'AFR20'!E2-1</f>
        <v>Cash Basis Fund Balance as of July 1, 2019</v>
      </c>
      <c r="B3" s="2355"/>
      <c r="C3" s="2355"/>
      <c r="D3" s="2355"/>
      <c r="E3" s="2356"/>
      <c r="F3" s="617"/>
      <c r="G3" s="1744"/>
      <c r="H3" s="1744"/>
      <c r="I3" s="1744"/>
      <c r="J3" s="1745"/>
      <c r="K3" s="1745"/>
    </row>
    <row r="4" spans="1:11" x14ac:dyDescent="0.2">
      <c r="A4" s="2357" t="s">
        <v>366</v>
      </c>
      <c r="B4" s="2358"/>
      <c r="C4" s="2358"/>
      <c r="D4" s="2358"/>
      <c r="E4" s="2304"/>
      <c r="F4" s="620"/>
      <c r="G4" s="1746"/>
      <c r="H4" s="1747"/>
      <c r="I4" s="1746"/>
      <c r="J4" s="1748"/>
      <c r="K4" s="1748"/>
    </row>
    <row r="5" spans="1:11" x14ac:dyDescent="0.2">
      <c r="A5" s="2335" t="s">
        <v>1060</v>
      </c>
      <c r="B5" s="2336"/>
      <c r="C5" s="2336"/>
      <c r="D5" s="2336"/>
      <c r="E5" s="2337"/>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35" t="s">
        <v>1786</v>
      </c>
      <c r="B10" s="2336"/>
      <c r="C10" s="2336"/>
      <c r="D10" s="2336"/>
      <c r="E10" s="2338"/>
      <c r="F10" s="633" t="s">
        <v>857</v>
      </c>
      <c r="G10" s="1753"/>
      <c r="H10" s="1754"/>
      <c r="I10" s="1744"/>
      <c r="J10" s="1745"/>
      <c r="K10" s="1745"/>
    </row>
    <row r="11" spans="1:11" x14ac:dyDescent="0.2">
      <c r="A11" s="2335" t="s">
        <v>159</v>
      </c>
      <c r="B11" s="2336"/>
      <c r="C11" s="2336"/>
      <c r="D11" s="2336"/>
      <c r="E11" s="2337"/>
      <c r="F11" s="622" t="s">
        <v>847</v>
      </c>
      <c r="G11" s="1749"/>
      <c r="H11" s="1744"/>
      <c r="I11" s="1744"/>
      <c r="J11" s="1745"/>
      <c r="K11" s="1751"/>
    </row>
    <row r="12" spans="1:11" ht="13.5" thickBot="1" x14ac:dyDescent="0.25">
      <c r="A12" s="2362" t="s">
        <v>899</v>
      </c>
      <c r="B12" s="2363"/>
      <c r="C12" s="2363"/>
      <c r="D12" s="2363"/>
      <c r="E12" s="2364"/>
      <c r="F12" s="1433"/>
      <c r="G12" s="1755">
        <f>SUM(G5:G11)</f>
        <v>0</v>
      </c>
      <c r="H12" s="1755">
        <f>SUM(H5:H11)</f>
        <v>0</v>
      </c>
      <c r="I12" s="1755">
        <f>SUM(I5:I11)</f>
        <v>0</v>
      </c>
      <c r="J12" s="1755">
        <f>SUM(J5:J11)</f>
        <v>0</v>
      </c>
      <c r="K12" s="1755">
        <f>SUM(K5:K11)</f>
        <v>0</v>
      </c>
    </row>
    <row r="13" spans="1:11" ht="13.5" thickTop="1" x14ac:dyDescent="0.2">
      <c r="A13" s="2359" t="s">
        <v>367</v>
      </c>
      <c r="B13" s="2360"/>
      <c r="C13" s="2360"/>
      <c r="D13" s="2360"/>
      <c r="E13" s="2361"/>
      <c r="F13" s="634"/>
      <c r="G13" s="1756"/>
      <c r="H13" s="1757"/>
      <c r="I13" s="1758"/>
      <c r="J13" s="1758"/>
      <c r="K13" s="1758"/>
    </row>
    <row r="14" spans="1:11" x14ac:dyDescent="0.2">
      <c r="A14" s="2342" t="s">
        <v>453</v>
      </c>
      <c r="B14" s="2342"/>
      <c r="C14" s="2342"/>
      <c r="D14" s="2342"/>
      <c r="E14" s="2343"/>
      <c r="F14" s="635" t="s">
        <v>849</v>
      </c>
      <c r="G14" s="1753"/>
      <c r="H14" s="1744"/>
      <c r="I14" s="1749"/>
      <c r="J14" s="1751"/>
      <c r="K14" s="1745"/>
    </row>
    <row r="15" spans="1:11" x14ac:dyDescent="0.2">
      <c r="A15" s="2336" t="s">
        <v>4</v>
      </c>
      <c r="B15" s="2336"/>
      <c r="C15" s="2336"/>
      <c r="D15" s="2336"/>
      <c r="E15" s="2337"/>
      <c r="F15" s="635" t="s">
        <v>850</v>
      </c>
      <c r="G15" s="1749"/>
      <c r="H15" s="1744"/>
      <c r="I15" s="1744"/>
      <c r="J15" s="1745"/>
      <c r="K15" s="1745"/>
    </row>
    <row r="16" spans="1:11" x14ac:dyDescent="0.2">
      <c r="A16" s="2336" t="s">
        <v>295</v>
      </c>
      <c r="B16" s="2336"/>
      <c r="C16" s="2336"/>
      <c r="D16" s="2336"/>
      <c r="E16" s="2337"/>
      <c r="F16" s="635" t="s">
        <v>917</v>
      </c>
      <c r="G16" s="1750"/>
      <c r="H16" s="1746"/>
      <c r="I16" s="1746"/>
      <c r="J16" s="1748"/>
      <c r="K16" s="1748"/>
    </row>
    <row r="17" spans="1:15" x14ac:dyDescent="0.2">
      <c r="A17" s="2369" t="s">
        <v>929</v>
      </c>
      <c r="B17" s="2369"/>
      <c r="C17" s="2369"/>
      <c r="D17" s="2369"/>
      <c r="E17" s="2370"/>
      <c r="F17" s="636"/>
      <c r="G17" s="1759"/>
      <c r="H17" s="1760"/>
      <c r="I17" s="1760"/>
      <c r="J17" s="1761"/>
      <c r="K17" s="1762"/>
    </row>
    <row r="18" spans="1:15" x14ac:dyDescent="0.2">
      <c r="A18" s="2346" t="s">
        <v>365</v>
      </c>
      <c r="B18" s="2347"/>
      <c r="C18" s="2347"/>
      <c r="D18" s="2347"/>
      <c r="E18" s="2348"/>
      <c r="F18" s="635" t="s">
        <v>926</v>
      </c>
      <c r="G18" s="1753"/>
      <c r="H18" s="1753"/>
      <c r="I18" s="1753"/>
      <c r="J18" s="1745"/>
      <c r="K18" s="1763"/>
    </row>
    <row r="19" spans="1:15" ht="21.75" customHeight="1" x14ac:dyDescent="0.2">
      <c r="A19" s="2344" t="s">
        <v>1782</v>
      </c>
      <c r="B19" s="2344"/>
      <c r="C19" s="2344"/>
      <c r="D19" s="2344"/>
      <c r="E19" s="2345"/>
      <c r="F19" s="635" t="s">
        <v>927</v>
      </c>
      <c r="G19" s="1753"/>
      <c r="H19" s="1753"/>
      <c r="I19" s="1753"/>
      <c r="J19" s="1745"/>
      <c r="K19" s="1763"/>
    </row>
    <row r="20" spans="1:15" x14ac:dyDescent="0.2">
      <c r="A20" s="2346" t="s">
        <v>1787</v>
      </c>
      <c r="B20" s="2347"/>
      <c r="C20" s="2347"/>
      <c r="D20" s="2347"/>
      <c r="E20" s="2348"/>
      <c r="F20" s="635" t="s">
        <v>928</v>
      </c>
      <c r="G20" s="1753"/>
      <c r="H20" s="1753"/>
      <c r="I20" s="1753"/>
      <c r="J20" s="1745"/>
      <c r="K20" s="1763"/>
    </row>
    <row r="21" spans="1:15" ht="13.5" thickBot="1" x14ac:dyDescent="0.25">
      <c r="A21" s="2365" t="s">
        <v>633</v>
      </c>
      <c r="B21" s="2365"/>
      <c r="C21" s="2365"/>
      <c r="D21" s="2365"/>
      <c r="E21" s="2365"/>
      <c r="F21" s="1434"/>
      <c r="G21" s="1760"/>
      <c r="H21" s="1764"/>
      <c r="I21" s="1764"/>
      <c r="J21" s="1765">
        <f>SUM(J18:J20)</f>
        <v>0</v>
      </c>
      <c r="K21" s="1761"/>
    </row>
    <row r="22" spans="1:15" ht="13.5" thickTop="1" x14ac:dyDescent="0.2">
      <c r="A22" s="2336" t="s">
        <v>1788</v>
      </c>
      <c r="B22" s="2336"/>
      <c r="C22" s="2336"/>
      <c r="D22" s="2336"/>
      <c r="E22" s="2337"/>
      <c r="F22" s="635" t="s">
        <v>857</v>
      </c>
      <c r="G22" s="1753"/>
      <c r="H22" s="1744"/>
      <c r="I22" s="1744"/>
      <c r="J22" s="1766"/>
      <c r="K22" s="1745"/>
    </row>
    <row r="23" spans="1:15" ht="13.5" thickBot="1" x14ac:dyDescent="0.25">
      <c r="A23" s="2366" t="s">
        <v>900</v>
      </c>
      <c r="B23" s="2365"/>
      <c r="C23" s="2365"/>
      <c r="D23" s="2365"/>
      <c r="E23" s="2365"/>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67" t="str">
        <f>"Ending Cash Basis Fund Balance as of June 30, "&amp;'AFR20'!E2</f>
        <v>Ending Cash Basis Fund Balance as of June 30, 2020</v>
      </c>
      <c r="B24" s="2368"/>
      <c r="C24" s="2368"/>
      <c r="D24" s="2368"/>
      <c r="E24" s="2368"/>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9"/>
      <c r="I31" s="2340"/>
      <c r="J31" s="2340"/>
      <c r="K31" s="2340"/>
    </row>
    <row r="32" spans="1:15" x14ac:dyDescent="0.2">
      <c r="A32" s="649"/>
      <c r="B32" s="232"/>
      <c r="C32" s="232"/>
      <c r="D32" s="232"/>
      <c r="E32" s="645"/>
      <c r="F32" s="651" t="s">
        <v>537</v>
      </c>
      <c r="G32" s="618"/>
      <c r="H32" s="2341"/>
      <c r="I32" s="2340"/>
      <c r="J32" s="2340"/>
      <c r="K32" s="2340"/>
    </row>
    <row r="33" spans="1:11" ht="1.5" customHeight="1" x14ac:dyDescent="0.2">
      <c r="A33" s="652" t="s">
        <v>1159</v>
      </c>
      <c r="B33" s="341"/>
      <c r="C33" s="341"/>
      <c r="D33" s="341"/>
      <c r="E33" s="341"/>
      <c r="F33" s="341"/>
      <c r="G33" s="653"/>
      <c r="H33" s="2341"/>
      <c r="I33" s="2340"/>
      <c r="J33" s="2340"/>
      <c r="K33" s="2340"/>
    </row>
    <row r="34" spans="1:11" x14ac:dyDescent="0.2">
      <c r="A34" s="654" t="s">
        <v>1789</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6" t="s">
        <v>538</v>
      </c>
      <c r="B41" s="2349"/>
      <c r="C41" s="2349"/>
      <c r="D41" s="2349"/>
      <c r="E41" s="2349"/>
      <c r="F41" s="235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1783</v>
      </c>
      <c r="B46" s="382" t="s">
        <v>1656</v>
      </c>
    </row>
    <row r="47" spans="1:11" s="663" customFormat="1" ht="12.75" customHeight="1" x14ac:dyDescent="0.2">
      <c r="A47" s="661"/>
      <c r="B47" s="662" t="s">
        <v>1657</v>
      </c>
      <c r="E47" s="662"/>
      <c r="K47" s="664"/>
    </row>
    <row r="48" spans="1:11" ht="12.75" customHeight="1" x14ac:dyDescent="0.2">
      <c r="A48" s="1300" t="s">
        <v>1784</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F1" colorId="8" zoomScale="110" zoomScaleNormal="110" workbookViewId="0">
      <selection activeCell="B32" sqref="B32:K3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3" t="s">
        <v>1871</v>
      </c>
      <c r="B1" s="2374"/>
      <c r="C1" s="2375"/>
      <c r="D1" s="666"/>
      <c r="E1" s="667"/>
      <c r="F1" s="667"/>
      <c r="G1" s="668"/>
      <c r="H1" s="669"/>
      <c r="I1" s="670"/>
      <c r="J1" s="2371"/>
      <c r="K1" s="2372"/>
      <c r="L1" s="237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v>0</v>
      </c>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11850</v>
      </c>
      <c r="D5" s="1770"/>
      <c r="E5" s="1770"/>
      <c r="F5" s="1765">
        <f>(C5+D5)-E5</f>
        <v>11850</v>
      </c>
      <c r="G5" s="676"/>
      <c r="H5" s="680"/>
      <c r="I5" s="680"/>
      <c r="J5" s="680"/>
      <c r="K5" s="637"/>
      <c r="L5" s="1442">
        <f>F5-K5</f>
        <v>11850</v>
      </c>
    </row>
    <row r="6" spans="1:14" ht="14.25" thickTop="1" thickBot="1" x14ac:dyDescent="0.25">
      <c r="A6" s="629" t="s">
        <v>1107</v>
      </c>
      <c r="B6" s="679">
        <v>222</v>
      </c>
      <c r="C6" s="1745"/>
      <c r="D6" s="1745"/>
      <c r="E6" s="1745"/>
      <c r="F6" s="1765">
        <f>(C6+D6)-E6</f>
        <v>0</v>
      </c>
      <c r="G6" s="676">
        <v>50</v>
      </c>
      <c r="H6" s="619">
        <v>0</v>
      </c>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165488</v>
      </c>
      <c r="D8" s="1771"/>
      <c r="E8" s="1771"/>
      <c r="F8" s="1765">
        <f>(C8+D8)-E8</f>
        <v>165488</v>
      </c>
      <c r="G8" s="681">
        <v>50</v>
      </c>
      <c r="H8" s="619">
        <v>92797</v>
      </c>
      <c r="I8" s="619">
        <v>4728</v>
      </c>
      <c r="J8" s="619"/>
      <c r="K8" s="1442">
        <f>(H8+I8)-J8</f>
        <v>97525</v>
      </c>
      <c r="L8" s="1442">
        <f>F8-K8</f>
        <v>67963</v>
      </c>
    </row>
    <row r="9" spans="1:14" ht="14.25" thickTop="1" thickBot="1" x14ac:dyDescent="0.25">
      <c r="A9" s="629" t="s">
        <v>1109</v>
      </c>
      <c r="B9" s="679">
        <v>232</v>
      </c>
      <c r="C9" s="1745"/>
      <c r="D9" s="1745"/>
      <c r="E9" s="1745"/>
      <c r="F9" s="1765">
        <f>(C9+D9)-E9</f>
        <v>0</v>
      </c>
      <c r="G9" s="681">
        <v>20</v>
      </c>
      <c r="H9" s="619">
        <v>0</v>
      </c>
      <c r="I9" s="619"/>
      <c r="J9" s="619"/>
      <c r="K9" s="1442">
        <f>(H9+I9)-J9</f>
        <v>0</v>
      </c>
      <c r="L9" s="1442">
        <f>F9-K9</f>
        <v>0</v>
      </c>
    </row>
    <row r="10" spans="1:14" ht="24" thickTop="1" thickBot="1" x14ac:dyDescent="0.25">
      <c r="A10" s="682" t="s">
        <v>1110</v>
      </c>
      <c r="B10" s="679">
        <v>240</v>
      </c>
      <c r="C10" s="1772">
        <v>17664</v>
      </c>
      <c r="D10" s="1772"/>
      <c r="E10" s="1772"/>
      <c r="F10" s="1773">
        <f>(C10+D10)-E10</f>
        <v>17664</v>
      </c>
      <c r="G10" s="681">
        <v>20</v>
      </c>
      <c r="H10" s="683">
        <v>16167</v>
      </c>
      <c r="I10" s="683">
        <v>883</v>
      </c>
      <c r="J10" s="683"/>
      <c r="K10" s="1442">
        <f>(H10+I10)-J10</f>
        <v>17050</v>
      </c>
      <c r="L10" s="1442">
        <f>F10-K10</f>
        <v>614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2142793</v>
      </c>
      <c r="D12" s="1771">
        <v>96093</v>
      </c>
      <c r="E12" s="1771"/>
      <c r="F12" s="1765">
        <f>(C12+D12)-E12</f>
        <v>2238886</v>
      </c>
      <c r="G12" s="681">
        <v>10</v>
      </c>
      <c r="H12" s="619">
        <v>1880304</v>
      </c>
      <c r="I12" s="619">
        <v>123524</v>
      </c>
      <c r="J12" s="619"/>
      <c r="K12" s="1442">
        <f>(H12+I12)-J12</f>
        <v>2003828</v>
      </c>
      <c r="L12" s="1442">
        <f>F12-K12</f>
        <v>235058</v>
      </c>
    </row>
    <row r="13" spans="1:14" ht="14.25" thickTop="1" thickBot="1" x14ac:dyDescent="0.25">
      <c r="A13" s="684" t="s">
        <v>1112</v>
      </c>
      <c r="B13" s="679">
        <v>252</v>
      </c>
      <c r="C13" s="1771"/>
      <c r="D13" s="1771"/>
      <c r="E13" s="1771"/>
      <c r="F13" s="1765">
        <f>(C13+D13)-E13</f>
        <v>0</v>
      </c>
      <c r="G13" s="681">
        <v>5</v>
      </c>
      <c r="H13" s="619">
        <v>0</v>
      </c>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v>0</v>
      </c>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2337795</v>
      </c>
      <c r="D16" s="1765">
        <f>SUM(D3,D5:D6,D8:D10,D12:D15)</f>
        <v>96093</v>
      </c>
      <c r="E16" s="1765">
        <f>SUM(E3,E5:E6,E8:E10,E12:E15)</f>
        <v>0</v>
      </c>
      <c r="F16" s="1765">
        <f>SUM(F3,F5:F6,F8:F10,F12:F15)</f>
        <v>2433888</v>
      </c>
      <c r="G16" s="681"/>
      <c r="H16" s="1435">
        <f>SUM(H3,H6,H8:H10,H12:H14,)</f>
        <v>1989268</v>
      </c>
      <c r="I16" s="1435">
        <f>SUM(I3,I6,I8:I10,I12:I14,)</f>
        <v>129135</v>
      </c>
      <c r="J16" s="1435">
        <f>SUM(J3,J6,J8:J10,J12:J14,)</f>
        <v>0</v>
      </c>
      <c r="K16" s="1435">
        <f>(H16+I16)-J16</f>
        <v>2118403</v>
      </c>
      <c r="L16" s="1435">
        <f>F16-K16</f>
        <v>315485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375</v>
      </c>
      <c r="G17" s="676">
        <v>10</v>
      </c>
      <c r="H17" s="621"/>
      <c r="I17" s="1442">
        <f>F17/G17</f>
        <v>37.5</v>
      </c>
      <c r="J17" s="621"/>
      <c r="K17" s="638"/>
      <c r="L17" s="638"/>
    </row>
    <row r="18" spans="1:12" ht="14.25" thickTop="1" thickBot="1" x14ac:dyDescent="0.25">
      <c r="A18" s="1440" t="s">
        <v>680</v>
      </c>
      <c r="B18" s="1441"/>
      <c r="C18" s="623"/>
      <c r="D18" s="623"/>
      <c r="E18" s="623"/>
      <c r="F18" s="686"/>
      <c r="G18" s="687"/>
      <c r="H18" s="624"/>
      <c r="I18" s="1435">
        <f>SUM(I16,I17)</f>
        <v>129172.5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1"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1" colorId="8" zoomScale="110" zoomScaleNormal="110" workbookViewId="0">
      <selection activeCell="A19" sqref="A19:H1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9" t="str">
        <f>"ESTIMATED OPERATING EXPENSE PER PUPIL (OEPP)/PER CAPITA TUITION CHARGE (PCTC) COMPUTATIONS ("&amp;'AFR20'!E2-1&amp;" - "&amp;'AFR20'!E2&amp;")"</f>
        <v>ESTIMATED OPERATING EXPENSE PER PUPIL (OEPP)/PER CAPITA TUITION CHARGE (PCTC) COMPUTATIONS (2019 - 2020)</v>
      </c>
      <c r="B1" s="2380"/>
      <c r="C1" s="2380"/>
      <c r="D1" s="2380"/>
      <c r="E1" s="2380"/>
      <c r="F1" s="2381"/>
      <c r="G1" s="691"/>
      <c r="I1" s="701"/>
    </row>
    <row r="2" spans="1:9" ht="15" customHeight="1" thickBot="1" x14ac:dyDescent="0.25">
      <c r="A2" s="2382" t="s">
        <v>474</v>
      </c>
      <c r="B2" s="2383"/>
      <c r="C2" s="2383"/>
      <c r="D2" s="2383"/>
      <c r="E2" s="2383"/>
      <c r="F2" s="238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5"/>
      <c r="B5" s="2386"/>
      <c r="C5" s="2386"/>
      <c r="D5" s="2386"/>
      <c r="E5" s="2386"/>
      <c r="F5" s="2386"/>
    </row>
    <row r="6" spans="1:9" ht="13.5" customHeight="1" thickBot="1" x14ac:dyDescent="0.25">
      <c r="A6" s="2376" t="s">
        <v>1095</v>
      </c>
      <c r="B6" s="2377"/>
      <c r="C6" s="2377"/>
      <c r="D6" s="2377"/>
      <c r="E6" s="2377"/>
      <c r="F6" s="237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6379638</v>
      </c>
      <c r="G8" s="701"/>
    </row>
    <row r="9" spans="1:9" x14ac:dyDescent="0.2">
      <c r="A9" s="705" t="s">
        <v>457</v>
      </c>
      <c r="B9" s="706" t="s">
        <v>1844</v>
      </c>
      <c r="C9" s="707"/>
      <c r="D9" s="705" t="s">
        <v>498</v>
      </c>
      <c r="E9" s="704"/>
      <c r="F9" s="1775">
        <f>'Expenditures 15-22'!K151</f>
        <v>11158</v>
      </c>
      <c r="G9" s="708"/>
    </row>
    <row r="10" spans="1:9" x14ac:dyDescent="0.2">
      <c r="A10" s="705" t="s">
        <v>496</v>
      </c>
      <c r="B10" s="706" t="s">
        <v>1845</v>
      </c>
      <c r="C10" s="707"/>
      <c r="D10" s="705" t="s">
        <v>498</v>
      </c>
      <c r="E10" s="704"/>
      <c r="F10" s="1775">
        <f>'Expenditures 15-22'!K174</f>
        <v>0</v>
      </c>
      <c r="G10" s="708"/>
    </row>
    <row r="11" spans="1:9" x14ac:dyDescent="0.2">
      <c r="A11" s="705" t="s">
        <v>458</v>
      </c>
      <c r="B11" s="706" t="s">
        <v>1846</v>
      </c>
      <c r="C11" s="707"/>
      <c r="D11" s="705" t="s">
        <v>498</v>
      </c>
      <c r="E11" s="704"/>
      <c r="F11" s="1775">
        <f>'Expenditures 15-22'!K210</f>
        <v>0</v>
      </c>
      <c r="G11" s="708"/>
    </row>
    <row r="12" spans="1:9" x14ac:dyDescent="0.2">
      <c r="A12" s="705" t="s">
        <v>459</v>
      </c>
      <c r="B12" s="706" t="s">
        <v>1847</v>
      </c>
      <c r="C12" s="707"/>
      <c r="D12" s="705" t="s">
        <v>498</v>
      </c>
      <c r="E12" s="704"/>
      <c r="F12" s="1775">
        <f>'Expenditures 15-22'!K295</f>
        <v>0</v>
      </c>
      <c r="G12" s="708"/>
    </row>
    <row r="13" spans="1:9" x14ac:dyDescent="0.2">
      <c r="A13" s="705" t="s">
        <v>106</v>
      </c>
      <c r="B13" s="706" t="s">
        <v>1848</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6390796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1902</v>
      </c>
      <c r="C30" s="716">
        <f>'Revenues 9-14'!B150</f>
        <v>3499</v>
      </c>
      <c r="D30" s="717" t="str">
        <f>'Revenues 9-14'!A150</f>
        <v>Adult Ed - Other (Describe &amp; Itemize)</v>
      </c>
      <c r="E30" s="704"/>
      <c r="F30" s="1783">
        <f>('Revenues 9-14'!D150+'Revenues 9-14'!F150)</f>
        <v>0</v>
      </c>
      <c r="G30" s="701"/>
    </row>
    <row r="31" spans="1:7" x14ac:dyDescent="0.2">
      <c r="A31" s="705" t="s">
        <v>1088</v>
      </c>
      <c r="B31" s="706" t="s">
        <v>1903</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1904</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1905</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112018</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736452</v>
      </c>
      <c r="G53" s="701"/>
    </row>
    <row r="54" spans="1:7" x14ac:dyDescent="0.2">
      <c r="A54" s="705" t="s">
        <v>456</v>
      </c>
      <c r="B54" s="705" t="s">
        <v>1459</v>
      </c>
      <c r="C54" s="724" t="s">
        <v>975</v>
      </c>
      <c r="D54" s="720" t="s">
        <v>1086</v>
      </c>
      <c r="E54" s="704"/>
      <c r="F54" s="1782">
        <f>'Expenditures 15-22'!G114</f>
        <v>96093</v>
      </c>
      <c r="G54" s="701"/>
    </row>
    <row r="55" spans="1:7" x14ac:dyDescent="0.2">
      <c r="A55" s="705" t="s">
        <v>456</v>
      </c>
      <c r="B55" s="705" t="s">
        <v>1460</v>
      </c>
      <c r="C55" s="724" t="s">
        <v>975</v>
      </c>
      <c r="D55" s="720" t="s">
        <v>288</v>
      </c>
      <c r="E55" s="704"/>
      <c r="F55" s="1782">
        <f>'Expenditures 15-22'!I114</f>
        <v>375</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1849</v>
      </c>
      <c r="C57" s="724">
        <f>'Expenditures 15-22'!B139</f>
        <v>4000</v>
      </c>
      <c r="D57" s="722" t="str">
        <f>'Expenditures 15-22'!A139</f>
        <v>Total Payments to Other Govt Units</v>
      </c>
      <c r="E57" s="704"/>
      <c r="F57" s="1782">
        <f>'Expenditures 15-22'!K139</f>
        <v>0</v>
      </c>
      <c r="G57" s="701"/>
    </row>
    <row r="58" spans="1:7" x14ac:dyDescent="0.2">
      <c r="A58" s="705" t="s">
        <v>457</v>
      </c>
      <c r="B58" s="705" t="s">
        <v>1850</v>
      </c>
      <c r="C58" s="721" t="s">
        <v>975</v>
      </c>
      <c r="D58" s="720" t="s">
        <v>1086</v>
      </c>
      <c r="E58" s="704"/>
      <c r="F58" s="1784">
        <f>'Expenditures 15-22'!G151</f>
        <v>0</v>
      </c>
      <c r="G58" s="701"/>
    </row>
    <row r="59" spans="1:7" x14ac:dyDescent="0.2">
      <c r="A59" s="728" t="s">
        <v>457</v>
      </c>
      <c r="B59" s="692" t="s">
        <v>1851</v>
      </c>
      <c r="C59" s="729" t="s">
        <v>975</v>
      </c>
      <c r="D59" s="692" t="s">
        <v>288</v>
      </c>
      <c r="F59" s="1785">
        <f>'Expenditures 15-22'!I151</f>
        <v>0</v>
      </c>
      <c r="G59" s="701"/>
    </row>
    <row r="60" spans="1:7" x14ac:dyDescent="0.2">
      <c r="A60" s="728" t="s">
        <v>496</v>
      </c>
      <c r="B60" s="692" t="s">
        <v>1852</v>
      </c>
      <c r="C60" s="729">
        <v>4000</v>
      </c>
      <c r="D60" s="692" t="s">
        <v>309</v>
      </c>
      <c r="F60" s="1783">
        <f>'Expenditures 15-22'!K160</f>
        <v>0</v>
      </c>
      <c r="G60" s="701"/>
    </row>
    <row r="61" spans="1:7" x14ac:dyDescent="0.2">
      <c r="A61" s="730" t="s">
        <v>496</v>
      </c>
      <c r="B61" s="730" t="s">
        <v>1853</v>
      </c>
      <c r="C61" s="731" t="str">
        <f>'Expenditures 15-22'!B170</f>
        <v>5300</v>
      </c>
      <c r="D61" s="732" t="s">
        <v>308</v>
      </c>
      <c r="E61" s="715"/>
      <c r="F61" s="1782">
        <f>'Expenditures 15-22'!K170</f>
        <v>0</v>
      </c>
      <c r="G61" s="701"/>
    </row>
    <row r="62" spans="1:7" x14ac:dyDescent="0.2">
      <c r="A62" s="705" t="s">
        <v>458</v>
      </c>
      <c r="B62" s="705" t="s">
        <v>1854</v>
      </c>
      <c r="C62" s="721">
        <f>'Expenditures 15-22'!B185</f>
        <v>3000</v>
      </c>
      <c r="D62" s="712" t="s">
        <v>446</v>
      </c>
      <c r="E62" s="704"/>
      <c r="F62" s="1782">
        <f>'Expenditures 15-22'!K185-SUM('Expenditures 15-22'!G185,'Expenditures 15-22'!I185)</f>
        <v>0</v>
      </c>
      <c r="G62" s="701"/>
    </row>
    <row r="63" spans="1:7" x14ac:dyDescent="0.2">
      <c r="A63" s="705" t="s">
        <v>458</v>
      </c>
      <c r="B63" s="705" t="s">
        <v>1855</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1856</v>
      </c>
      <c r="C64" s="731" t="str">
        <f>'Expenditures 15-22'!B206</f>
        <v>5300</v>
      </c>
      <c r="D64" s="727" t="s">
        <v>308</v>
      </c>
      <c r="E64" s="704"/>
      <c r="F64" s="1782">
        <f>'Expenditures 15-22'!K206</f>
        <v>0</v>
      </c>
      <c r="G64" s="701"/>
    </row>
    <row r="65" spans="1:9" x14ac:dyDescent="0.2">
      <c r="A65" s="705" t="s">
        <v>458</v>
      </c>
      <c r="B65" s="705" t="s">
        <v>1857</v>
      </c>
      <c r="C65" s="721" t="s">
        <v>975</v>
      </c>
      <c r="D65" s="720" t="s">
        <v>1086</v>
      </c>
      <c r="E65" s="704"/>
      <c r="F65" s="1782">
        <f>'Expenditures 15-22'!G210</f>
        <v>0</v>
      </c>
      <c r="G65" s="701"/>
    </row>
    <row r="66" spans="1:9" x14ac:dyDescent="0.2">
      <c r="A66" s="705" t="s">
        <v>458</v>
      </c>
      <c r="B66" s="705" t="s">
        <v>1858</v>
      </c>
      <c r="C66" s="721" t="s">
        <v>975</v>
      </c>
      <c r="D66" s="720" t="s">
        <v>288</v>
      </c>
      <c r="E66" s="704"/>
      <c r="F66" s="1782">
        <f>'Expenditures 15-22'!I210</f>
        <v>0</v>
      </c>
      <c r="G66" s="701"/>
    </row>
    <row r="67" spans="1:9" x14ac:dyDescent="0.2">
      <c r="A67" s="705" t="s">
        <v>459</v>
      </c>
      <c r="B67" s="705" t="s">
        <v>1859</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1860</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1861</v>
      </c>
      <c r="C70" s="721">
        <f>'Expenditures 15-22'!B221</f>
        <v>1300</v>
      </c>
      <c r="D70" s="722" t="str">
        <f>'Expenditures 15-22'!A221</f>
        <v>Adult/Continuing Education Programs</v>
      </c>
      <c r="E70" s="704"/>
      <c r="F70" s="1782">
        <f>'Expenditures 15-22'!K221</f>
        <v>0</v>
      </c>
      <c r="G70" s="701"/>
    </row>
    <row r="71" spans="1:9" x14ac:dyDescent="0.2">
      <c r="A71" s="705" t="s">
        <v>459</v>
      </c>
      <c r="B71" s="705" t="s">
        <v>1862</v>
      </c>
      <c r="C71" s="721">
        <f>'Expenditures 15-22'!B224</f>
        <v>1600</v>
      </c>
      <c r="D71" s="722" t="str">
        <f>'Expenditures 15-22'!A224</f>
        <v>Summer School Programs</v>
      </c>
      <c r="E71" s="704"/>
      <c r="F71" s="1782">
        <f>'Expenditures 15-22'!K224</f>
        <v>0</v>
      </c>
      <c r="G71" s="701"/>
    </row>
    <row r="72" spans="1:9" x14ac:dyDescent="0.2">
      <c r="A72" s="705" t="s">
        <v>459</v>
      </c>
      <c r="B72" s="705" t="s">
        <v>1863</v>
      </c>
      <c r="C72" s="721">
        <f>'Expenditures 15-22'!B280</f>
        <v>3000</v>
      </c>
      <c r="D72" s="712" t="s">
        <v>446</v>
      </c>
      <c r="E72" s="704"/>
      <c r="F72" s="1782">
        <f>'Expenditures 15-22'!K280</f>
        <v>0</v>
      </c>
      <c r="G72" s="701"/>
    </row>
    <row r="73" spans="1:9" x14ac:dyDescent="0.2">
      <c r="A73" s="705" t="s">
        <v>459</v>
      </c>
      <c r="B73" s="705" t="s">
        <v>1864</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1865</v>
      </c>
      <c r="C74" s="721" t="s">
        <v>855</v>
      </c>
      <c r="D74" s="722" t="s">
        <v>1470</v>
      </c>
      <c r="E74" s="704"/>
      <c r="F74" s="1786">
        <f>'Expenditures 15-22'!K334</f>
        <v>0</v>
      </c>
      <c r="G74" s="701"/>
    </row>
    <row r="75" spans="1:9" x14ac:dyDescent="0.2">
      <c r="A75" s="705" t="s">
        <v>2004</v>
      </c>
      <c r="B75" s="705" t="s">
        <v>2005</v>
      </c>
      <c r="C75" s="721" t="s">
        <v>975</v>
      </c>
      <c r="D75" s="722" t="s">
        <v>1086</v>
      </c>
      <c r="E75" s="704"/>
      <c r="F75" s="1786">
        <f>'Expenditures 15-22'!G342</f>
        <v>0</v>
      </c>
      <c r="G75" s="701"/>
    </row>
    <row r="76" spans="1:9" ht="10.5" customHeight="1" x14ac:dyDescent="0.2">
      <c r="A76" s="701" t="s">
        <v>433</v>
      </c>
      <c r="B76" s="705" t="s">
        <v>2006</v>
      </c>
      <c r="C76" s="711" t="s">
        <v>975</v>
      </c>
      <c r="D76" s="701" t="s">
        <v>288</v>
      </c>
      <c r="E76" s="704"/>
      <c r="F76" s="1786">
        <f>'Expenditures 15-22'!I342</f>
        <v>0</v>
      </c>
      <c r="G76" s="703"/>
    </row>
    <row r="77" spans="1:9" ht="12" thickBot="1" x14ac:dyDescent="0.25">
      <c r="A77" s="1443"/>
      <c r="B77" s="1448"/>
      <c r="C77" s="1445"/>
      <c r="D77" s="1449" t="s">
        <v>2007</v>
      </c>
      <c r="E77" s="1447" t="s">
        <v>952</v>
      </c>
      <c r="F77" s="1787">
        <f>SUM(F18:F76)</f>
        <v>944938</v>
      </c>
      <c r="G77" s="701"/>
    </row>
    <row r="78" spans="1:9" s="728" customFormat="1" ht="12" customHeight="1" thickTop="1" thickBot="1" x14ac:dyDescent="0.25">
      <c r="A78" s="1450"/>
      <c r="B78" s="1448"/>
      <c r="C78" s="1445"/>
      <c r="D78" s="1449" t="s">
        <v>2008</v>
      </c>
      <c r="E78" s="1447"/>
      <c r="F78" s="1788">
        <f>(F14-F77)</f>
        <v>5445858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2009</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76" t="s">
        <v>1096</v>
      </c>
      <c r="B82" s="2377"/>
      <c r="C82" s="2377"/>
      <c r="D82" s="2377"/>
      <c r="E82" s="2377"/>
      <c r="F82" s="237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237</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91919</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1257573</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1906</v>
      </c>
      <c r="C106" s="746">
        <v>3100</v>
      </c>
      <c r="D106" s="752" t="str">
        <f>'Revenues 9-14'!A132</f>
        <v>Total Special Education</v>
      </c>
      <c r="E106" s="739"/>
      <c r="F106" s="1793">
        <f>SUM('Revenues 9-14'!C132:D132,'Revenues 9-14'!F132)</f>
        <v>0</v>
      </c>
      <c r="G106" s="745"/>
    </row>
    <row r="107" spans="1:7" x14ac:dyDescent="0.2">
      <c r="A107" s="741" t="s">
        <v>668</v>
      </c>
      <c r="B107" s="741" t="s">
        <v>1907</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1908</v>
      </c>
      <c r="C108" s="753">
        <v>3300</v>
      </c>
      <c r="D108" s="744" t="str">
        <f>'Revenues 9-14'!A145</f>
        <v>Total Bilingual Ed</v>
      </c>
      <c r="E108" s="739"/>
      <c r="F108" s="1793">
        <f>SUM('Revenues 9-14'!C145,'Revenues 9-14'!G145)</f>
        <v>0</v>
      </c>
      <c r="G108" s="745"/>
    </row>
    <row r="109" spans="1:7" x14ac:dyDescent="0.2">
      <c r="A109" s="741" t="s">
        <v>456</v>
      </c>
      <c r="B109" s="741" t="s">
        <v>1909</v>
      </c>
      <c r="C109" s="753">
        <f>'Revenues 9-14'!B146</f>
        <v>3360</v>
      </c>
      <c r="D109" s="744" t="str">
        <f>'Revenues 9-14'!A146</f>
        <v>State Free Lunch &amp; Breakfast</v>
      </c>
      <c r="E109" s="739"/>
      <c r="F109" s="1793">
        <f>'Revenues 9-14'!C146</f>
        <v>587</v>
      </c>
      <c r="G109" s="745"/>
    </row>
    <row r="110" spans="1:7" x14ac:dyDescent="0.2">
      <c r="A110" s="741" t="s">
        <v>668</v>
      </c>
      <c r="B110" s="741" t="s">
        <v>1910</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93">
        <f>SUM('Revenues 9-14'!C148,'Revenues 9-14'!D148)</f>
        <v>0</v>
      </c>
      <c r="G111" s="745"/>
    </row>
    <row r="112" spans="1:7" x14ac:dyDescent="0.2">
      <c r="A112" s="741" t="s">
        <v>663</v>
      </c>
      <c r="B112" s="741" t="s">
        <v>1912</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1913</v>
      </c>
      <c r="C113" s="753">
        <f>'Revenues 9-14'!B156</f>
        <v>3610</v>
      </c>
      <c r="D113" s="744" t="str">
        <f>'Revenues 9-14'!A156</f>
        <v>Learning Improvement - Change Grants</v>
      </c>
      <c r="E113" s="739"/>
      <c r="F113" s="1793">
        <f>'Revenues 9-14'!C156</f>
        <v>0</v>
      </c>
      <c r="G113" s="745"/>
    </row>
    <row r="114" spans="1:7" x14ac:dyDescent="0.2">
      <c r="A114" s="741" t="s">
        <v>663</v>
      </c>
      <c r="B114" s="741" t="s">
        <v>1914</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1916</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1917</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1918</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1919</v>
      </c>
      <c r="C119" s="757">
        <f>'Revenues 9-14'!B163</f>
        <v>3780</v>
      </c>
      <c r="D119" s="758" t="str">
        <f>'Revenues 9-14'!A163</f>
        <v>Technology - Technology for Success</v>
      </c>
      <c r="E119" s="739"/>
      <c r="F119" s="1792">
        <f>SUM('Revenues 9-14'!C163:G163)</f>
        <v>0</v>
      </c>
      <c r="G119" s="745"/>
    </row>
    <row r="120" spans="1:7" x14ac:dyDescent="0.2">
      <c r="A120" s="756" t="s">
        <v>501</v>
      </c>
      <c r="B120" s="756" t="s">
        <v>1920</v>
      </c>
      <c r="C120" s="757">
        <f>'Revenues 9-14'!B164</f>
        <v>3815</v>
      </c>
      <c r="D120" s="758" t="str">
        <f>'Revenues 9-14'!A164</f>
        <v>State Charter Schools</v>
      </c>
      <c r="E120" s="739"/>
      <c r="F120" s="1792">
        <f>SUM('Revenues 9-14'!C164,'Revenues 9-14'!F164)</f>
        <v>0</v>
      </c>
      <c r="G120" s="745"/>
    </row>
    <row r="121" spans="1:7" x14ac:dyDescent="0.2">
      <c r="A121" s="760" t="s">
        <v>457</v>
      </c>
      <c r="B121" s="760" t="s">
        <v>1921</v>
      </c>
      <c r="C121" s="761">
        <f>'Revenues 9-14'!B167</f>
        <v>3925</v>
      </c>
      <c r="D121" s="762" t="str">
        <f>'Revenues 9-14'!A167</f>
        <v>School Infrastructure - Maintenance Projects</v>
      </c>
      <c r="E121" s="739"/>
      <c r="F121" s="1793">
        <f>'Revenues 9-14'!D167</f>
        <v>0</v>
      </c>
      <c r="G121" s="763"/>
    </row>
    <row r="122" spans="1:7" x14ac:dyDescent="0.2">
      <c r="A122" s="760" t="s">
        <v>497</v>
      </c>
      <c r="B122" s="760" t="s">
        <v>1922</v>
      </c>
      <c r="C122" s="761">
        <f>'Revenues 9-14'!B168</f>
        <v>3999</v>
      </c>
      <c r="D122" s="762" t="s">
        <v>540</v>
      </c>
      <c r="E122" s="764"/>
      <c r="F122" s="1793">
        <f>SUM('Revenues 9-14'!C168:G168,'Revenues 9-14'!J168)</f>
        <v>0</v>
      </c>
      <c r="G122" s="763"/>
    </row>
    <row r="123" spans="1:7" x14ac:dyDescent="0.2">
      <c r="A123" s="760" t="s">
        <v>456</v>
      </c>
      <c r="B123" s="760" t="s">
        <v>1923</v>
      </c>
      <c r="C123" s="765">
        <f>'Revenues 9-14'!B177</f>
        <v>4045</v>
      </c>
      <c r="D123" s="762" t="str">
        <f>'Revenues 9-14'!A177 &amp; " (Subtract)"</f>
        <v>Head Start (Subtract)</v>
      </c>
      <c r="E123" s="739"/>
      <c r="F123" s="1793">
        <f>SUM(-'Revenues 9-14'!C177)</f>
        <v>0</v>
      </c>
      <c r="G123" s="763"/>
    </row>
    <row r="124" spans="1:7" x14ac:dyDescent="0.2">
      <c r="A124" s="760" t="s">
        <v>663</v>
      </c>
      <c r="B124" s="760" t="s">
        <v>1924</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1925</v>
      </c>
      <c r="C125" s="765">
        <v>4100</v>
      </c>
      <c r="D125" s="766" t="str">
        <f>'Revenues 9-14'!A188</f>
        <v>Total Title V</v>
      </c>
      <c r="E125" s="739"/>
      <c r="F125" s="1793">
        <f>SUM('Revenues 9-14'!C188,'Revenues 9-14'!D188,'Revenues 9-14'!F188,'Revenues 9-14'!G188)</f>
        <v>0</v>
      </c>
      <c r="G125" s="763"/>
    </row>
    <row r="126" spans="1:7" x14ac:dyDescent="0.2">
      <c r="A126" s="760" t="s">
        <v>659</v>
      </c>
      <c r="B126" s="760" t="s">
        <v>1926</v>
      </c>
      <c r="C126" s="765">
        <v>4200</v>
      </c>
      <c r="D126" s="762" t="str">
        <f>'Revenues 9-14'!A198</f>
        <v>Total Food Service</v>
      </c>
      <c r="E126" s="739"/>
      <c r="F126" s="1793">
        <f>SUM('Revenues 9-14'!C198,'Revenues 9-14'!G198)</f>
        <v>32323</v>
      </c>
      <c r="G126" s="763"/>
    </row>
    <row r="127" spans="1:7" x14ac:dyDescent="0.2">
      <c r="A127" s="760" t="s">
        <v>663</v>
      </c>
      <c r="B127" s="760" t="s">
        <v>1927</v>
      </c>
      <c r="C127" s="765">
        <v>4300</v>
      </c>
      <c r="D127" s="766" t="str">
        <f>'Revenues 9-14'!A204</f>
        <v>Total Title I</v>
      </c>
      <c r="E127" s="739"/>
      <c r="F127" s="1793">
        <f>SUM('Revenues 9-14'!C204,'Revenues 9-14'!D204,'Revenues 9-14'!F204,'Revenues 9-14'!G204)</f>
        <v>0</v>
      </c>
      <c r="G127" s="763"/>
    </row>
    <row r="128" spans="1:7" x14ac:dyDescent="0.2">
      <c r="A128" s="760" t="s">
        <v>663</v>
      </c>
      <c r="B128" s="760" t="s">
        <v>1928</v>
      </c>
      <c r="C128" s="765">
        <v>4400</v>
      </c>
      <c r="D128" s="766" t="str">
        <f>'Revenues 9-14'!A209</f>
        <v>Total Title IV</v>
      </c>
      <c r="E128" s="739"/>
      <c r="F128" s="1793">
        <f>SUM('Revenues 9-14'!C209,'Revenues 9-14'!D209,'Revenues 9-14'!F209,'Revenues 9-14'!G209)</f>
        <v>0</v>
      </c>
      <c r="G128" s="763"/>
    </row>
    <row r="129" spans="1:7" x14ac:dyDescent="0.2">
      <c r="A129" s="760" t="s">
        <v>663</v>
      </c>
      <c r="B129" s="760" t="s">
        <v>1929</v>
      </c>
      <c r="C129" s="765">
        <f>'Revenues 9-14'!B213</f>
        <v>4620</v>
      </c>
      <c r="D129" s="766" t="str">
        <f>'Revenues 9-14'!A213</f>
        <v>Fed - Spec Education - IDEA - Flow Through</v>
      </c>
      <c r="E129" s="739"/>
      <c r="F129" s="1793">
        <f>SUM('Revenues 9-14'!C213:D213,'Revenues 9-14'!F213:G213)</f>
        <v>2831483</v>
      </c>
      <c r="G129" s="763"/>
    </row>
    <row r="130" spans="1:7" x14ac:dyDescent="0.2">
      <c r="A130" s="760" t="s">
        <v>663</v>
      </c>
      <c r="B130" s="760" t="s">
        <v>1930</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1931</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1932</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93">
        <v>0</v>
      </c>
      <c r="G139" s="738"/>
    </row>
    <row r="140" spans="1:7" s="703" customFormat="1" hidden="1" x14ac:dyDescent="0.2">
      <c r="A140" s="767" t="s">
        <v>204</v>
      </c>
      <c r="B140" s="767" t="s">
        <v>1939</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1942</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1947</v>
      </c>
      <c r="C158" s="773" t="s">
        <v>836</v>
      </c>
      <c r="D158" s="774" t="s">
        <v>772</v>
      </c>
      <c r="E158" s="775"/>
      <c r="F158" s="1793">
        <f>SUM(F134:F157)</f>
        <v>0</v>
      </c>
      <c r="G158" s="738"/>
    </row>
    <row r="159" spans="1:7" s="703" customFormat="1" x14ac:dyDescent="0.2">
      <c r="A159" s="771" t="s">
        <v>456</v>
      </c>
      <c r="B159" s="772" t="s">
        <v>1948</v>
      </c>
      <c r="C159" s="773" t="s">
        <v>1410</v>
      </c>
      <c r="D159" s="774" t="s">
        <v>1411</v>
      </c>
      <c r="E159" s="775"/>
      <c r="F159" s="1793">
        <f>SUM('Revenues 9-14'!C253)</f>
        <v>0</v>
      </c>
      <c r="G159" s="738"/>
    </row>
    <row r="160" spans="1:7" s="703" customFormat="1" x14ac:dyDescent="0.2">
      <c r="A160" s="771" t="s">
        <v>497</v>
      </c>
      <c r="B160" s="772" t="s">
        <v>1949</v>
      </c>
      <c r="C160" s="773" t="s">
        <v>1449</v>
      </c>
      <c r="D160" s="774" t="s">
        <v>1450</v>
      </c>
      <c r="E160" s="775"/>
      <c r="F160" s="1793">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1952</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1953</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1954</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1955</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1900</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1901</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1956</v>
      </c>
      <c r="C169" s="765">
        <f>'Revenues 9-14'!B263</f>
        <v>4991</v>
      </c>
      <c r="D169" s="766" t="str">
        <f>'Revenues 9-14'!A263</f>
        <v>Medicaid Matching Funds - Administrative Outreach</v>
      </c>
      <c r="E169" s="739"/>
      <c r="F169" s="1793">
        <f>SUM('Revenues 9-14'!C263:D263,'Revenues 9-14'!F263:G263)</f>
        <v>64991</v>
      </c>
      <c r="G169" s="780">
        <v>6320</v>
      </c>
    </row>
    <row r="170" spans="1:7" x14ac:dyDescent="0.2">
      <c r="A170" s="760" t="s">
        <v>663</v>
      </c>
      <c r="B170" s="760" t="s">
        <v>1957</v>
      </c>
      <c r="C170" s="765">
        <f>'Revenues 9-14'!B264</f>
        <v>4992</v>
      </c>
      <c r="D170" s="766" t="str">
        <f>'Revenues 9-14'!A264</f>
        <v>Medicaid Matching Funds - Fee-for-Service Program</v>
      </c>
      <c r="E170" s="739"/>
      <c r="F170" s="1793">
        <f>SUM('Revenues 9-14'!C264:D264,'Revenues 9-14'!F264:G264)</f>
        <v>461155</v>
      </c>
      <c r="G170" s="780"/>
    </row>
    <row r="171" spans="1:7" x14ac:dyDescent="0.2">
      <c r="A171" s="781" t="s">
        <v>663</v>
      </c>
      <c r="B171" s="777" t="s">
        <v>1958</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1881</v>
      </c>
      <c r="C172" s="1531">
        <v>3100</v>
      </c>
      <c r="D172" s="1532" t="s">
        <v>1883</v>
      </c>
      <c r="E172" s="739"/>
      <c r="F172" s="1794"/>
      <c r="G172" s="760"/>
    </row>
    <row r="173" spans="1:7" x14ac:dyDescent="0.2">
      <c r="A173" s="1529" t="s">
        <v>659</v>
      </c>
      <c r="B173" s="1530" t="s">
        <v>1881</v>
      </c>
      <c r="C173" s="1531">
        <v>3300</v>
      </c>
      <c r="D173" s="1532" t="s">
        <v>1884</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2012</v>
      </c>
      <c r="E175" s="1456" t="s">
        <v>952</v>
      </c>
      <c r="F175" s="1796">
        <f>SUM(F85:F133,F158:F173)</f>
        <v>4740268</v>
      </c>
    </row>
    <row r="176" spans="1:7" ht="12" customHeight="1" x14ac:dyDescent="0.2">
      <c r="A176" s="1443"/>
      <c r="B176" s="1453"/>
      <c r="C176" s="1454"/>
      <c r="D176" s="1455" t="s">
        <v>2010</v>
      </c>
      <c r="E176" s="1456"/>
      <c r="F176" s="1793">
        <f>'PCTC-OEPP 27-28'!F78-F175</f>
        <v>705590</v>
      </c>
    </row>
    <row r="177" spans="1:9" ht="12" customHeight="1" x14ac:dyDescent="0.2">
      <c r="A177" s="1443"/>
      <c r="B177" s="1453"/>
      <c r="C177" s="1454"/>
      <c r="D177" s="1455" t="s">
        <v>1790</v>
      </c>
      <c r="E177" s="1456"/>
      <c r="F177" s="1793">
        <f>'Cap Outlay Deprec 26'!I18</f>
        <v>129172.5</v>
      </c>
    </row>
    <row r="178" spans="1:9" ht="12" customHeight="1" x14ac:dyDescent="0.2">
      <c r="A178" s="1443"/>
      <c r="B178" s="1453"/>
      <c r="C178" s="1454"/>
      <c r="D178" s="1455" t="s">
        <v>2011</v>
      </c>
      <c r="E178" s="1456"/>
      <c r="F178" s="1793">
        <f>F176+F177</f>
        <v>834762.5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2013</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8"/>
  <sheetViews>
    <sheetView showGridLines="0" topLeftCell="A13" zoomScaleNormal="100" workbookViewId="0">
      <selection activeCell="C23" sqref="C23"/>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2"/>
  </cols>
  <sheetData>
    <row r="1" spans="1:6" ht="15" customHeight="1" x14ac:dyDescent="0.25">
      <c r="A1" s="1859" t="s">
        <v>1803</v>
      </c>
      <c r="B1" s="1860"/>
      <c r="C1" s="1861"/>
      <c r="D1" s="1861"/>
      <c r="E1" s="1861"/>
      <c r="F1" s="1861"/>
    </row>
    <row r="2" spans="1:6" x14ac:dyDescent="0.25">
      <c r="A2" s="1863"/>
      <c r="B2" s="1864"/>
      <c r="C2" s="1911" t="s">
        <v>1999</v>
      </c>
      <c r="D2" s="1863"/>
      <c r="E2" s="1863"/>
      <c r="F2" s="1863"/>
    </row>
    <row r="3" spans="1:6" ht="5.25" customHeight="1" x14ac:dyDescent="0.25">
      <c r="A3" s="1865"/>
      <c r="B3" s="1866"/>
      <c r="C3" s="1865"/>
      <c r="D3" s="1865"/>
      <c r="E3" s="1865"/>
      <c r="F3" s="1865"/>
    </row>
    <row r="4" spans="1:6" ht="18.75" customHeight="1" x14ac:dyDescent="0.25">
      <c r="A4" s="2390" t="s">
        <v>1791</v>
      </c>
      <c r="B4" s="2391"/>
      <c r="C4" s="2391"/>
      <c r="D4" s="2391"/>
      <c r="E4" s="2391"/>
      <c r="F4" s="2392"/>
    </row>
    <row r="5" spans="1:6" x14ac:dyDescent="0.25">
      <c r="A5" s="2393"/>
      <c r="B5" s="2394"/>
      <c r="C5" s="2394"/>
      <c r="D5" s="2394"/>
      <c r="E5" s="2394"/>
      <c r="F5" s="2395"/>
    </row>
    <row r="6" spans="1:6" ht="18.75" x14ac:dyDescent="0.25">
      <c r="A6" s="1867" t="s">
        <v>1792</v>
      </c>
      <c r="B6" s="1868"/>
      <c r="C6" s="1869"/>
      <c r="D6" s="1869"/>
      <c r="E6" s="1869"/>
      <c r="F6" s="1870"/>
    </row>
    <row r="7" spans="1:6" ht="47.25" customHeight="1" x14ac:dyDescent="0.25">
      <c r="A7" s="2396" t="s">
        <v>1981</v>
      </c>
      <c r="B7" s="2397"/>
      <c r="C7" s="2397"/>
      <c r="D7" s="2397"/>
      <c r="E7" s="2397"/>
      <c r="F7" s="2398"/>
    </row>
    <row r="8" spans="1:6" ht="20.25" customHeight="1" x14ac:dyDescent="0.25">
      <c r="A8" s="1900" t="s">
        <v>1983</v>
      </c>
      <c r="B8" s="1901"/>
      <c r="C8" s="1901"/>
      <c r="D8" s="1901"/>
      <c r="E8" s="1871"/>
      <c r="F8" s="1872"/>
    </row>
    <row r="9" spans="1:6" ht="18" customHeight="1" x14ac:dyDescent="0.25">
      <c r="A9" s="1873" t="s">
        <v>1980</v>
      </c>
      <c r="B9" s="1875"/>
      <c r="C9" s="1875"/>
      <c r="D9" s="1875"/>
      <c r="E9" s="1871"/>
      <c r="F9" s="1872"/>
    </row>
    <row r="10" spans="1:6" ht="15.75" customHeight="1" x14ac:dyDescent="0.25">
      <c r="A10" s="2399" t="s">
        <v>1977</v>
      </c>
      <c r="B10" s="2400"/>
      <c r="C10" s="2400"/>
      <c r="D10" s="2400"/>
      <c r="E10" s="2400"/>
      <c r="F10" s="2401"/>
    </row>
    <row r="11" spans="1:6" ht="33" customHeight="1" x14ac:dyDescent="0.25">
      <c r="A11" s="2396" t="s">
        <v>1982</v>
      </c>
      <c r="B11" s="2397"/>
      <c r="C11" s="2397"/>
      <c r="D11" s="2397"/>
      <c r="E11" s="2397"/>
      <c r="F11" s="2398"/>
    </row>
    <row r="12" spans="1:6" ht="15" customHeight="1" x14ac:dyDescent="0.25">
      <c r="A12" s="1873" t="s">
        <v>1978</v>
      </c>
      <c r="B12" s="1874"/>
      <c r="C12" s="1875"/>
      <c r="D12" s="1875"/>
      <c r="E12" s="1875"/>
      <c r="F12" s="1876"/>
    </row>
    <row r="13" spans="1:6" ht="17.25" customHeight="1" x14ac:dyDescent="0.25">
      <c r="A13" s="2396" t="s">
        <v>1979</v>
      </c>
      <c r="B13" s="2397"/>
      <c r="C13" s="2397"/>
      <c r="D13" s="2397"/>
      <c r="E13" s="2397"/>
      <c r="F13" s="2398"/>
    </row>
    <row r="14" spans="1:6" ht="15" customHeight="1" x14ac:dyDescent="0.25">
      <c r="A14" s="1873" t="s">
        <v>1796</v>
      </c>
      <c r="B14" s="1874"/>
      <c r="C14" s="1875"/>
      <c r="D14" s="1875"/>
      <c r="E14" s="1875"/>
      <c r="F14" s="1876"/>
    </row>
    <row r="15" spans="1:6" ht="32.25" customHeight="1" x14ac:dyDescent="0.25">
      <c r="A15" s="238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8"/>
      <c r="C15" s="2388"/>
      <c r="D15" s="2388"/>
      <c r="E15" s="2388"/>
      <c r="F15" s="2389"/>
    </row>
    <row r="16" spans="1:6" ht="61.5" customHeight="1" x14ac:dyDescent="0.25">
      <c r="A16" s="1877" t="s">
        <v>1797</v>
      </c>
      <c r="B16" s="1878" t="s">
        <v>1798</v>
      </c>
      <c r="C16" s="1877" t="s">
        <v>1799</v>
      </c>
      <c r="D16" s="1879" t="s">
        <v>1800</v>
      </c>
      <c r="E16" s="1879" t="s">
        <v>1801</v>
      </c>
      <c r="F16" s="1879" t="s">
        <v>1802</v>
      </c>
    </row>
    <row r="17" spans="1:7" x14ac:dyDescent="0.25">
      <c r="A17" s="1880" t="s">
        <v>1804</v>
      </c>
      <c r="B17" s="1905" t="s">
        <v>1795</v>
      </c>
      <c r="C17" s="1881" t="s">
        <v>1793</v>
      </c>
      <c r="D17" s="1882">
        <v>500000</v>
      </c>
      <c r="E17" s="1882" t="str">
        <f>IF(D17&lt;25000,D17,"25,000")</f>
        <v>25,000</v>
      </c>
      <c r="F17" s="1883">
        <f>IF(D17&gt;=25000,(D17-E17),"0")</f>
        <v>475000</v>
      </c>
    </row>
    <row r="18" spans="1:7" x14ac:dyDescent="0.25">
      <c r="A18" s="2044" t="s">
        <v>2107</v>
      </c>
      <c r="B18" s="1906">
        <v>102300300</v>
      </c>
      <c r="C18" s="2045" t="s">
        <v>2108</v>
      </c>
      <c r="D18" s="1884">
        <v>21319</v>
      </c>
      <c r="E18" s="1904">
        <f t="shared" ref="E18:E35" si="0">IF(D18&lt;25000,D18,"25,000")</f>
        <v>21319</v>
      </c>
      <c r="F18" s="1904" t="str">
        <f t="shared" ref="F18:F35" si="1">IF(D18&gt;=25000,(D18-E18),"0")</f>
        <v>0</v>
      </c>
      <c r="G18" s="1885"/>
    </row>
    <row r="19" spans="1:7" x14ac:dyDescent="0.25">
      <c r="A19" s="2044" t="s">
        <v>2109</v>
      </c>
      <c r="B19" s="1906">
        <v>101000300</v>
      </c>
      <c r="C19" s="2045" t="s">
        <v>2108</v>
      </c>
      <c r="D19" s="1884">
        <v>2185</v>
      </c>
      <c r="E19" s="1904">
        <f t="shared" si="0"/>
        <v>2185</v>
      </c>
      <c r="F19" s="1904" t="str">
        <f t="shared" si="1"/>
        <v>0</v>
      </c>
    </row>
    <row r="20" spans="1:7" x14ac:dyDescent="0.25">
      <c r="A20" s="2044" t="s">
        <v>2109</v>
      </c>
      <c r="B20" s="1906">
        <v>101000300</v>
      </c>
      <c r="C20" s="2045" t="s">
        <v>2110</v>
      </c>
      <c r="D20" s="1884">
        <v>239</v>
      </c>
      <c r="E20" s="1904">
        <f t="shared" si="0"/>
        <v>239</v>
      </c>
      <c r="F20" s="1904" t="str">
        <f t="shared" si="1"/>
        <v>0</v>
      </c>
    </row>
    <row r="21" spans="1:7" x14ac:dyDescent="0.25">
      <c r="A21" s="2044" t="s">
        <v>2107</v>
      </c>
      <c r="B21" s="1906">
        <v>102300300</v>
      </c>
      <c r="C21" s="2045" t="s">
        <v>2110</v>
      </c>
      <c r="D21" s="1884">
        <v>15027</v>
      </c>
      <c r="E21" s="1904">
        <f t="shared" si="0"/>
        <v>15027</v>
      </c>
      <c r="F21" s="1904" t="str">
        <f t="shared" si="1"/>
        <v>0</v>
      </c>
    </row>
    <row r="22" spans="1:7" x14ac:dyDescent="0.25">
      <c r="A22" s="2044" t="s">
        <v>2107</v>
      </c>
      <c r="B22" s="1906">
        <v>102300300</v>
      </c>
      <c r="C22" s="2045" t="s">
        <v>2111</v>
      </c>
      <c r="D22" s="1884">
        <v>82942</v>
      </c>
      <c r="E22" s="1904" t="str">
        <f t="shared" si="0"/>
        <v>25,000</v>
      </c>
      <c r="F22" s="1904">
        <f t="shared" si="1"/>
        <v>57942</v>
      </c>
    </row>
    <row r="23" spans="1:7" x14ac:dyDescent="0.25">
      <c r="A23" s="2044" t="s">
        <v>2112</v>
      </c>
      <c r="B23" s="1906">
        <v>102300300</v>
      </c>
      <c r="C23" s="2045" t="s">
        <v>2113</v>
      </c>
      <c r="D23" s="1884">
        <v>15812</v>
      </c>
      <c r="E23" s="1904">
        <f t="shared" si="0"/>
        <v>15812</v>
      </c>
      <c r="F23" s="1904" t="str">
        <f t="shared" si="1"/>
        <v>0</v>
      </c>
    </row>
    <row r="24" spans="1:7" x14ac:dyDescent="0.25">
      <c r="A24" s="2044" t="s">
        <v>2114</v>
      </c>
      <c r="B24" s="1906">
        <v>102100300</v>
      </c>
      <c r="C24" s="2045" t="s">
        <v>2113</v>
      </c>
      <c r="D24" s="1884">
        <v>420</v>
      </c>
      <c r="E24" s="1904">
        <f t="shared" si="0"/>
        <v>420</v>
      </c>
      <c r="F24" s="1904" t="str">
        <f t="shared" si="1"/>
        <v>0</v>
      </c>
    </row>
    <row r="25" spans="1:7" x14ac:dyDescent="0.25">
      <c r="A25" s="2044" t="s">
        <v>2115</v>
      </c>
      <c r="B25" s="1906">
        <v>102100300</v>
      </c>
      <c r="C25" s="2045" t="s">
        <v>2113</v>
      </c>
      <c r="D25" s="1884">
        <v>1030</v>
      </c>
      <c r="E25" s="1904">
        <f t="shared" si="0"/>
        <v>1030</v>
      </c>
      <c r="F25" s="1904" t="str">
        <f t="shared" si="1"/>
        <v>0</v>
      </c>
    </row>
    <row r="26" spans="1:7" x14ac:dyDescent="0.25">
      <c r="A26" s="2044" t="s">
        <v>2116</v>
      </c>
      <c r="B26" s="1906">
        <v>102100300</v>
      </c>
      <c r="C26" s="2045" t="s">
        <v>2113</v>
      </c>
      <c r="D26" s="1884">
        <v>687</v>
      </c>
      <c r="E26" s="1904">
        <f t="shared" si="0"/>
        <v>687</v>
      </c>
      <c r="F26" s="1904" t="str">
        <f t="shared" si="1"/>
        <v>0</v>
      </c>
    </row>
    <row r="27" spans="1:7" x14ac:dyDescent="0.25">
      <c r="A27" s="2044" t="s">
        <v>2117</v>
      </c>
      <c r="B27" s="1906">
        <v>102100300</v>
      </c>
      <c r="C27" s="2045" t="s">
        <v>2113</v>
      </c>
      <c r="D27" s="1884">
        <v>1678</v>
      </c>
      <c r="E27" s="1904">
        <f t="shared" si="0"/>
        <v>1678</v>
      </c>
      <c r="F27" s="1904" t="str">
        <f t="shared" si="1"/>
        <v>0</v>
      </c>
    </row>
    <row r="28" spans="1:7" x14ac:dyDescent="0.25">
      <c r="A28" s="2044" t="s">
        <v>2118</v>
      </c>
      <c r="B28" s="1906">
        <v>101000300</v>
      </c>
      <c r="C28" s="2045" t="s">
        <v>2119</v>
      </c>
      <c r="D28" s="1884">
        <v>20145</v>
      </c>
      <c r="E28" s="1904">
        <f t="shared" si="0"/>
        <v>20145</v>
      </c>
      <c r="F28" s="1904" t="str">
        <f t="shared" si="1"/>
        <v>0</v>
      </c>
    </row>
    <row r="29" spans="1:7" x14ac:dyDescent="0.25">
      <c r="A29" s="2044" t="s">
        <v>2120</v>
      </c>
      <c r="B29" s="1906">
        <v>102570300</v>
      </c>
      <c r="C29" s="2045" t="s">
        <v>2121</v>
      </c>
      <c r="D29" s="1884">
        <v>912</v>
      </c>
      <c r="E29" s="1904">
        <f t="shared" si="0"/>
        <v>912</v>
      </c>
      <c r="F29" s="1904" t="str">
        <f t="shared" si="1"/>
        <v>0</v>
      </c>
    </row>
    <row r="30" spans="1:7" x14ac:dyDescent="0.25">
      <c r="A30" s="2044" t="s">
        <v>2109</v>
      </c>
      <c r="B30" s="1906">
        <v>101000300</v>
      </c>
      <c r="C30" s="2045" t="s">
        <v>2122</v>
      </c>
      <c r="D30" s="1884">
        <v>4082</v>
      </c>
      <c r="E30" s="1904">
        <f t="shared" si="0"/>
        <v>4082</v>
      </c>
      <c r="F30" s="1904" t="str">
        <f t="shared" si="1"/>
        <v>0</v>
      </c>
    </row>
    <row r="31" spans="1:7" x14ac:dyDescent="0.25">
      <c r="A31" s="2044" t="s">
        <v>2115</v>
      </c>
      <c r="B31" s="1906">
        <v>102100300</v>
      </c>
      <c r="C31" s="2045" t="s">
        <v>2123</v>
      </c>
      <c r="D31" s="1884">
        <v>6133</v>
      </c>
      <c r="E31" s="1904">
        <f t="shared" si="0"/>
        <v>6133</v>
      </c>
      <c r="F31" s="1904" t="str">
        <f t="shared" si="1"/>
        <v>0</v>
      </c>
    </row>
    <row r="32" spans="1:7" x14ac:dyDescent="0.25">
      <c r="A32" s="2044" t="s">
        <v>2112</v>
      </c>
      <c r="B32" s="1906">
        <v>102300300</v>
      </c>
      <c r="C32" s="2045" t="s">
        <v>2124</v>
      </c>
      <c r="D32" s="1884">
        <v>26177</v>
      </c>
      <c r="E32" s="1904" t="str">
        <f t="shared" si="0"/>
        <v>25,000</v>
      </c>
      <c r="F32" s="1904">
        <f t="shared" si="1"/>
        <v>1177</v>
      </c>
    </row>
    <row r="33" spans="1:6" x14ac:dyDescent="0.25">
      <c r="A33" s="2044" t="s">
        <v>2120</v>
      </c>
      <c r="B33" s="1906">
        <v>102570300</v>
      </c>
      <c r="C33" s="2045" t="s">
        <v>2125</v>
      </c>
      <c r="D33" s="1884">
        <v>10942</v>
      </c>
      <c r="E33" s="1904">
        <f t="shared" si="0"/>
        <v>10942</v>
      </c>
      <c r="F33" s="1904" t="str">
        <f t="shared" si="1"/>
        <v>0</v>
      </c>
    </row>
    <row r="34" spans="1:6" x14ac:dyDescent="0.25">
      <c r="A34" s="2044" t="s">
        <v>2120</v>
      </c>
      <c r="B34" s="1906">
        <v>102570300</v>
      </c>
      <c r="C34" s="2045" t="s">
        <v>2126</v>
      </c>
      <c r="D34" s="1884">
        <v>8330</v>
      </c>
      <c r="E34" s="1904">
        <f t="shared" si="0"/>
        <v>8330</v>
      </c>
      <c r="F34" s="1904" t="str">
        <f t="shared" si="1"/>
        <v>0</v>
      </c>
    </row>
    <row r="35" spans="1:6" x14ac:dyDescent="0.25">
      <c r="A35" s="2044" t="s">
        <v>2109</v>
      </c>
      <c r="B35" s="1906">
        <v>101000300</v>
      </c>
      <c r="C35" s="2045" t="s">
        <v>2127</v>
      </c>
      <c r="D35" s="1884">
        <v>1829</v>
      </c>
      <c r="E35" s="1904">
        <f t="shared" si="0"/>
        <v>1829</v>
      </c>
      <c r="F35" s="1904" t="str">
        <f t="shared" si="1"/>
        <v>0</v>
      </c>
    </row>
    <row r="36" spans="1:6" x14ac:dyDescent="0.25">
      <c r="A36" s="1886"/>
      <c r="B36" s="1907"/>
      <c r="C36" s="1887"/>
      <c r="D36" s="1884"/>
      <c r="E36" s="1904">
        <f t="shared" ref="E36:E37" si="2">IF(D36&lt;25000,D36,"25,000")</f>
        <v>0</v>
      </c>
      <c r="F36" s="1904" t="str">
        <f t="shared" ref="F36:F37" si="3">IF(D36&gt;=25000,(D36-E36),"0")</f>
        <v>0</v>
      </c>
    </row>
    <row r="37" spans="1:6" x14ac:dyDescent="0.25">
      <c r="A37" s="1886"/>
      <c r="B37" s="1908"/>
      <c r="C37" s="1887"/>
      <c r="D37" s="1884"/>
      <c r="E37" s="1904">
        <f t="shared" si="2"/>
        <v>0</v>
      </c>
      <c r="F37" s="1904" t="str">
        <f t="shared" si="3"/>
        <v>0</v>
      </c>
    </row>
    <row r="38" spans="1:6" x14ac:dyDescent="0.25">
      <c r="A38" s="1888" t="s">
        <v>155</v>
      </c>
      <c r="B38" s="1909"/>
      <c r="C38" s="1889"/>
      <c r="D38" s="1890">
        <f>SUM(D18:D37)</f>
        <v>219889</v>
      </c>
      <c r="E38" s="1891">
        <f>SUM(E18:E37)</f>
        <v>110770</v>
      </c>
      <c r="F38" s="1892">
        <f>SUM(F18:F37)</f>
        <v>59119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22" fitToHeight="0" orientation="landscape" r:id="rId1"/>
  <headerFooter>
    <oddHeader>&amp;L&amp;8Page 22&amp;R&amp;8Page 22</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600075</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topLeftCell="B25" colorId="8" zoomScale="110" zoomScaleNormal="110" workbookViewId="0">
      <selection activeCell="B32" sqref="B32:K3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2" t="s">
        <v>1660</v>
      </c>
      <c r="B5" s="2403"/>
      <c r="C5" s="2403"/>
      <c r="D5" s="2403"/>
      <c r="E5" s="2403"/>
      <c r="F5" s="2403"/>
      <c r="G5" s="240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1890</v>
      </c>
      <c r="B10" s="803"/>
      <c r="C10" s="807"/>
      <c r="D10" s="804"/>
      <c r="E10" s="1800"/>
      <c r="F10" s="805"/>
      <c r="G10" s="806"/>
      <c r="H10" s="157"/>
      <c r="I10" s="157"/>
    </row>
    <row r="11" spans="1:13" s="542" customFormat="1" ht="22.5" customHeight="1" x14ac:dyDescent="0.2">
      <c r="A11" s="240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8"/>
      <c r="C11" s="2408"/>
      <c r="D11" s="2409"/>
      <c r="E11" s="1801">
        <v>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1684886</v>
      </c>
      <c r="F19" s="1802"/>
      <c r="G19" s="1804">
        <f>'Expenditures 15-22'!K33-SUM('Expenditures 15-22'!G33,'Expenditures 15-22'!I33)+'Expenditures 15-22'!D229</f>
        <v>1684886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1913393</v>
      </c>
      <c r="F21" s="1805"/>
      <c r="G21" s="1808">
        <f>'Expenditures 15-22'!K42-SUM('Expenditures 15-22'!G42,'Expenditures 15-22'!I42)+'Expenditures 15-22'!K120-SUM('Expenditures 15-22'!G120,'Expenditures 15-22'!I120)+'Expenditures 15-22'!K180-SUM('Expenditures 15-22'!G180,'Expenditures 15-22'!I180)+'Expenditures 15-22'!D238</f>
        <v>1913393</v>
      </c>
      <c r="H21" s="817"/>
      <c r="I21" s="157"/>
    </row>
    <row r="22" spans="1:9" s="542" customFormat="1" ht="12" customHeight="1" x14ac:dyDescent="0.2">
      <c r="A22" s="824" t="s">
        <v>560</v>
      </c>
      <c r="B22" s="825"/>
      <c r="C22" s="823">
        <v>2200</v>
      </c>
      <c r="D22" s="1805"/>
      <c r="E22" s="1807">
        <f>'Expenditures 15-22'!K47-SUM('Expenditures 15-22'!G47,'Expenditures 15-22'!I47)+'Expenditures 15-22'!D243</f>
        <v>303228</v>
      </c>
      <c r="F22" s="1805"/>
      <c r="G22" s="1808">
        <f>'Expenditures 15-22'!K47-SUM('Expenditures 15-22'!G47,'Expenditures 15-22'!I47)+'Expenditures 15-22'!D243</f>
        <v>303228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1384429</v>
      </c>
      <c r="F23" s="1805"/>
      <c r="G23" s="1807">
        <f>'Expenditures 15-22'!K53-SUM('Expenditures 15-22'!G53,'Expenditures 15-22'!I53)+'Expenditures 15-22'!D257+'Expenditures 15-22'!K330-SUM('Expenditures 15-22'!G330,'Expenditures 15-22'!I330)</f>
        <v>1384429</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100453</v>
      </c>
      <c r="E27" s="1807">
        <f>E8</f>
        <v>0</v>
      </c>
      <c r="F27" s="1807">
        <f>'Expenditures 15-22'!K60-SUM('Expenditures 15-22'!G60,'Expenditures 15-22'!I60)+'Expenditures 15-22'!D264-E8</f>
        <v>100453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87714</v>
      </c>
      <c r="F28" s="1809">
        <f>'Expenditures 15-22'!K61-SUM('Expenditures 15-22'!G61,'Expenditures 15-22'!I61)+'Expenditures 15-22'!K124-SUM('Expenditures 15-22'!G124,'Expenditures 15-22'!I124)+'Expenditures 15-22'!D266-E9</f>
        <v>87714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83773</v>
      </c>
      <c r="E31" s="1807">
        <f>E12</f>
        <v>0</v>
      </c>
      <c r="F31" s="1807">
        <f>'Expenditures 15-22'!K64-SUM('Expenditures 15-22'!G64,'Expenditures 15-22'!I64)+'Expenditures 15-22'!D269-E12</f>
        <v>83773</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1794</v>
      </c>
      <c r="B40" s="821"/>
      <c r="C40" s="823"/>
      <c r="D40" s="1805"/>
      <c r="E40" s="1809">
        <f>-'Contracts Paid in CY 29'!F38</f>
        <v>-59119</v>
      </c>
      <c r="F40" s="1805"/>
      <c r="G40" s="1809">
        <f>-'Contracts Paid in CY 29'!F38</f>
        <v>-59119</v>
      </c>
    </row>
    <row r="41" spans="1:7" ht="12" customHeight="1" x14ac:dyDescent="0.2">
      <c r="A41" s="828" t="s">
        <v>155</v>
      </c>
      <c r="B41" s="829"/>
      <c r="C41" s="830"/>
      <c r="D41" s="1809">
        <f>SUM(D19:D39)</f>
        <v>184226</v>
      </c>
      <c r="E41" s="1809">
        <f>SUM(E19:E40)</f>
        <v>5314531</v>
      </c>
      <c r="F41" s="1809">
        <f>SUM(F19:F39)</f>
        <v>271940</v>
      </c>
      <c r="G41" s="1809">
        <f>SUM(G19:G40)</f>
        <v>5226817</v>
      </c>
    </row>
    <row r="42" spans="1:7" x14ac:dyDescent="0.2">
      <c r="A42" s="817"/>
      <c r="B42" s="157"/>
      <c r="C42" s="831"/>
      <c r="D42" s="2405" t="s">
        <v>519</v>
      </c>
      <c r="E42" s="2406"/>
      <c r="F42" s="832" t="s">
        <v>520</v>
      </c>
      <c r="G42" s="833"/>
    </row>
    <row r="43" spans="1:7" ht="12" customHeight="1" x14ac:dyDescent="0.2">
      <c r="A43" s="817"/>
      <c r="B43" s="157"/>
      <c r="C43" s="831"/>
      <c r="D43" s="1458" t="s">
        <v>470</v>
      </c>
      <c r="E43" s="1810">
        <f>D41</f>
        <v>184226</v>
      </c>
      <c r="F43" s="1458" t="s">
        <v>470</v>
      </c>
      <c r="G43" s="1810">
        <f>F41</f>
        <v>271940</v>
      </c>
    </row>
    <row r="44" spans="1:7" ht="12" customHeight="1" x14ac:dyDescent="0.2">
      <c r="A44" s="817"/>
      <c r="B44" s="157"/>
      <c r="C44" s="831"/>
      <c r="D44" s="1458" t="s">
        <v>471</v>
      </c>
      <c r="E44" s="1810">
        <f>E41</f>
        <v>5314531</v>
      </c>
      <c r="F44" s="1458" t="s">
        <v>471</v>
      </c>
      <c r="G44" s="1810">
        <f>G41</f>
        <v>5226817</v>
      </c>
    </row>
    <row r="45" spans="1:7" ht="12" customHeight="1" x14ac:dyDescent="0.2">
      <c r="A45" s="817"/>
      <c r="B45" s="157"/>
      <c r="C45" s="157"/>
      <c r="D45" s="1459" t="s">
        <v>999</v>
      </c>
      <c r="E45" s="1811">
        <f>(E43/E44)</f>
        <v>3.4664582820196174E-2</v>
      </c>
      <c r="F45" s="1459" t="s">
        <v>999</v>
      </c>
      <c r="G45" s="1811">
        <f>(G43/G44)</f>
        <v>5.2027840270665683E-2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23"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16" zoomScale="110" zoomScaleNormal="110" workbookViewId="0">
      <selection activeCell="B32" sqref="B32:K3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24" t="s">
        <v>1363</v>
      </c>
      <c r="B1" s="2424"/>
      <c r="C1" s="2424"/>
      <c r="D1" s="2424"/>
      <c r="E1" s="2424"/>
      <c r="F1" s="2424"/>
    </row>
    <row r="2" spans="1:15" x14ac:dyDescent="0.2">
      <c r="A2" s="1513" t="s">
        <v>1874</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5" t="s">
        <v>1529</v>
      </c>
      <c r="B5" s="2426"/>
      <c r="C5" s="2427"/>
      <c r="D5" s="2427"/>
      <c r="E5" s="2427"/>
      <c r="F5" s="2427"/>
      <c r="G5" s="1507"/>
      <c r="L5" s="1507"/>
      <c r="M5" s="1855"/>
      <c r="N5" s="1855"/>
      <c r="O5" s="1855"/>
    </row>
    <row r="6" spans="1:15" ht="12" customHeight="1" x14ac:dyDescent="0.25">
      <c r="A6" s="1480"/>
      <c r="B6" s="1481"/>
      <c r="C6" s="2428" t="str">
        <f>COVER!A17</f>
        <v xml:space="preserve">  Franklin-Jefferson Co Sp Ed Dist</v>
      </c>
      <c r="D6" s="2428"/>
      <c r="E6" s="2428"/>
      <c r="F6" s="1482"/>
      <c r="G6" s="1507"/>
      <c r="L6" s="1507"/>
      <c r="M6" s="1855"/>
      <c r="N6" s="1855"/>
      <c r="O6" s="1855"/>
    </row>
    <row r="7" spans="1:15" ht="11.25" customHeight="1" thickBot="1" x14ac:dyDescent="0.3">
      <c r="A7" s="1480"/>
      <c r="B7" s="1481"/>
      <c r="C7" s="2429">
        <f>COVER!A13</f>
        <v>13041801060</v>
      </c>
      <c r="D7" s="2429"/>
      <c r="E7" s="2429"/>
      <c r="F7" s="1482"/>
      <c r="G7" s="1507"/>
      <c r="L7" s="1507"/>
      <c r="M7" s="1855"/>
      <c r="N7" s="1855"/>
      <c r="O7" s="1855"/>
    </row>
    <row r="8" spans="1:15" ht="25.5" customHeight="1" thickBot="1" x14ac:dyDescent="0.25">
      <c r="A8" s="1519" t="s">
        <v>1870</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2047</v>
      </c>
      <c r="D16" s="1495" t="s">
        <v>2047</v>
      </c>
      <c r="E16" s="1498" t="s">
        <v>2047</v>
      </c>
      <c r="F16" s="1497" t="s">
        <v>2128</v>
      </c>
      <c r="G16" s="1507"/>
      <c r="H16" s="1507">
        <f t="shared" si="0"/>
        <v>5</v>
      </c>
      <c r="I16" s="1507">
        <f t="shared" si="1"/>
        <v>5</v>
      </c>
      <c r="J16" s="1507">
        <f t="shared" si="2"/>
        <v>5</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2047</v>
      </c>
      <c r="D24" s="1495" t="s">
        <v>2047</v>
      </c>
      <c r="E24" s="1498" t="s">
        <v>2047</v>
      </c>
      <c r="F24" s="1497" t="s">
        <v>2129</v>
      </c>
      <c r="G24" s="1507"/>
      <c r="H24" s="1507">
        <f t="shared" si="0"/>
        <v>5</v>
      </c>
      <c r="I24" s="1507">
        <f t="shared" si="1"/>
        <v>5</v>
      </c>
      <c r="J24" s="1507">
        <f t="shared" si="2"/>
        <v>5</v>
      </c>
      <c r="L24" s="1507"/>
      <c r="M24" s="1855"/>
      <c r="N24" s="1855"/>
      <c r="O24" s="1855"/>
    </row>
    <row r="25" spans="1:15" ht="12" customHeight="1" x14ac:dyDescent="0.2">
      <c r="A25" s="1493" t="s">
        <v>1516</v>
      </c>
      <c r="B25" s="1494"/>
      <c r="C25" s="1495" t="s">
        <v>2047</v>
      </c>
      <c r="D25" s="1495" t="s">
        <v>2047</v>
      </c>
      <c r="E25" s="1498" t="s">
        <v>2047</v>
      </c>
      <c r="F25" s="1497" t="s">
        <v>2130</v>
      </c>
      <c r="G25" s="1507"/>
      <c r="H25" s="1507">
        <f t="shared" si="0"/>
        <v>5</v>
      </c>
      <c r="I25" s="1507">
        <f t="shared" si="1"/>
        <v>5</v>
      </c>
      <c r="J25" s="1507">
        <f t="shared" si="2"/>
        <v>5</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15</v>
      </c>
      <c r="K34" s="1507">
        <f>SUM(H34:J34)</f>
        <v>45</v>
      </c>
      <c r="L34" s="1507"/>
      <c r="M34" s="1855"/>
      <c r="N34" s="1855"/>
      <c r="O34" s="1855"/>
    </row>
    <row r="35" spans="1:15" ht="12" customHeight="1" x14ac:dyDescent="0.2">
      <c r="A35" s="1500" t="s">
        <v>1376</v>
      </c>
      <c r="B35" s="1501"/>
      <c r="C35" s="2430"/>
      <c r="D35" s="2430"/>
      <c r="E35" s="2430"/>
      <c r="F35" s="2431"/>
    </row>
    <row r="36" spans="1:15" ht="12" customHeight="1" x14ac:dyDescent="0.2">
      <c r="A36" s="2413"/>
      <c r="B36" s="2414"/>
      <c r="C36" s="2414"/>
      <c r="D36" s="2414"/>
      <c r="E36" s="2414"/>
      <c r="F36" s="2415"/>
    </row>
    <row r="37" spans="1:15" ht="12" customHeight="1" x14ac:dyDescent="0.2">
      <c r="A37" s="2413"/>
      <c r="B37" s="2414"/>
      <c r="C37" s="2414"/>
      <c r="D37" s="2414"/>
      <c r="E37" s="2414"/>
      <c r="F37" s="2415"/>
    </row>
    <row r="38" spans="1:15" ht="12" customHeight="1" x14ac:dyDescent="0.2">
      <c r="A38" s="2416"/>
      <c r="B38" s="2417"/>
      <c r="C38" s="2417"/>
      <c r="D38" s="2417"/>
      <c r="E38" s="2417"/>
      <c r="F38" s="2418"/>
    </row>
    <row r="39" spans="1:15" ht="4.5" hidden="1" customHeight="1" x14ac:dyDescent="0.2">
      <c r="A39" s="1502"/>
      <c r="B39" s="1502"/>
      <c r="C39" s="1502"/>
      <c r="D39" s="1502"/>
      <c r="E39" s="1502"/>
      <c r="F39" s="1502"/>
    </row>
    <row r="40" spans="1:15" s="1499" customFormat="1" ht="12" customHeight="1" x14ac:dyDescent="0.25">
      <c r="A40" s="1503" t="s">
        <v>1375</v>
      </c>
      <c r="B40" s="1504"/>
      <c r="C40" s="2419"/>
      <c r="D40" s="2419"/>
      <c r="E40" s="2419"/>
      <c r="F40" s="2420"/>
      <c r="H40" s="1508"/>
      <c r="I40" s="1508"/>
      <c r="J40" s="1508"/>
      <c r="K40" s="1508"/>
    </row>
    <row r="41" spans="1:15" s="1499" customFormat="1" ht="12" customHeight="1" x14ac:dyDescent="0.25">
      <c r="A41" s="2421"/>
      <c r="B41" s="2422"/>
      <c r="C41" s="2422"/>
      <c r="D41" s="2422"/>
      <c r="E41" s="2422"/>
      <c r="F41" s="2423"/>
      <c r="H41" s="1508"/>
      <c r="I41" s="1508"/>
      <c r="J41" s="1508"/>
      <c r="K41" s="1508"/>
    </row>
    <row r="42" spans="1:15" s="1499" customFormat="1" ht="12" customHeight="1" x14ac:dyDescent="0.25">
      <c r="A42" s="2421"/>
      <c r="B42" s="2422"/>
      <c r="C42" s="2422"/>
      <c r="D42" s="2422"/>
      <c r="E42" s="2422"/>
      <c r="F42" s="2423"/>
      <c r="H42" s="1508"/>
      <c r="I42" s="1508"/>
      <c r="J42" s="1508"/>
      <c r="K42" s="1508"/>
    </row>
    <row r="43" spans="1:15" s="1499" customFormat="1" ht="15" x14ac:dyDescent="0.25">
      <c r="A43" s="2410"/>
      <c r="B43" s="2411"/>
      <c r="C43" s="2411"/>
      <c r="D43" s="2411"/>
      <c r="E43" s="2411"/>
      <c r="F43" s="2412"/>
      <c r="H43" s="1508"/>
      <c r="I43" s="1508"/>
      <c r="J43" s="1508"/>
      <c r="K43" s="1508"/>
    </row>
    <row r="44" spans="1:15" s="1499" customFormat="1" ht="12" hidden="1" customHeight="1" x14ac:dyDescent="0.25">
      <c r="A44" s="2410"/>
      <c r="B44" s="2411"/>
      <c r="C44" s="2411"/>
      <c r="D44" s="2411"/>
      <c r="E44" s="2411"/>
      <c r="F44" s="241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Header>&amp;LPage 24&amp;RPage 24</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B32" sqref="B32:K32"/>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1998</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7"/>
      <c r="C6" s="1377"/>
      <c r="D6" s="1377"/>
      <c r="E6" s="1378"/>
      <c r="F6" s="1920"/>
      <c r="G6" s="1921"/>
      <c r="H6" s="838"/>
      <c r="I6" s="1922" t="s">
        <v>1021</v>
      </c>
      <c r="J6" s="2450" t="str">
        <f>COVER!A17</f>
        <v xml:space="preserve">  Franklin-Jefferson Co Sp Ed Dist</v>
      </c>
      <c r="K6" s="2450"/>
      <c r="L6" s="2464"/>
      <c r="M6" s="838"/>
      <c r="N6" s="1996"/>
    </row>
    <row r="7" spans="1:14" x14ac:dyDescent="0.2">
      <c r="A7" s="2465" t="s">
        <v>864</v>
      </c>
      <c r="B7" s="2466"/>
      <c r="C7" s="2466"/>
      <c r="D7" s="2466"/>
      <c r="E7" s="2467"/>
      <c r="F7" s="839"/>
      <c r="G7" s="838"/>
      <c r="H7" s="838"/>
      <c r="I7" s="1922" t="s">
        <v>369</v>
      </c>
      <c r="J7" s="2452">
        <f>COVER!A13</f>
        <v>13041801060</v>
      </c>
      <c r="K7" s="2452"/>
      <c r="L7" s="2452"/>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2014</v>
      </c>
      <c r="F9" s="1857"/>
      <c r="G9" s="1857"/>
      <c r="H9" s="1857"/>
      <c r="I9" s="1927" t="s">
        <v>2015</v>
      </c>
      <c r="J9" s="1857"/>
      <c r="K9" s="1857"/>
      <c r="L9" s="1858"/>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68" t="s">
        <v>478</v>
      </c>
      <c r="B11" s="2469"/>
      <c r="C11" s="2470"/>
      <c r="D11" s="1935" t="s">
        <v>866</v>
      </c>
      <c r="E11" s="1935" t="s">
        <v>64</v>
      </c>
      <c r="F11" s="1935" t="s">
        <v>6</v>
      </c>
      <c r="G11" s="1936" t="s">
        <v>2016</v>
      </c>
      <c r="H11" s="1937" t="s">
        <v>155</v>
      </c>
      <c r="I11" s="1935" t="s">
        <v>64</v>
      </c>
      <c r="J11" s="1935" t="s">
        <v>6</v>
      </c>
      <c r="K11" s="1936" t="s">
        <v>1997</v>
      </c>
      <c r="L11" s="1937" t="s">
        <v>155</v>
      </c>
      <c r="M11" s="838"/>
      <c r="N11" s="1996"/>
    </row>
    <row r="12" spans="1:14" x14ac:dyDescent="0.2">
      <c r="A12" s="2001">
        <v>1</v>
      </c>
      <c r="B12" s="1938" t="s">
        <v>813</v>
      </c>
      <c r="C12" s="842"/>
      <c r="D12" s="1939">
        <v>2320</v>
      </c>
      <c r="E12" s="1942">
        <f>'Expenditures 15-22'!K50</f>
        <v>1370261</v>
      </c>
      <c r="F12" s="1940"/>
      <c r="G12" s="1966">
        <f>G68</f>
        <v>0</v>
      </c>
      <c r="H12" s="1942">
        <f t="shared" ref="H12:H18" si="0">SUM(E12:G12)</f>
        <v>1370261</v>
      </c>
      <c r="I12" s="1941">
        <v>1441852</v>
      </c>
      <c r="J12" s="1940"/>
      <c r="K12" s="1941">
        <v>0</v>
      </c>
      <c r="L12" s="1942">
        <f t="shared" ref="L12:L18" si="1">SUM(I12:K12)</f>
        <v>1441852</v>
      </c>
      <c r="M12" s="838"/>
      <c r="N12" s="1996"/>
    </row>
    <row r="13" spans="1:14" x14ac:dyDescent="0.2">
      <c r="A13" s="2001">
        <v>2</v>
      </c>
      <c r="B13" s="1938" t="s">
        <v>42</v>
      </c>
      <c r="C13" s="842"/>
      <c r="D13" s="1939">
        <v>2330</v>
      </c>
      <c r="E13" s="1942">
        <f>'Expenditures 15-22'!K51</f>
        <v>0</v>
      </c>
      <c r="F13" s="1940"/>
      <c r="G13" s="1966">
        <f>H68</f>
        <v>0</v>
      </c>
      <c r="H13" s="1942">
        <f t="shared" si="0"/>
        <v>0</v>
      </c>
      <c r="I13" s="1941">
        <v>0</v>
      </c>
      <c r="J13" s="1940"/>
      <c r="K13" s="1941">
        <v>0</v>
      </c>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v>0</v>
      </c>
      <c r="J14" s="1940"/>
      <c r="K14" s="1941">
        <v>0</v>
      </c>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v>0</v>
      </c>
      <c r="J15" s="1941"/>
      <c r="K15" s="1941">
        <v>0</v>
      </c>
      <c r="L15" s="1942">
        <f t="shared" si="1"/>
        <v>0</v>
      </c>
      <c r="M15" s="838"/>
      <c r="N15" s="1996"/>
    </row>
    <row r="16" spans="1:14" x14ac:dyDescent="0.2">
      <c r="A16" s="2001">
        <v>5</v>
      </c>
      <c r="B16" s="1938" t="s">
        <v>101</v>
      </c>
      <c r="C16" s="842"/>
      <c r="D16" s="1939">
        <v>2570</v>
      </c>
      <c r="E16" s="1942">
        <f>'Expenditures 15-22'!K64</f>
        <v>83773</v>
      </c>
      <c r="F16" s="1940"/>
      <c r="G16" s="1966">
        <f>K68</f>
        <v>0</v>
      </c>
      <c r="H16" s="1942">
        <f t="shared" si="0"/>
        <v>83773</v>
      </c>
      <c r="I16" s="1941">
        <v>40000</v>
      </c>
      <c r="J16" s="1940"/>
      <c r="K16" s="1941">
        <v>0</v>
      </c>
      <c r="L16" s="1942">
        <f t="shared" si="1"/>
        <v>40000</v>
      </c>
      <c r="M16" s="838"/>
      <c r="N16" s="1996"/>
    </row>
    <row r="17" spans="1:14" x14ac:dyDescent="0.2">
      <c r="A17" s="2001">
        <v>6</v>
      </c>
      <c r="B17" s="1938" t="s">
        <v>1051</v>
      </c>
      <c r="C17" s="842"/>
      <c r="D17" s="1939">
        <v>2610</v>
      </c>
      <c r="E17" s="1942">
        <f>'Expenditures 15-22'!K67</f>
        <v>0</v>
      </c>
      <c r="F17" s="1940"/>
      <c r="G17" s="1966">
        <f>L68</f>
        <v>0</v>
      </c>
      <c r="H17" s="1942">
        <f t="shared" si="0"/>
        <v>0</v>
      </c>
      <c r="I17" s="1941">
        <v>0</v>
      </c>
      <c r="J17" s="1940"/>
      <c r="K17" s="1941">
        <v>0</v>
      </c>
      <c r="L17" s="1942">
        <f t="shared" si="1"/>
        <v>0</v>
      </c>
      <c r="M17" s="838"/>
      <c r="N17" s="1996"/>
    </row>
    <row r="18" spans="1:14" ht="26.25" customHeight="1" x14ac:dyDescent="0.2">
      <c r="A18" s="2002">
        <v>7</v>
      </c>
      <c r="B18" s="2471" t="s">
        <v>7</v>
      </c>
      <c r="C18" s="2472"/>
      <c r="D18" s="2473"/>
      <c r="E18" s="1944"/>
      <c r="F18" s="1944"/>
      <c r="G18" s="1941"/>
      <c r="H18" s="1945">
        <f t="shared" si="0"/>
        <v>0</v>
      </c>
      <c r="I18" s="1941">
        <v>0</v>
      </c>
      <c r="J18" s="1941"/>
      <c r="K18" s="1941">
        <v>0</v>
      </c>
      <c r="L18" s="1942">
        <f t="shared" si="1"/>
        <v>0</v>
      </c>
      <c r="M18" s="838"/>
      <c r="N18" s="1996"/>
    </row>
    <row r="19" spans="1:14" ht="13.5" thickBot="1" x14ac:dyDescent="0.25">
      <c r="A19" s="2001">
        <v>8</v>
      </c>
      <c r="B19" s="1946" t="s">
        <v>1151</v>
      </c>
      <c r="C19" s="838"/>
      <c r="D19" s="1947"/>
      <c r="E19" s="1948">
        <f t="shared" ref="E19:L19" si="2">SUM(E12:E17)-E18</f>
        <v>1454034</v>
      </c>
      <c r="F19" s="1948">
        <f t="shared" si="2"/>
        <v>0</v>
      </c>
      <c r="G19" s="1948">
        <f t="shared" ref="G19" si="3">SUM(G12:G17)-G18</f>
        <v>0</v>
      </c>
      <c r="H19" s="1948">
        <f t="shared" si="2"/>
        <v>1454034</v>
      </c>
      <c r="I19" s="1948">
        <f t="shared" si="2"/>
        <v>1481852</v>
      </c>
      <c r="J19" s="1948">
        <f t="shared" si="2"/>
        <v>0</v>
      </c>
      <c r="K19" s="1948">
        <f t="shared" si="2"/>
        <v>0</v>
      </c>
      <c r="L19" s="1948">
        <f t="shared" si="2"/>
        <v>1481852</v>
      </c>
      <c r="M19" s="838"/>
      <c r="N19" s="1996"/>
    </row>
    <row r="20" spans="1:14" ht="13.5" thickTop="1" x14ac:dyDescent="0.2">
      <c r="A20" s="2001">
        <v>9</v>
      </c>
      <c r="B20" s="2474" t="s">
        <v>2017</v>
      </c>
      <c r="C20" s="2474"/>
      <c r="D20" s="2475"/>
      <c r="E20" s="1949"/>
      <c r="F20" s="1949"/>
      <c r="G20" s="1949"/>
      <c r="H20" s="1949"/>
      <c r="I20" s="1949"/>
      <c r="J20" s="1949"/>
      <c r="K20" s="1949"/>
      <c r="L20" s="1950">
        <f>IF(AND(H19&gt;0,L19&gt;0),(((L19-H19)/H19)),"Enter Budget Data")</f>
        <v>1.9131602149605857E-2</v>
      </c>
      <c r="M20" s="838"/>
      <c r="N20" s="1996"/>
    </row>
    <row r="21" spans="1:14" x14ac:dyDescent="0.2">
      <c r="A21" s="2003" t="s">
        <v>194</v>
      </c>
      <c r="B21" s="2004" t="s">
        <v>2042</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2018</v>
      </c>
      <c r="B24" s="2008"/>
      <c r="C24" s="2009"/>
      <c r="D24" s="2009"/>
      <c r="E24" s="2009"/>
      <c r="F24" s="2009"/>
      <c r="G24" s="2009"/>
      <c r="H24" s="2009"/>
      <c r="I24" s="2009"/>
      <c r="J24" s="2009"/>
      <c r="K24" s="2009"/>
      <c r="L24" s="838"/>
      <c r="M24" s="838"/>
      <c r="N24" s="1996"/>
    </row>
    <row r="25" spans="1:14" x14ac:dyDescent="0.2">
      <c r="A25" s="2007" t="s">
        <v>2019</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76"/>
      <c r="D27" s="2476"/>
      <c r="E27" s="843"/>
      <c r="F27" s="2477"/>
      <c r="G27" s="2477"/>
      <c r="H27" s="2477"/>
      <c r="I27" s="838"/>
      <c r="J27" s="838"/>
      <c r="K27" s="838"/>
      <c r="L27" s="838"/>
      <c r="M27" s="838"/>
      <c r="N27" s="1996"/>
    </row>
    <row r="28" spans="1:14" x14ac:dyDescent="0.2">
      <c r="A28" s="1995"/>
      <c r="B28" s="2005"/>
      <c r="C28" s="1955" t="s">
        <v>1026</v>
      </c>
      <c r="D28" s="844"/>
      <c r="E28" s="1956"/>
      <c r="F28" s="2478" t="s">
        <v>1492</v>
      </c>
      <c r="G28" s="2478"/>
      <c r="H28" s="2478"/>
      <c r="I28" s="838"/>
      <c r="J28" s="838"/>
      <c r="K28" s="838"/>
      <c r="L28" s="838"/>
      <c r="M28" s="838"/>
      <c r="N28" s="1996"/>
    </row>
    <row r="29" spans="1:14" x14ac:dyDescent="0.2">
      <c r="A29" s="1995"/>
      <c r="B29" s="2005"/>
      <c r="C29" s="2479" t="s">
        <v>2051</v>
      </c>
      <c r="D29" s="2479"/>
      <c r="E29" s="845"/>
      <c r="F29" s="2479" t="s">
        <v>2053</v>
      </c>
      <c r="G29" s="2479"/>
      <c r="H29" s="2479"/>
      <c r="I29" s="838"/>
      <c r="J29" s="838"/>
      <c r="K29" s="838"/>
      <c r="L29" s="838"/>
      <c r="M29" s="838"/>
      <c r="N29" s="1996"/>
    </row>
    <row r="30" spans="1:14" x14ac:dyDescent="0.2">
      <c r="A30" s="1995"/>
      <c r="B30" s="2005"/>
      <c r="C30" s="1958" t="s">
        <v>1544</v>
      </c>
      <c r="D30" s="838"/>
      <c r="E30" s="1957"/>
      <c r="F30" s="2463" t="s">
        <v>1493</v>
      </c>
      <c r="G30" s="2463"/>
      <c r="H30" s="2463"/>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40" t="s">
        <v>2020</v>
      </c>
      <c r="D34" s="2441"/>
      <c r="E34" s="2441"/>
      <c r="F34" s="2441"/>
      <c r="G34" s="2441"/>
      <c r="H34" s="2441"/>
      <c r="I34" s="2441"/>
      <c r="J34" s="2441"/>
      <c r="K34" s="2014"/>
      <c r="L34" s="838"/>
      <c r="M34" s="838"/>
      <c r="N34" s="1996"/>
    </row>
    <row r="35" spans="1:14" x14ac:dyDescent="0.2">
      <c r="A35" s="1995"/>
      <c r="B35" s="838"/>
      <c r="C35" s="2441"/>
      <c r="D35" s="2441"/>
      <c r="E35" s="2441"/>
      <c r="F35" s="2441"/>
      <c r="G35" s="2441"/>
      <c r="H35" s="2441"/>
      <c r="I35" s="2441"/>
      <c r="J35" s="2441"/>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40" t="s">
        <v>2021</v>
      </c>
      <c r="D37" s="2441"/>
      <c r="E37" s="2441"/>
      <c r="F37" s="2441"/>
      <c r="G37" s="2441"/>
      <c r="H37" s="2441"/>
      <c r="I37" s="2441"/>
      <c r="J37" s="2441"/>
      <c r="K37" s="2014"/>
      <c r="L37" s="2016"/>
      <c r="M37" s="838"/>
      <c r="N37" s="1996"/>
    </row>
    <row r="38" spans="1:14" x14ac:dyDescent="0.2">
      <c r="A38" s="1995"/>
      <c r="B38" s="838"/>
      <c r="C38" s="2441"/>
      <c r="D38" s="2441"/>
      <c r="E38" s="2441"/>
      <c r="F38" s="2441"/>
      <c r="G38" s="2441"/>
      <c r="H38" s="2441"/>
      <c r="I38" s="2441"/>
      <c r="J38" s="2441"/>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42" t="s">
        <v>2022</v>
      </c>
      <c r="D40" s="2443"/>
      <c r="E40" s="2443"/>
      <c r="F40" s="2443"/>
      <c r="G40" s="2443"/>
      <c r="H40" s="2443"/>
      <c r="I40" s="2443"/>
      <c r="J40" s="2443"/>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44" t="s">
        <v>2023</v>
      </c>
      <c r="B43" s="2445"/>
      <c r="C43" s="2445"/>
      <c r="D43" s="2445"/>
      <c r="E43" s="2445"/>
      <c r="F43" s="2445"/>
      <c r="G43" s="2445"/>
      <c r="H43" s="2445"/>
      <c r="I43" s="2445"/>
      <c r="J43" s="2445"/>
      <c r="K43" s="2445"/>
      <c r="L43" s="2445"/>
      <c r="M43" s="2445"/>
      <c r="N43" s="2446"/>
    </row>
    <row r="44" spans="1:14" x14ac:dyDescent="0.2">
      <c r="A44" s="1980"/>
      <c r="B44" s="1981"/>
      <c r="C44" s="1981"/>
      <c r="D44" s="1981"/>
      <c r="E44" s="1981"/>
      <c r="F44" s="1981"/>
      <c r="G44" s="1981"/>
      <c r="H44" s="1981"/>
      <c r="I44" s="1981"/>
      <c r="J44" s="1981"/>
      <c r="K44" s="1981"/>
      <c r="L44" s="1981"/>
      <c r="M44" s="1981"/>
      <c r="N44" s="1982"/>
    </row>
    <row r="45" spans="1:14" x14ac:dyDescent="0.2">
      <c r="A45" s="1980" t="s">
        <v>2024</v>
      </c>
      <c r="B45" s="1981"/>
      <c r="C45" s="1981"/>
      <c r="D45" s="1981"/>
      <c r="E45" s="1981"/>
      <c r="F45" s="1981"/>
      <c r="G45" s="1981"/>
      <c r="H45" s="1981"/>
      <c r="I45" s="1981"/>
      <c r="J45" s="1981"/>
      <c r="K45" s="1981"/>
      <c r="L45" s="1981"/>
      <c r="M45" s="1981"/>
      <c r="N45" s="1982"/>
    </row>
    <row r="46" spans="1:14" x14ac:dyDescent="0.2">
      <c r="A46" s="2447" t="s">
        <v>2025</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2041</v>
      </c>
      <c r="B49" s="2022"/>
      <c r="C49" s="2022"/>
      <c r="D49" s="2023"/>
      <c r="E49" s="2023"/>
      <c r="F49" s="2023"/>
      <c r="G49" s="2023"/>
      <c r="H49" s="2023"/>
      <c r="I49" s="2023"/>
      <c r="J49" s="2023"/>
      <c r="K49" s="2023"/>
      <c r="L49" s="2023"/>
      <c r="M49" s="2023"/>
      <c r="N49" s="2024"/>
    </row>
    <row r="50" spans="1:14" ht="15" x14ac:dyDescent="0.25">
      <c r="A50" s="2026" t="s">
        <v>2040</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50" t="str">
        <f>J6</f>
        <v xml:space="preserve">  Franklin-Jefferson Co Sp Ed Dist</v>
      </c>
      <c r="M52" s="2450"/>
      <c r="N52" s="2451"/>
    </row>
    <row r="53" spans="1:14" x14ac:dyDescent="0.2">
      <c r="A53" s="1980"/>
      <c r="B53" s="1981"/>
      <c r="C53" s="1981"/>
      <c r="D53" s="1981"/>
      <c r="E53" s="1981"/>
      <c r="F53" s="1981"/>
      <c r="G53" s="1981"/>
      <c r="H53" s="1981"/>
      <c r="I53" s="1981"/>
      <c r="J53" s="1981"/>
      <c r="K53" s="1922" t="s">
        <v>369</v>
      </c>
      <c r="L53" s="2452">
        <f>J7</f>
        <v>13041801060</v>
      </c>
      <c r="M53" s="2452"/>
      <c r="N53" s="2453"/>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54"/>
      <c r="B55" s="2455"/>
      <c r="C55" s="2455"/>
      <c r="D55" s="1968"/>
      <c r="E55" s="1968"/>
      <c r="F55" s="1968"/>
      <c r="G55" s="2456" t="s">
        <v>2026</v>
      </c>
      <c r="H55" s="2456"/>
      <c r="I55" s="2456"/>
      <c r="J55" s="2456"/>
      <c r="K55" s="2456"/>
      <c r="L55" s="2456"/>
      <c r="M55" s="2456"/>
      <c r="N55" s="2457"/>
    </row>
    <row r="56" spans="1:14" ht="63.75" x14ac:dyDescent="0.2">
      <c r="A56" s="2458" t="s">
        <v>2027</v>
      </c>
      <c r="B56" s="2459"/>
      <c r="C56" s="2460"/>
      <c r="D56" s="1962" t="s">
        <v>2028</v>
      </c>
      <c r="E56" s="1962" t="s">
        <v>2029</v>
      </c>
      <c r="F56" s="1969"/>
      <c r="G56" s="1962" t="s">
        <v>2030</v>
      </c>
      <c r="H56" s="1962" t="s">
        <v>2031</v>
      </c>
      <c r="I56" s="1962" t="s">
        <v>2032</v>
      </c>
      <c r="J56" s="1962" t="s">
        <v>2033</v>
      </c>
      <c r="K56" s="1962" t="s">
        <v>2034</v>
      </c>
      <c r="L56" s="1962" t="s">
        <v>2035</v>
      </c>
      <c r="M56" s="1962" t="s">
        <v>2036</v>
      </c>
      <c r="N56" s="1963" t="s">
        <v>2043</v>
      </c>
    </row>
    <row r="57" spans="1:14" ht="24.75" customHeight="1" x14ac:dyDescent="0.2">
      <c r="A57" s="2461" t="s">
        <v>296</v>
      </c>
      <c r="B57" s="2462"/>
      <c r="C57" s="2462"/>
      <c r="D57" s="1964">
        <v>2361</v>
      </c>
      <c r="E57" s="1974">
        <f>'Expenditures 15-22'!K319</f>
        <v>0</v>
      </c>
      <c r="F57" s="1970"/>
      <c r="G57" s="2027"/>
      <c r="H57" s="2028"/>
      <c r="I57" s="2028"/>
      <c r="J57" s="2028"/>
      <c r="K57" s="2028"/>
      <c r="L57" s="2028"/>
      <c r="M57" s="2028">
        <v>0</v>
      </c>
      <c r="N57" s="1973">
        <f>IF((SUM(G57:M57))=E57,SUM(G57:M57),"Column N does not agree with Column E")</f>
        <v>0</v>
      </c>
    </row>
    <row r="58" spans="1:14" ht="24" customHeight="1" x14ac:dyDescent="0.2">
      <c r="A58" s="2438" t="s">
        <v>2037</v>
      </c>
      <c r="B58" s="2439"/>
      <c r="C58" s="2439"/>
      <c r="D58" s="1965">
        <v>2362</v>
      </c>
      <c r="E58" s="1975">
        <f>'Expenditures 15-22'!K320</f>
        <v>0</v>
      </c>
      <c r="F58" s="1970"/>
      <c r="G58" s="2029"/>
      <c r="H58" s="2030"/>
      <c r="I58" s="2030"/>
      <c r="J58" s="2030"/>
      <c r="K58" s="2030"/>
      <c r="L58" s="2030"/>
      <c r="M58" s="2030">
        <v>0</v>
      </c>
      <c r="N58" s="1973">
        <f>IF((SUM(G58:M58))=E58,SUM(G58:M58),"Column N does not agree with Column E")</f>
        <v>0</v>
      </c>
    </row>
    <row r="59" spans="1:14" ht="24.75" customHeight="1" x14ac:dyDescent="0.2">
      <c r="A59" s="2432" t="s">
        <v>297</v>
      </c>
      <c r="B59" s="2433"/>
      <c r="C59" s="2433"/>
      <c r="D59" s="1965">
        <v>2363</v>
      </c>
      <c r="E59" s="1975">
        <f>'Expenditures 15-22'!K321</f>
        <v>0</v>
      </c>
      <c r="F59" s="1970"/>
      <c r="G59" s="2029"/>
      <c r="H59" s="2030"/>
      <c r="I59" s="2030"/>
      <c r="J59" s="2030"/>
      <c r="K59" s="2030"/>
      <c r="L59" s="2030"/>
      <c r="M59" s="2030">
        <v>0</v>
      </c>
      <c r="N59" s="1973">
        <f>IF((SUM(G59:M59))=E59,SUM(G59:M59),"Column N does not agree with Column E")</f>
        <v>0</v>
      </c>
    </row>
    <row r="60" spans="1:14" ht="24" customHeight="1" x14ac:dyDescent="0.2">
      <c r="A60" s="2432" t="s">
        <v>236</v>
      </c>
      <c r="B60" s="2433"/>
      <c r="C60" s="2433"/>
      <c r="D60" s="1965">
        <v>2364</v>
      </c>
      <c r="E60" s="1975">
        <f>'Expenditures 15-22'!K322</f>
        <v>0</v>
      </c>
      <c r="F60" s="1970"/>
      <c r="G60" s="2029"/>
      <c r="H60" s="2030"/>
      <c r="I60" s="2030"/>
      <c r="J60" s="2030"/>
      <c r="K60" s="2030"/>
      <c r="L60" s="2030"/>
      <c r="M60" s="2030">
        <v>0</v>
      </c>
      <c r="N60" s="1973">
        <f t="shared" ref="N60:N67" si="4">IF((SUM(G60:M60))=E60,SUM(G60:M60),"Column N does not agree with Column E")</f>
        <v>0</v>
      </c>
    </row>
    <row r="61" spans="1:14" ht="24.75" customHeight="1" x14ac:dyDescent="0.2">
      <c r="A61" s="2432" t="s">
        <v>697</v>
      </c>
      <c r="B61" s="2433"/>
      <c r="C61" s="2433"/>
      <c r="D61" s="1965">
        <v>2365</v>
      </c>
      <c r="E61" s="1975">
        <f>'Expenditures 15-22'!K323</f>
        <v>0</v>
      </c>
      <c r="F61" s="1970"/>
      <c r="G61" s="2029"/>
      <c r="H61" s="2030"/>
      <c r="I61" s="2030"/>
      <c r="J61" s="2030"/>
      <c r="K61" s="2030"/>
      <c r="L61" s="2030"/>
      <c r="M61" s="2030">
        <v>0</v>
      </c>
      <c r="N61" s="1973">
        <f t="shared" si="4"/>
        <v>0</v>
      </c>
    </row>
    <row r="62" spans="1:14" ht="24" customHeight="1" x14ac:dyDescent="0.2">
      <c r="A62" s="2432" t="s">
        <v>237</v>
      </c>
      <c r="B62" s="2433"/>
      <c r="C62" s="2433"/>
      <c r="D62" s="1965">
        <v>2366</v>
      </c>
      <c r="E62" s="1975">
        <f>'Expenditures 15-22'!K324</f>
        <v>0</v>
      </c>
      <c r="F62" s="1970"/>
      <c r="G62" s="2029"/>
      <c r="H62" s="2030"/>
      <c r="I62" s="2030"/>
      <c r="J62" s="2030"/>
      <c r="K62" s="2030"/>
      <c r="L62" s="2030"/>
      <c r="M62" s="2030">
        <v>0</v>
      </c>
      <c r="N62" s="1973">
        <f t="shared" si="4"/>
        <v>0</v>
      </c>
    </row>
    <row r="63" spans="1:14" ht="24" customHeight="1" x14ac:dyDescent="0.2">
      <c r="A63" s="2438" t="s">
        <v>1022</v>
      </c>
      <c r="B63" s="2439"/>
      <c r="C63" s="2439"/>
      <c r="D63" s="1965">
        <v>2367</v>
      </c>
      <c r="E63" s="1975">
        <f>'Expenditures 15-22'!K325</f>
        <v>0</v>
      </c>
      <c r="F63" s="1970"/>
      <c r="G63" s="2029"/>
      <c r="H63" s="2030"/>
      <c r="I63" s="2030"/>
      <c r="J63" s="2030"/>
      <c r="K63" s="2030"/>
      <c r="L63" s="2030"/>
      <c r="M63" s="2030">
        <v>0</v>
      </c>
      <c r="N63" s="1973">
        <f t="shared" si="4"/>
        <v>0</v>
      </c>
    </row>
    <row r="64" spans="1:14" ht="24" customHeight="1" x14ac:dyDescent="0.2">
      <c r="A64" s="2432" t="s">
        <v>1023</v>
      </c>
      <c r="B64" s="2433"/>
      <c r="C64" s="2433"/>
      <c r="D64" s="1965">
        <v>2368</v>
      </c>
      <c r="E64" s="1975">
        <f>'Expenditures 15-22'!K326</f>
        <v>0</v>
      </c>
      <c r="F64" s="1970"/>
      <c r="G64" s="2029"/>
      <c r="H64" s="2030"/>
      <c r="I64" s="2030"/>
      <c r="J64" s="2030"/>
      <c r="K64" s="2030"/>
      <c r="L64" s="2030"/>
      <c r="M64" s="2030">
        <v>0</v>
      </c>
      <c r="N64" s="1973">
        <f t="shared" si="4"/>
        <v>0</v>
      </c>
    </row>
    <row r="65" spans="1:14" ht="24" customHeight="1" x14ac:dyDescent="0.2">
      <c r="A65" s="2432" t="s">
        <v>965</v>
      </c>
      <c r="B65" s="2433"/>
      <c r="C65" s="2433"/>
      <c r="D65" s="1965">
        <v>2369</v>
      </c>
      <c r="E65" s="1975">
        <f>'Expenditures 15-22'!K327</f>
        <v>0</v>
      </c>
      <c r="F65" s="1970"/>
      <c r="G65" s="2029"/>
      <c r="H65" s="2030"/>
      <c r="I65" s="2030"/>
      <c r="J65" s="2030"/>
      <c r="K65" s="2030"/>
      <c r="L65" s="2030"/>
      <c r="M65" s="2030">
        <v>0</v>
      </c>
      <c r="N65" s="1973">
        <f t="shared" si="4"/>
        <v>0</v>
      </c>
    </row>
    <row r="66" spans="1:14" ht="24" customHeight="1" x14ac:dyDescent="0.2">
      <c r="A66" s="2432" t="s">
        <v>469</v>
      </c>
      <c r="B66" s="2433"/>
      <c r="C66" s="2433"/>
      <c r="D66" s="1965">
        <v>2371</v>
      </c>
      <c r="E66" s="1975">
        <f>'Expenditures 15-22'!K328</f>
        <v>0</v>
      </c>
      <c r="F66" s="1970"/>
      <c r="G66" s="2029"/>
      <c r="H66" s="2030"/>
      <c r="I66" s="2030"/>
      <c r="J66" s="2030"/>
      <c r="K66" s="2030"/>
      <c r="L66" s="2030"/>
      <c r="M66" s="2030">
        <v>0</v>
      </c>
      <c r="N66" s="1973">
        <f t="shared" si="4"/>
        <v>0</v>
      </c>
    </row>
    <row r="67" spans="1:14" ht="24.75" customHeight="1" x14ac:dyDescent="0.2">
      <c r="A67" s="2434" t="s">
        <v>2038</v>
      </c>
      <c r="B67" s="2435"/>
      <c r="C67" s="2435"/>
      <c r="D67" s="1967">
        <v>2372</v>
      </c>
      <c r="E67" s="1976">
        <f>'Expenditures 15-22'!K329</f>
        <v>0</v>
      </c>
      <c r="F67" s="1970"/>
      <c r="G67" s="2031"/>
      <c r="H67" s="2032"/>
      <c r="I67" s="2032"/>
      <c r="J67" s="2032"/>
      <c r="K67" s="2032"/>
      <c r="L67" s="2032"/>
      <c r="M67" s="2032">
        <v>0</v>
      </c>
      <c r="N67" s="1973">
        <f t="shared" si="4"/>
        <v>0</v>
      </c>
    </row>
    <row r="68" spans="1:14" x14ac:dyDescent="0.2">
      <c r="A68" s="2436" t="s">
        <v>1151</v>
      </c>
      <c r="B68" s="2437"/>
      <c r="C68" s="2437"/>
      <c r="D68" s="1968"/>
      <c r="E68" s="1972">
        <f>SUM(E57:E67)</f>
        <v>0</v>
      </c>
      <c r="F68" s="1971"/>
      <c r="G68" s="1972">
        <f t="shared" ref="G68:N68" si="5">SUM(G57:G67)</f>
        <v>0</v>
      </c>
      <c r="H68" s="1972">
        <f t="shared" si="5"/>
        <v>0</v>
      </c>
      <c r="I68" s="1972">
        <f t="shared" si="5"/>
        <v>0</v>
      </c>
      <c r="J68" s="1972">
        <f t="shared" si="5"/>
        <v>0</v>
      </c>
      <c r="K68" s="1972">
        <f t="shared" si="5"/>
        <v>0</v>
      </c>
      <c r="L68" s="1972">
        <f t="shared" si="5"/>
        <v>0</v>
      </c>
      <c r="M68" s="1972">
        <f t="shared" si="5"/>
        <v>0</v>
      </c>
      <c r="N68" s="1986">
        <f t="shared" si="5"/>
        <v>0</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2039</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25" fitToHeight="0" orientation="landscape" useFirstPageNumber="1" r:id="rId1"/>
  <headerFooter>
    <oddHeader>&amp;L&amp;8Page &amp;P&amp;RPage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32" sqref="B32:K32"/>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2136</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Franklin-Jefferson Co Sp Ed Dist</v>
      </c>
    </row>
    <row r="65" spans="2:2" x14ac:dyDescent="0.2">
      <c r="B65" s="849">
        <f>COVER!A13</f>
        <v>13041801060</v>
      </c>
    </row>
  </sheetData>
  <phoneticPr fontId="15" type="noConversion"/>
  <pageMargins left="0.2" right="0.2" top="1.17" bottom="0.75" header="0.19" footer="0.16"/>
  <pageSetup scale="80" firstPageNumber="27" orientation="portrait" useFirstPageNumber="1" horizontalDpi="4294967293" verticalDpi="4294967293" r:id="rId1"/>
  <headerFooter alignWithMargins="0">
    <oddHeader>&amp;L&amp;8Page &amp;P&amp;C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1826</v>
      </c>
      <c r="C4" s="157" t="s">
        <v>1159</v>
      </c>
      <c r="D4" s="164" t="s">
        <v>10</v>
      </c>
      <c r="E4" s="165" t="s">
        <v>22</v>
      </c>
    </row>
    <row r="5" spans="1:5" x14ac:dyDescent="0.2">
      <c r="A5" s="163" t="s">
        <v>1828</v>
      </c>
      <c r="C5" s="157" t="s">
        <v>1159</v>
      </c>
      <c r="D5" s="164" t="s">
        <v>10</v>
      </c>
      <c r="E5" s="165" t="s">
        <v>22</v>
      </c>
    </row>
    <row r="6" spans="1:5" x14ac:dyDescent="0.2">
      <c r="A6" s="163" t="s">
        <v>1827</v>
      </c>
      <c r="C6" s="157" t="s">
        <v>1159</v>
      </c>
      <c r="D6" s="162" t="s">
        <v>11</v>
      </c>
      <c r="E6" s="165" t="s">
        <v>935</v>
      </c>
    </row>
    <row r="7" spans="1:5" x14ac:dyDescent="0.2">
      <c r="A7" s="163" t="s">
        <v>1829</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1830</v>
      </c>
      <c r="C11" s="157" t="s">
        <v>1159</v>
      </c>
      <c r="D11" s="164" t="s">
        <v>14</v>
      </c>
      <c r="E11" s="165" t="s">
        <v>1146</v>
      </c>
    </row>
    <row r="12" spans="1:5" x14ac:dyDescent="0.2">
      <c r="B12" s="164" t="s">
        <v>1831</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1832</v>
      </c>
      <c r="C15" s="157" t="s">
        <v>1159</v>
      </c>
      <c r="D15" s="164" t="s">
        <v>17</v>
      </c>
      <c r="E15" s="165" t="s">
        <v>631</v>
      </c>
    </row>
    <row r="16" spans="1:5" x14ac:dyDescent="0.2">
      <c r="A16" s="167"/>
      <c r="B16" s="157" t="s">
        <v>1833</v>
      </c>
      <c r="C16" s="157" t="s">
        <v>1159</v>
      </c>
      <c r="D16" s="164" t="s">
        <v>676</v>
      </c>
      <c r="E16" s="165" t="s">
        <v>1033</v>
      </c>
    </row>
    <row r="17" spans="1:5" x14ac:dyDescent="0.2">
      <c r="B17" s="162" t="s">
        <v>981</v>
      </c>
      <c r="C17" s="157" t="s">
        <v>1159</v>
      </c>
    </row>
    <row r="18" spans="1:5" x14ac:dyDescent="0.2">
      <c r="B18" s="162" t="s">
        <v>1839</v>
      </c>
      <c r="D18" s="164" t="s">
        <v>18</v>
      </c>
      <c r="E18" s="165" t="s">
        <v>1034</v>
      </c>
    </row>
    <row r="19" spans="1:5" x14ac:dyDescent="0.2">
      <c r="A19" s="163" t="s">
        <v>1090</v>
      </c>
      <c r="C19" s="157" t="s">
        <v>1159</v>
      </c>
      <c r="D19" s="164"/>
      <c r="E19" s="166"/>
    </row>
    <row r="20" spans="1:5" x14ac:dyDescent="0.2">
      <c r="B20" s="162" t="s">
        <v>1834</v>
      </c>
      <c r="C20" s="157" t="s">
        <v>1159</v>
      </c>
      <c r="D20" s="164" t="s">
        <v>19</v>
      </c>
      <c r="E20" s="165" t="s">
        <v>51</v>
      </c>
    </row>
    <row r="21" spans="1:5" x14ac:dyDescent="0.2">
      <c r="B21" s="162" t="s">
        <v>1835</v>
      </c>
      <c r="C21" s="157" t="s">
        <v>1159</v>
      </c>
      <c r="D21" s="164" t="s">
        <v>20</v>
      </c>
      <c r="E21" s="165" t="s">
        <v>1593</v>
      </c>
    </row>
    <row r="22" spans="1:5" x14ac:dyDescent="0.2">
      <c r="A22" s="163"/>
      <c r="B22" s="157" t="s">
        <v>1823</v>
      </c>
      <c r="C22" s="157" t="s">
        <v>1159</v>
      </c>
      <c r="D22" s="162" t="s">
        <v>1825</v>
      </c>
      <c r="E22" s="1470" t="s">
        <v>1594</v>
      </c>
    </row>
    <row r="23" spans="1:5" x14ac:dyDescent="0.2">
      <c r="A23" s="163"/>
      <c r="B23" s="157" t="s">
        <v>1824</v>
      </c>
      <c r="D23" s="162" t="s">
        <v>632</v>
      </c>
      <c r="E23" s="1470" t="s">
        <v>953</v>
      </c>
    </row>
    <row r="24" spans="1:5" x14ac:dyDescent="0.2">
      <c r="A24" s="163" t="s">
        <v>1592</v>
      </c>
      <c r="C24" s="157" t="s">
        <v>1159</v>
      </c>
      <c r="D24" s="162" t="s">
        <v>1377</v>
      </c>
      <c r="E24" s="165" t="s">
        <v>954</v>
      </c>
    </row>
    <row r="25" spans="1:5" x14ac:dyDescent="0.2">
      <c r="A25" s="163" t="s">
        <v>1836</v>
      </c>
      <c r="C25" s="157" t="s">
        <v>1159</v>
      </c>
      <c r="D25" s="164" t="s">
        <v>21</v>
      </c>
      <c r="E25" s="1470" t="s">
        <v>2044</v>
      </c>
    </row>
    <row r="26" spans="1:5" x14ac:dyDescent="0.2">
      <c r="A26" s="163" t="s">
        <v>1837</v>
      </c>
      <c r="C26" s="157" t="s">
        <v>1159</v>
      </c>
      <c r="D26" s="164" t="s">
        <v>559</v>
      </c>
      <c r="E26" s="1470" t="s">
        <v>678</v>
      </c>
    </row>
    <row r="27" spans="1:5" x14ac:dyDescent="0.2">
      <c r="A27" s="163" t="s">
        <v>1838</v>
      </c>
      <c r="C27" s="157" t="s">
        <v>1159</v>
      </c>
      <c r="D27" s="164" t="s">
        <v>553</v>
      </c>
      <c r="E27" s="1470" t="s">
        <v>1350</v>
      </c>
    </row>
    <row r="28" spans="1:5" x14ac:dyDescent="0.2">
      <c r="A28" s="163" t="s">
        <v>1840</v>
      </c>
      <c r="D28" s="164" t="s">
        <v>679</v>
      </c>
      <c r="E28" s="1470" t="s">
        <v>1359</v>
      </c>
    </row>
    <row r="29" spans="1:5" x14ac:dyDescent="0.2">
      <c r="A29" s="163" t="s">
        <v>1841</v>
      </c>
      <c r="D29" s="164" t="s">
        <v>1378</v>
      </c>
      <c r="E29" s="1470" t="s">
        <v>2045</v>
      </c>
    </row>
    <row r="30" spans="1:5" x14ac:dyDescent="0.2">
      <c r="A30" s="168" t="s">
        <v>1842</v>
      </c>
      <c r="C30" s="157" t="s">
        <v>1159</v>
      </c>
      <c r="D30" s="164" t="s">
        <v>40</v>
      </c>
      <c r="E30" s="165" t="s">
        <v>975</v>
      </c>
    </row>
    <row r="31" spans="1:5" x14ac:dyDescent="0.2">
      <c r="A31" s="163" t="s">
        <v>1504</v>
      </c>
      <c r="C31" s="157" t="s">
        <v>1159</v>
      </c>
      <c r="D31" s="162"/>
      <c r="E31" s="166"/>
    </row>
    <row r="32" spans="1:5" x14ac:dyDescent="0.2">
      <c r="B32" s="162" t="s">
        <v>1843</v>
      </c>
      <c r="C32" s="157" t="s">
        <v>1159</v>
      </c>
      <c r="D32" s="164" t="s">
        <v>1505</v>
      </c>
      <c r="E32" s="165" t="s">
        <v>2046</v>
      </c>
    </row>
    <row r="33" spans="1:5" x14ac:dyDescent="0.2">
      <c r="A33" s="167"/>
      <c r="D33" s="164"/>
      <c r="E33" s="166"/>
    </row>
    <row r="34" spans="1:5" x14ac:dyDescent="0.2">
      <c r="A34" s="167"/>
      <c r="D34" s="164"/>
      <c r="E34" s="166"/>
    </row>
    <row r="35" spans="1:5" ht="15.75" customHeight="1" thickBot="1" x14ac:dyDescent="0.25">
      <c r="A35" s="2166" t="s">
        <v>1056</v>
      </c>
      <c r="B35" s="2166"/>
      <c r="C35" s="2166"/>
      <c r="D35" s="2166"/>
      <c r="E35" s="216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3" t="s">
        <v>686</v>
      </c>
      <c r="B40" s="2163"/>
      <c r="C40" s="2163"/>
      <c r="D40" s="2163"/>
      <c r="E40" s="2163"/>
    </row>
    <row r="41" spans="1:5" x14ac:dyDescent="0.2">
      <c r="A41" s="2164" t="s">
        <v>1591</v>
      </c>
      <c r="B41" s="2164"/>
      <c r="C41" s="2164"/>
      <c r="D41" s="2164"/>
      <c r="E41" s="2164"/>
    </row>
    <row r="42" spans="1:5" ht="12.75" customHeight="1" x14ac:dyDescent="0.2">
      <c r="A42" s="2165" t="s">
        <v>1015</v>
      </c>
      <c r="B42" s="2165"/>
      <c r="C42" s="2165"/>
      <c r="D42" s="2165"/>
      <c r="E42" s="2165"/>
    </row>
    <row r="43" spans="1:5" ht="6.75" customHeight="1" x14ac:dyDescent="0.2">
      <c r="A43" s="162"/>
      <c r="B43" s="171"/>
    </row>
    <row r="44" spans="1:5" x14ac:dyDescent="0.2">
      <c r="A44" s="180" t="s">
        <v>976</v>
      </c>
      <c r="B44" s="181" t="s">
        <v>1866</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1599</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1602</v>
      </c>
    </row>
    <row r="72" spans="1:9" ht="9" customHeight="1" x14ac:dyDescent="0.2">
      <c r="A72" s="187"/>
      <c r="B72" s="194"/>
    </row>
    <row r="73" spans="1:9" x14ac:dyDescent="0.2">
      <c r="A73" s="184" t="s">
        <v>1603</v>
      </c>
      <c r="B73" s="164" t="s">
        <v>1757</v>
      </c>
    </row>
    <row r="74" spans="1:9" x14ac:dyDescent="0.2">
      <c r="A74" s="184"/>
      <c r="B74" s="164" t="s">
        <v>1756</v>
      </c>
    </row>
    <row r="75" spans="1:9" ht="8.25" customHeight="1" x14ac:dyDescent="0.2">
      <c r="A75" s="184"/>
      <c r="B75" s="184"/>
    </row>
    <row r="76" spans="1:9" ht="12.2" customHeight="1" x14ac:dyDescent="0.2">
      <c r="A76" s="184" t="s">
        <v>1604</v>
      </c>
      <c r="B76" s="193" t="s">
        <v>1758</v>
      </c>
    </row>
    <row r="77" spans="1:9" ht="12.2" customHeight="1" x14ac:dyDescent="0.2">
      <c r="A77" s="185"/>
      <c r="B77" s="164" t="s">
        <v>1605</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32" sqref="B32:K3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28" orientation="portrait" useFirstPageNumber="1" horizontalDpi="4294967293" verticalDpi="4294967293" r:id="rId1"/>
  <headerFooter alignWithMargins="0">
    <oddHeader>&amp;L&amp;8Page &amp;P&amp;R&amp;8Page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3" sqref="D12:D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1969</v>
      </c>
    </row>
    <row r="17" spans="1:2" ht="6" customHeight="1" x14ac:dyDescent="0.2"/>
    <row r="18" spans="1:2" ht="24.75" customHeight="1" x14ac:dyDescent="0.2">
      <c r="A18" s="2480" t="s">
        <v>1665</v>
      </c>
      <c r="B18" s="2480"/>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1095375</xdr:colOff>
                <xdr:row>0</xdr:row>
                <xdr:rowOff>142875</xdr:rowOff>
              </from>
              <to>
                <xdr:col>1</xdr:col>
                <xdr:colOff>2009775</xdr:colOff>
                <xdr:row>5</xdr:row>
                <xdr:rowOff>19050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2305050</xdr:colOff>
                <xdr:row>0</xdr:row>
                <xdr:rowOff>114300</xdr:rowOff>
              </from>
              <to>
                <xdr:col>1</xdr:col>
                <xdr:colOff>3219450</xdr:colOff>
                <xdr:row>4</xdr:row>
                <xdr:rowOff>152400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0</xdr:row>
                <xdr:rowOff>142875</xdr:rowOff>
              </from>
              <to>
                <xdr:col>1</xdr:col>
                <xdr:colOff>790575</xdr:colOff>
                <xdr:row>5</xdr:row>
                <xdr:rowOff>19050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1</xdr:col>
                <xdr:colOff>1133475</xdr:colOff>
                <xdr:row>6</xdr:row>
                <xdr:rowOff>142875</xdr:rowOff>
              </from>
              <to>
                <xdr:col>1</xdr:col>
                <xdr:colOff>2047875</xdr:colOff>
                <xdr:row>11</xdr:row>
                <xdr:rowOff>19050</xdr:rowOff>
              </to>
            </anchor>
          </objectPr>
        </oleObject>
      </mc:Choice>
      <mc:Fallback>
        <oleObject progId="Acrobat Document" dvAspect="DVASPECT_ICON" shapeId="43013" r:id="rId12"/>
      </mc:Fallback>
    </mc:AlternateContent>
    <mc:AlternateContent xmlns:mc="http://schemas.openxmlformats.org/markup-compatibility/2006">
      <mc:Choice Requires="x14">
        <oleObject progId="Acrobat Document" dvAspect="DVASPECT_ICON" shapeId="43014" r:id="rId14">
          <objectPr defaultSize="0" r:id="rId15">
            <anchor moveWithCells="1">
              <from>
                <xdr:col>1</xdr:col>
                <xdr:colOff>2333625</xdr:colOff>
                <xdr:row>7</xdr:row>
                <xdr:rowOff>47625</xdr:rowOff>
              </from>
              <to>
                <xdr:col>1</xdr:col>
                <xdr:colOff>3248025</xdr:colOff>
                <xdr:row>11</xdr:row>
                <xdr:rowOff>85725</xdr:rowOff>
              </to>
            </anchor>
          </objectPr>
        </oleObject>
      </mc:Choice>
      <mc:Fallback>
        <oleObject progId="Acrobat Document" dvAspect="DVASPECT_ICON" shapeId="43014"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B32" sqref="B32:K3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1" t="s">
        <v>1669</v>
      </c>
      <c r="B1" s="2482"/>
      <c r="C1" s="2482"/>
      <c r="D1" s="2482"/>
      <c r="E1" s="2482"/>
      <c r="F1" s="2483"/>
    </row>
    <row r="2" spans="1:8" ht="45" customHeight="1" x14ac:dyDescent="0.2">
      <c r="A2" s="249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2"/>
      <c r="C2" s="2492"/>
      <c r="D2" s="2492"/>
      <c r="E2" s="2492"/>
      <c r="F2" s="2493"/>
      <c r="G2" s="853"/>
      <c r="H2" s="853"/>
    </row>
    <row r="3" spans="1:8" ht="57" customHeight="1" x14ac:dyDescent="0.2">
      <c r="A3" s="2494" t="s">
        <v>1968</v>
      </c>
      <c r="B3" s="2495"/>
      <c r="C3" s="2495"/>
      <c r="D3" s="2495"/>
      <c r="E3" s="2495"/>
      <c r="F3" s="2496"/>
      <c r="G3" s="853"/>
      <c r="H3" s="853"/>
    </row>
    <row r="4" spans="1:8" ht="14.25" customHeight="1" x14ac:dyDescent="0.2">
      <c r="A4" s="250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1"/>
      <c r="C4" s="2501"/>
      <c r="D4" s="2501"/>
      <c r="E4" s="2501"/>
      <c r="F4" s="2502"/>
      <c r="G4" s="853"/>
      <c r="H4" s="853"/>
    </row>
    <row r="5" spans="1:8" ht="14.25" customHeight="1" x14ac:dyDescent="0.2">
      <c r="A5" s="250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4"/>
      <c r="C5" s="2504"/>
      <c r="D5" s="2504"/>
      <c r="E5" s="2504"/>
      <c r="F5" s="2505"/>
      <c r="G5" s="853"/>
      <c r="H5" s="853"/>
    </row>
    <row r="6" spans="1:8" s="854" customFormat="1" ht="41.25" customHeight="1" x14ac:dyDescent="0.2">
      <c r="A6" s="2497" t="s">
        <v>1670</v>
      </c>
      <c r="B6" s="2498"/>
      <c r="C6" s="2498"/>
      <c r="D6" s="2498"/>
      <c r="E6" s="2498"/>
      <c r="F6" s="249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7380904</v>
      </c>
      <c r="C8" s="1813">
        <f>'Acct Summary 7-8'!D8</f>
        <v>9396</v>
      </c>
      <c r="D8" s="1813">
        <f>'Acct Summary 7-8'!F8</f>
        <v>0</v>
      </c>
      <c r="E8" s="1813">
        <f>'Acct Summary 7-8'!I8</f>
        <v>0</v>
      </c>
      <c r="F8" s="1813">
        <f>SUM(B8:E8)</f>
        <v>7390300</v>
      </c>
    </row>
    <row r="9" spans="1:8" s="858" customFormat="1" ht="14.25" customHeight="1" thickBot="1" x14ac:dyDescent="0.25">
      <c r="A9" s="857" t="s">
        <v>1353</v>
      </c>
      <c r="B9" s="1814">
        <f>'Acct Summary 7-8'!C17</f>
        <v>6379638</v>
      </c>
      <c r="C9" s="1814">
        <f>'Acct Summary 7-8'!D17</f>
        <v>11158</v>
      </c>
      <c r="D9" s="1814">
        <f>'Acct Summary 7-8'!F17</f>
        <v>0</v>
      </c>
      <c r="E9" s="1813"/>
      <c r="F9" s="1813">
        <f>SUM(B9:E9)</f>
        <v>6390796</v>
      </c>
    </row>
    <row r="10" spans="1:8" s="858" customFormat="1" ht="14.25" thickTop="1" thickBot="1" x14ac:dyDescent="0.25">
      <c r="A10" s="859" t="s">
        <v>1354</v>
      </c>
      <c r="B10" s="1815">
        <f>(B8-B9)</f>
        <v>1001266</v>
      </c>
      <c r="C10" s="1815">
        <f>(C8-C9)</f>
        <v>-1762</v>
      </c>
      <c r="D10" s="1815">
        <f>(D8-D9)</f>
        <v>0</v>
      </c>
      <c r="E10" s="1814">
        <f>(E8-E9)</f>
        <v>0</v>
      </c>
      <c r="F10" s="1816">
        <f>SUM(F8-F9)</f>
        <v>999504</v>
      </c>
    </row>
    <row r="11" spans="1:8" s="858" customFormat="1" ht="14.25" thickTop="1" thickBot="1" x14ac:dyDescent="0.25">
      <c r="A11" s="860" t="s">
        <v>1899</v>
      </c>
      <c r="B11" s="1817">
        <f>'Acct Summary 7-8'!C81</f>
        <v>2440160</v>
      </c>
      <c r="C11" s="1817">
        <f>'Acct Summary 7-8'!D81</f>
        <v>75124</v>
      </c>
      <c r="D11" s="1817">
        <f>'Acct Summary 7-8'!F81</f>
        <v>0</v>
      </c>
      <c r="E11" s="1817">
        <f>'Acct Summary 7-8'!I81</f>
        <v>0</v>
      </c>
      <c r="F11" s="1818">
        <f>SUM(B11:E11)</f>
        <v>2515284</v>
      </c>
    </row>
    <row r="12" spans="1:8" ht="16.5" customHeight="1" thickTop="1" x14ac:dyDescent="0.2">
      <c r="A12" s="861"/>
      <c r="B12" s="862"/>
      <c r="C12" s="2485" t="str">
        <f>IF(AND(F10&lt;0,F11&gt;=0,ABS(F10*3)&gt;ABS(F11)),A16,IF(AND(F10&lt;0,F11&gt;0,ABS(F10*3)&lt;=ABS(F11)),A17,IF(AND(F10&lt;0,F11&lt;0),A16,IF(F11=0,A19,A18))))</f>
        <v>Balanced - no deficit reduction plan is required.</v>
      </c>
      <c r="D12" s="2486"/>
      <c r="E12" s="2486"/>
      <c r="F12" s="2487"/>
    </row>
    <row r="13" spans="1:8" ht="19.5" customHeight="1" x14ac:dyDescent="0.2">
      <c r="A13" s="863"/>
      <c r="B13" s="864"/>
      <c r="C13" s="2485"/>
      <c r="D13" s="2486"/>
      <c r="E13" s="2486"/>
      <c r="F13" s="2487"/>
      <c r="H13" s="853"/>
    </row>
    <row r="14" spans="1:8" ht="19.5" customHeight="1" x14ac:dyDescent="0.2">
      <c r="A14" s="863"/>
      <c r="B14" s="864"/>
      <c r="C14" s="2485"/>
      <c r="D14" s="2486"/>
      <c r="E14" s="2486"/>
      <c r="F14" s="2487"/>
      <c r="H14" s="853"/>
    </row>
    <row r="15" spans="1:8" ht="17.25" customHeight="1" x14ac:dyDescent="0.2">
      <c r="A15" s="863"/>
      <c r="B15" s="864"/>
      <c r="C15" s="2488"/>
      <c r="D15" s="2489"/>
      <c r="E15" s="2489"/>
      <c r="F15" s="2490"/>
      <c r="H15" s="853"/>
    </row>
    <row r="16" spans="1:8" s="288" customFormat="1" ht="51.75" hidden="1" customHeight="1" x14ac:dyDescent="0.2">
      <c r="A16" s="2484" t="s">
        <v>1666</v>
      </c>
      <c r="B16" s="2484"/>
      <c r="C16" s="2484"/>
      <c r="D16" s="2484"/>
      <c r="E16" s="248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29" fitToHeight="0" orientation="landscape" useFirstPageNumber="1" r:id="rId1"/>
  <headerFooter alignWithMargins="0">
    <oddHeader xml:space="preserve">&amp;L&amp;8Page &amp;P&amp;R&amp;8Page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A7" sqref="A7:F7"/>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6" t="s">
        <v>660</v>
      </c>
      <c r="B3" s="2507"/>
      <c r="C3" s="2507"/>
      <c r="D3" s="2508"/>
    </row>
    <row r="4" spans="1:4" x14ac:dyDescent="0.2">
      <c r="A4" s="931" t="s">
        <v>1671</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7" t="s">
        <v>1487</v>
      </c>
      <c r="D7" s="2518"/>
    </row>
    <row r="8" spans="1:4" s="542" customFormat="1" ht="12.75" x14ac:dyDescent="0.2">
      <c r="A8" s="917"/>
      <c r="B8" s="872"/>
      <c r="C8" s="875" t="s">
        <v>1486</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9" t="s">
        <v>1001</v>
      </c>
      <c r="B15" s="2510"/>
      <c r="C15" s="2510"/>
      <c r="D15" s="2511"/>
    </row>
    <row r="16" spans="1:4" s="542" customFormat="1" ht="24" customHeight="1" x14ac:dyDescent="0.2">
      <c r="A16" s="2512" t="s">
        <v>658</v>
      </c>
      <c r="B16" s="2513"/>
      <c r="C16" s="2513"/>
      <c r="D16" s="2514"/>
    </row>
    <row r="17" spans="1:10" s="542" customFormat="1" ht="12.75" customHeight="1" x14ac:dyDescent="0.2">
      <c r="A17" s="935" t="s">
        <v>1672</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21" t="s">
        <v>311</v>
      </c>
      <c r="D21" s="2522"/>
    </row>
    <row r="22" spans="1:10" ht="12.75" x14ac:dyDescent="0.2">
      <c r="A22" s="918"/>
      <c r="B22" s="919">
        <v>2</v>
      </c>
      <c r="C22" s="2519" t="s">
        <v>1507</v>
      </c>
      <c r="D22" s="252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3" t="s">
        <v>533</v>
      </c>
      <c r="D43" s="252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5" t="s">
        <v>779</v>
      </c>
      <c r="D56" s="251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1014</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515" t="s">
        <v>1674</v>
      </c>
      <c r="D70" s="251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99" t="str">
        <f>IF('Contracts Paid in CY 29'!$D$38&gt;0,"OK","PLEASE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1963</v>
      </c>
      <c r="F1" s="1543" t="s">
        <v>1964</v>
      </c>
      <c r="G1" s="1898" t="s">
        <v>1974</v>
      </c>
    </row>
    <row r="2" spans="1:7" ht="15.75" x14ac:dyDescent="0.25">
      <c r="A2" t="s">
        <v>260</v>
      </c>
      <c r="B2" s="135">
        <f>COVER!A13</f>
        <v>13041801060</v>
      </c>
      <c r="E2" s="1542">
        <v>2020</v>
      </c>
      <c r="F2" s="1542">
        <v>1</v>
      </c>
      <c r="G2" s="1897">
        <v>101000300</v>
      </c>
    </row>
    <row r="3" spans="1:7" ht="15" x14ac:dyDescent="0.25">
      <c r="A3" t="s">
        <v>950</v>
      </c>
      <c r="B3" s="135" t="str">
        <f>COVER!A15</f>
        <v>Franklin - Jefferson</v>
      </c>
      <c r="E3" s="1830" t="s">
        <v>1967</v>
      </c>
      <c r="F3" s="1830" t="s">
        <v>1966</v>
      </c>
      <c r="G3" s="1897">
        <v>101000400</v>
      </c>
    </row>
    <row r="4" spans="1:7" ht="15" x14ac:dyDescent="0.25">
      <c r="A4" t="s">
        <v>1000</v>
      </c>
      <c r="B4" s="135" t="str">
        <f>COVER!A17</f>
        <v xml:space="preserve">  Franklin-Jefferson Co Sp Ed Dist</v>
      </c>
      <c r="E4" s="1828">
        <v>44119</v>
      </c>
      <c r="F4" s="1829">
        <v>44151</v>
      </c>
      <c r="G4" s="1897">
        <v>101000600</v>
      </c>
    </row>
    <row r="5" spans="1:7" ht="15" x14ac:dyDescent="0.25">
      <c r="A5" t="s">
        <v>699</v>
      </c>
      <c r="B5" s="135" t="str">
        <f>COVER!A38</f>
        <v>Jera Pieper</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t="str">
        <f>COVER!T38</f>
        <v>Ron Daniels</v>
      </c>
      <c r="G8" s="1897">
        <v>102100600</v>
      </c>
    </row>
    <row r="9" spans="1:7" ht="15" x14ac:dyDescent="0.25">
      <c r="A9" s="3" t="s">
        <v>951</v>
      </c>
      <c r="B9" s="153" t="str">
        <f>AUDITCHECK!D23</f>
        <v>CASH</v>
      </c>
      <c r="G9" s="1897">
        <v>102100800</v>
      </c>
    </row>
    <row r="10" spans="1:7" ht="15" x14ac:dyDescent="0.25">
      <c r="A10" t="s">
        <v>970</v>
      </c>
      <c r="B10" s="135">
        <f>COVER!B5</f>
        <v>0</v>
      </c>
      <c r="G10" s="1897">
        <v>202100300</v>
      </c>
    </row>
    <row r="11" spans="1:7" ht="15" x14ac:dyDescent="0.25">
      <c r="A11" t="s">
        <v>971</v>
      </c>
      <c r="B11" s="135" t="str">
        <f>COVER!B6</f>
        <v>X</v>
      </c>
      <c r="G11" s="1897">
        <v>202100400</v>
      </c>
    </row>
    <row r="12" spans="1:7" ht="15" x14ac:dyDescent="0.25">
      <c r="A12" s="1" t="s">
        <v>1526</v>
      </c>
      <c r="B12" s="135" t="str">
        <f>IF(COVER!J29="x","Yes",IF(COVER!L29="X","No",0))</f>
        <v>Yes</v>
      </c>
      <c r="G12" s="1897">
        <v>202100600</v>
      </c>
    </row>
    <row r="13" spans="1:7" ht="15" x14ac:dyDescent="0.25">
      <c r="A13" s="1" t="s">
        <v>1527</v>
      </c>
      <c r="B13" s="135" t="str">
        <f>IF(COVER!J30="x","Yes",IF(COVER!L30="x","No",0))</f>
        <v>Yes</v>
      </c>
      <c r="G13" s="1897">
        <v>202100800</v>
      </c>
    </row>
    <row r="14" spans="1:7" ht="15" x14ac:dyDescent="0.25">
      <c r="A14" t="s">
        <v>473</v>
      </c>
      <c r="B14" s="135" t="str">
        <f>IF(COVER!J31="x","Yes",IF(COVER!L31="x","No",0))</f>
        <v>Yes</v>
      </c>
      <c r="G14" s="1897">
        <v>402100300</v>
      </c>
    </row>
    <row r="15" spans="1:7" ht="15" x14ac:dyDescent="0.25">
      <c r="A15" t="s">
        <v>573</v>
      </c>
      <c r="B15" s="135" t="str">
        <f>COVER!T23</f>
        <v>060-004252</v>
      </c>
      <c r="G15" s="1897">
        <v>402100400</v>
      </c>
    </row>
    <row r="16" spans="1:7" ht="15" x14ac:dyDescent="0.25">
      <c r="A16" t="s">
        <v>419</v>
      </c>
      <c r="B16" s="135" t="str">
        <f>COVER!T13</f>
        <v>Emling &amp; Hoffman, PC</v>
      </c>
      <c r="G16" s="1897">
        <v>402100600</v>
      </c>
    </row>
    <row r="17" spans="1:7" ht="15" x14ac:dyDescent="0.25">
      <c r="A17" t="s">
        <v>878</v>
      </c>
      <c r="B17" s="135" t="str">
        <f>COVER!T15</f>
        <v>Donald L Hoffman</v>
      </c>
      <c r="G17" s="1897">
        <v>402100800</v>
      </c>
    </row>
    <row r="18" spans="1:7" ht="15" x14ac:dyDescent="0.25">
      <c r="A18" t="s">
        <v>1140</v>
      </c>
      <c r="B18" s="135" t="str">
        <f>COVER!T17</f>
        <v>1191 West Saint Louis Street</v>
      </c>
      <c r="G18" s="1897">
        <v>102200300</v>
      </c>
    </row>
    <row r="19" spans="1:7" ht="15" x14ac:dyDescent="0.25">
      <c r="A19" t="s">
        <v>880</v>
      </c>
      <c r="B19" s="135" t="str">
        <f>COVER!T25</f>
        <v>donhoffman@emlingcpa.com</v>
      </c>
      <c r="G19" s="1897">
        <v>102200400</v>
      </c>
    </row>
    <row r="20" spans="1:7" ht="15" x14ac:dyDescent="0.25">
      <c r="A20" t="s">
        <v>881</v>
      </c>
      <c r="B20" s="135" t="str">
        <f>COVER!T19</f>
        <v>Nashville</v>
      </c>
      <c r="G20" s="1897">
        <v>102200600</v>
      </c>
    </row>
    <row r="21" spans="1:7" ht="15" x14ac:dyDescent="0.25">
      <c r="A21" t="s">
        <v>476</v>
      </c>
      <c r="B21" s="135" t="str">
        <f>COVER!X19</f>
        <v>IL</v>
      </c>
      <c r="G21" s="1897">
        <v>102200800</v>
      </c>
    </row>
    <row r="22" spans="1:7" ht="15" x14ac:dyDescent="0.25">
      <c r="A22" t="s">
        <v>882</v>
      </c>
      <c r="B22" s="135">
        <f>COVER!Z19</f>
        <v>62263</v>
      </c>
      <c r="G22" s="1897">
        <v>102300300</v>
      </c>
    </row>
    <row r="23" spans="1:7" ht="15" x14ac:dyDescent="0.25">
      <c r="A23" t="s">
        <v>1142</v>
      </c>
      <c r="B23" s="135" t="str">
        <f>COVER!T21</f>
        <v>618-327-4375</v>
      </c>
      <c r="G23" s="1897">
        <v>102300400</v>
      </c>
    </row>
    <row r="24" spans="1:7" ht="15" x14ac:dyDescent="0.25">
      <c r="A24" t="s">
        <v>1141</v>
      </c>
      <c r="B24" s="135">
        <f>COVER!Y21</f>
        <v>0</v>
      </c>
      <c r="G24" s="1897">
        <v>102300600</v>
      </c>
    </row>
    <row r="25" spans="1:7" ht="15" x14ac:dyDescent="0.25">
      <c r="A25" t="s">
        <v>756</v>
      </c>
      <c r="B25" s="135" t="str">
        <f>COVER!B34</f>
        <v>X</v>
      </c>
      <c r="G25" s="1897">
        <v>102300800</v>
      </c>
    </row>
    <row r="26" spans="1:7" ht="15" x14ac:dyDescent="0.25">
      <c r="A26" t="s">
        <v>1143</v>
      </c>
      <c r="B26" s="135">
        <f>COVER!L34</f>
        <v>0</v>
      </c>
      <c r="G26" s="1897">
        <v>802300300</v>
      </c>
    </row>
    <row r="27" spans="1:7" ht="15" x14ac:dyDescent="0.25">
      <c r="A27" t="s">
        <v>266</v>
      </c>
      <c r="B27" s="135" t="str">
        <f>COVER!U34</f>
        <v>X</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0</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0</v>
      </c>
      <c r="G49" s="1897">
        <v>102540800</v>
      </c>
    </row>
    <row r="50" spans="1:7" ht="15" x14ac:dyDescent="0.25">
      <c r="A50" s="1" t="s">
        <v>1463</v>
      </c>
      <c r="B50" s="146">
        <f>'Aud Quest 2'!H53</f>
        <v>0</v>
      </c>
      <c r="G50" s="1897">
        <v>202540300</v>
      </c>
    </row>
    <row r="51" spans="1:7" ht="15" x14ac:dyDescent="0.25">
      <c r="A51" s="1" t="s">
        <v>1465</v>
      </c>
      <c r="B51" s="135" t="str">
        <f>IF('Aud Quest 2'!B54="x","Yes",IF('Aud Quest 2'!B54&lt;&gt;"x","0"))</f>
        <v>Yes</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2"/>
      <c r="D62" s="2" t="str">
        <f>IF(ISBLANK(B62),"OK",IF(A62-B62=0,"OK","Error?"))</f>
        <v>OK</v>
      </c>
      <c r="G62" s="1897">
        <v>202550300</v>
      </c>
    </row>
    <row r="63" spans="1:7" ht="15" x14ac:dyDescent="0.25">
      <c r="A63" s="10">
        <v>2</v>
      </c>
      <c r="B63" s="1832"/>
      <c r="D63" s="2" t="str">
        <f t="shared" ref="D63:D126" si="0">IF(ISBLANK(B63),"OK",IF(A63-B63=0,"OK","Error?"))</f>
        <v>OK</v>
      </c>
      <c r="G63" s="1897">
        <v>202550400</v>
      </c>
    </row>
    <row r="64" spans="1:7" ht="15" x14ac:dyDescent="0.25">
      <c r="A64" s="10">
        <v>3</v>
      </c>
      <c r="B64" s="1832"/>
      <c r="D64" s="2" t="str">
        <f t="shared" si="0"/>
        <v>OK</v>
      </c>
      <c r="G64" s="1897">
        <v>202550600</v>
      </c>
    </row>
    <row r="65" spans="1:7" ht="15" x14ac:dyDescent="0.25">
      <c r="A65" s="5">
        <v>4</v>
      </c>
      <c r="B65" s="1832">
        <f>'Assets-Liab 5-6'!C6</f>
        <v>0</v>
      </c>
      <c r="D65" s="2" t="str">
        <f t="shared" si="0"/>
        <v>Error?</v>
      </c>
      <c r="G65" s="1897">
        <v>202550800</v>
      </c>
    </row>
    <row r="66" spans="1:7" ht="15" x14ac:dyDescent="0.25">
      <c r="A66" s="10">
        <v>5</v>
      </c>
      <c r="B66" s="1832"/>
      <c r="D66" s="2" t="str">
        <f t="shared" si="0"/>
        <v>OK</v>
      </c>
      <c r="G66" s="1897">
        <v>402550300</v>
      </c>
    </row>
    <row r="67" spans="1:7" ht="15" x14ac:dyDescent="0.25">
      <c r="A67" s="10">
        <v>6</v>
      </c>
      <c r="B67" s="1832"/>
      <c r="D67" s="2" t="str">
        <f t="shared" si="0"/>
        <v>OK</v>
      </c>
      <c r="G67" s="1897">
        <v>402550400</v>
      </c>
    </row>
    <row r="68" spans="1:7" ht="15" x14ac:dyDescent="0.25">
      <c r="A68" s="10">
        <v>7</v>
      </c>
      <c r="B68" s="1832"/>
      <c r="D68" s="2" t="str">
        <f t="shared" si="0"/>
        <v>OK</v>
      </c>
      <c r="G68" s="1897">
        <v>402550600</v>
      </c>
    </row>
    <row r="69" spans="1:7" ht="15" x14ac:dyDescent="0.25">
      <c r="A69" s="10">
        <v>8</v>
      </c>
      <c r="B69" s="1832"/>
      <c r="D69" s="2" t="str">
        <f t="shared" si="0"/>
        <v>OK</v>
      </c>
      <c r="G69" s="1897">
        <v>402550800</v>
      </c>
    </row>
    <row r="70" spans="1:7" ht="15" x14ac:dyDescent="0.25">
      <c r="A70" s="10">
        <v>9</v>
      </c>
      <c r="B70" s="1832"/>
      <c r="D70" s="2" t="str">
        <f t="shared" si="0"/>
        <v>OK</v>
      </c>
      <c r="G70" s="1897">
        <v>102560300</v>
      </c>
    </row>
    <row r="71" spans="1:7" ht="15" x14ac:dyDescent="0.25">
      <c r="A71" s="10">
        <v>10</v>
      </c>
      <c r="B71" s="1832"/>
      <c r="D71" s="2" t="str">
        <f t="shared" si="0"/>
        <v>OK</v>
      </c>
      <c r="G71" s="1897">
        <v>102560400</v>
      </c>
    </row>
    <row r="72" spans="1:7" ht="15" x14ac:dyDescent="0.25">
      <c r="A72" s="5">
        <v>11</v>
      </c>
      <c r="B72" s="1832">
        <f>'Assets-Liab 5-6'!C10</f>
        <v>0</v>
      </c>
      <c r="D72" s="2" t="str">
        <f t="shared" si="0"/>
        <v>Error?</v>
      </c>
      <c r="G72" s="1897">
        <v>102560600</v>
      </c>
    </row>
    <row r="73" spans="1:7" ht="15" x14ac:dyDescent="0.25">
      <c r="A73" s="5">
        <v>12</v>
      </c>
      <c r="B73" s="1832">
        <f>'Assets-Liab 5-6'!C5</f>
        <v>0</v>
      </c>
      <c r="D73" s="2" t="str">
        <f t="shared" si="0"/>
        <v>Error?</v>
      </c>
      <c r="G73" s="1897">
        <v>102560800</v>
      </c>
    </row>
    <row r="74" spans="1:7" ht="15" x14ac:dyDescent="0.25">
      <c r="A74" s="10">
        <v>13</v>
      </c>
      <c r="B74" s="1832"/>
      <c r="D74" s="2" t="str">
        <f t="shared" si="0"/>
        <v>OK</v>
      </c>
      <c r="G74" s="1897">
        <v>102570300</v>
      </c>
    </row>
    <row r="75" spans="1:7" ht="15" x14ac:dyDescent="0.25">
      <c r="A75" s="10">
        <v>14</v>
      </c>
      <c r="B75" s="1832"/>
      <c r="D75" s="2" t="str">
        <f t="shared" si="0"/>
        <v>OK</v>
      </c>
      <c r="G75" s="1897">
        <v>102570400</v>
      </c>
    </row>
    <row r="76" spans="1:7" ht="15" x14ac:dyDescent="0.25">
      <c r="A76" s="5">
        <v>15</v>
      </c>
      <c r="B76" s="1832">
        <f>'Assets-Liab 5-6'!C12</f>
        <v>0</v>
      </c>
      <c r="D76" s="2" t="str">
        <f t="shared" si="0"/>
        <v>Error?</v>
      </c>
      <c r="G76" s="1897">
        <v>102570600</v>
      </c>
    </row>
    <row r="77" spans="1:7" ht="15" x14ac:dyDescent="0.25">
      <c r="A77" s="5">
        <v>16</v>
      </c>
      <c r="B77" s="1832">
        <f>'Assets-Liab 5-6'!C13</f>
        <v>2440160</v>
      </c>
      <c r="C77" s="2" t="s">
        <v>569</v>
      </c>
      <c r="D77" s="2" t="str">
        <f t="shared" si="0"/>
        <v>Error?</v>
      </c>
      <c r="G77" s="1897">
        <v>102570800</v>
      </c>
    </row>
    <row r="78" spans="1:7" ht="15" x14ac:dyDescent="0.25">
      <c r="A78" s="10">
        <v>17</v>
      </c>
      <c r="B78" s="1832"/>
      <c r="D78" s="2" t="str">
        <f t="shared" si="0"/>
        <v>OK</v>
      </c>
      <c r="G78" s="1897">
        <v>102610300</v>
      </c>
    </row>
    <row r="79" spans="1:7" ht="15" x14ac:dyDescent="0.25">
      <c r="A79" s="10">
        <v>18</v>
      </c>
      <c r="B79" s="1832"/>
      <c r="D79" s="2" t="str">
        <f t="shared" si="0"/>
        <v>OK</v>
      </c>
      <c r="G79" s="1897">
        <v>102610400</v>
      </c>
    </row>
    <row r="80" spans="1:7" ht="15" x14ac:dyDescent="0.25">
      <c r="A80" s="10">
        <v>19</v>
      </c>
      <c r="B80" s="1832"/>
      <c r="D80" s="2" t="str">
        <f t="shared" si="0"/>
        <v>OK</v>
      </c>
      <c r="G80" s="1897">
        <v>102610600</v>
      </c>
    </row>
    <row r="81" spans="1:7" ht="15" x14ac:dyDescent="0.25">
      <c r="A81" s="10">
        <v>20</v>
      </c>
      <c r="B81" s="1832"/>
      <c r="D81" s="2" t="str">
        <f t="shared" si="0"/>
        <v>OK</v>
      </c>
      <c r="G81" s="1897">
        <v>102610800</v>
      </c>
    </row>
    <row r="82" spans="1:7" ht="15" x14ac:dyDescent="0.25">
      <c r="A82" s="10">
        <v>21</v>
      </c>
      <c r="B82" s="1832"/>
      <c r="D82" s="2" t="str">
        <f t="shared" si="0"/>
        <v>OK</v>
      </c>
      <c r="G82" s="1897">
        <v>102620300</v>
      </c>
    </row>
    <row r="83" spans="1:7" ht="15" x14ac:dyDescent="0.25">
      <c r="A83" s="10">
        <v>22</v>
      </c>
      <c r="B83" s="1832"/>
      <c r="D83" s="2" t="str">
        <f t="shared" si="0"/>
        <v>OK</v>
      </c>
      <c r="G83" s="1897">
        <v>102620400</v>
      </c>
    </row>
    <row r="84" spans="1:7" ht="15" x14ac:dyDescent="0.25">
      <c r="A84" s="10">
        <v>23</v>
      </c>
      <c r="B84" s="1832"/>
      <c r="D84" s="2" t="str">
        <f t="shared" si="0"/>
        <v>OK</v>
      </c>
      <c r="G84" s="1897">
        <v>102620600</v>
      </c>
    </row>
    <row r="85" spans="1:7" ht="15" x14ac:dyDescent="0.25">
      <c r="A85" s="10">
        <v>24</v>
      </c>
      <c r="B85" s="1832"/>
      <c r="D85" s="2" t="str">
        <f t="shared" si="0"/>
        <v>OK</v>
      </c>
      <c r="G85" s="1897">
        <v>102620800</v>
      </c>
    </row>
    <row r="86" spans="1:7" ht="15" x14ac:dyDescent="0.25">
      <c r="A86" s="12">
        <v>25</v>
      </c>
      <c r="B86" s="1832">
        <f>'Assets-Liab 5-6'!C31</f>
        <v>0</v>
      </c>
      <c r="D86" s="2" t="str">
        <f t="shared" si="0"/>
        <v>Error?</v>
      </c>
      <c r="G86" s="1897">
        <v>102630300</v>
      </c>
    </row>
    <row r="87" spans="1:7" ht="15" x14ac:dyDescent="0.25">
      <c r="A87" s="10">
        <v>26</v>
      </c>
      <c r="B87" s="1832"/>
      <c r="D87" s="2" t="str">
        <f t="shared" si="0"/>
        <v>OK</v>
      </c>
      <c r="G87" s="1897">
        <v>102630400</v>
      </c>
    </row>
    <row r="88" spans="1:7" ht="15" x14ac:dyDescent="0.25">
      <c r="A88" s="5">
        <v>27</v>
      </c>
      <c r="B88" s="1832">
        <f>'Assets-Liab 5-6'!C32</f>
        <v>0</v>
      </c>
      <c r="D88" s="2" t="str">
        <f t="shared" si="0"/>
        <v>Error?</v>
      </c>
      <c r="G88" s="1897">
        <v>102630600</v>
      </c>
    </row>
    <row r="89" spans="1:7" ht="15" x14ac:dyDescent="0.25">
      <c r="A89" s="10">
        <v>28</v>
      </c>
      <c r="B89" s="1832"/>
      <c r="D89" s="2" t="str">
        <f t="shared" si="0"/>
        <v>OK</v>
      </c>
      <c r="G89" s="1897">
        <v>102630800</v>
      </c>
    </row>
    <row r="90" spans="1:7" ht="15" x14ac:dyDescent="0.25">
      <c r="A90" s="10">
        <v>29</v>
      </c>
      <c r="B90" s="1832"/>
      <c r="D90" s="2" t="str">
        <f t="shared" si="0"/>
        <v>OK</v>
      </c>
      <c r="G90" s="1897">
        <v>102640300</v>
      </c>
    </row>
    <row r="91" spans="1:7" ht="15" x14ac:dyDescent="0.25">
      <c r="A91" s="5">
        <v>30</v>
      </c>
      <c r="B91" s="1832">
        <f>'Assets-Liab 5-6'!C34</f>
        <v>0</v>
      </c>
      <c r="C91" s="2" t="s">
        <v>569</v>
      </c>
      <c r="D91" s="2" t="str">
        <f t="shared" si="0"/>
        <v>Error?</v>
      </c>
      <c r="G91" s="1897">
        <v>102640400</v>
      </c>
    </row>
    <row r="92" spans="1:7" ht="15" x14ac:dyDescent="0.25">
      <c r="A92" s="5">
        <v>31</v>
      </c>
      <c r="B92" s="1832">
        <f>'Assets-Liab 5-6'!C39</f>
        <v>2440160</v>
      </c>
      <c r="D92" s="2" t="str">
        <f t="shared" si="0"/>
        <v>Error?</v>
      </c>
      <c r="G92" s="1897">
        <v>102640600</v>
      </c>
    </row>
    <row r="93" spans="1:7" ht="15" x14ac:dyDescent="0.25">
      <c r="A93" s="5">
        <v>32</v>
      </c>
      <c r="B93" s="1832">
        <f>'Assets-Liab 5-6'!C41</f>
        <v>2440160</v>
      </c>
      <c r="C93" s="2" t="s">
        <v>569</v>
      </c>
      <c r="D93" s="2" t="str">
        <f t="shared" si="0"/>
        <v>Error?</v>
      </c>
      <c r="G93" s="1897">
        <v>102640800</v>
      </c>
    </row>
    <row r="94" spans="1:7" ht="15" x14ac:dyDescent="0.25">
      <c r="A94" s="10">
        <v>33</v>
      </c>
      <c r="B94" s="1832"/>
      <c r="D94" s="2" t="str">
        <f t="shared" si="0"/>
        <v>OK</v>
      </c>
      <c r="G94" s="1897">
        <v>102660300</v>
      </c>
    </row>
    <row r="95" spans="1:7" ht="15" x14ac:dyDescent="0.25">
      <c r="A95" s="10">
        <v>34</v>
      </c>
      <c r="B95" s="1832"/>
      <c r="D95" s="2" t="str">
        <f t="shared" si="0"/>
        <v>OK</v>
      </c>
      <c r="G95" s="1897">
        <v>102660400</v>
      </c>
    </row>
    <row r="96" spans="1:7" ht="15" x14ac:dyDescent="0.25">
      <c r="A96" s="10">
        <v>35</v>
      </c>
      <c r="B96" s="1832"/>
      <c r="D96" s="2" t="str">
        <f t="shared" si="0"/>
        <v>OK</v>
      </c>
      <c r="G96" s="1897">
        <v>102660600</v>
      </c>
    </row>
    <row r="97" spans="1:7" ht="15" x14ac:dyDescent="0.25">
      <c r="A97" s="5">
        <v>36</v>
      </c>
      <c r="B97" s="1832">
        <f>'Assets-Liab 5-6'!D6</f>
        <v>0</v>
      </c>
      <c r="D97" s="2" t="str">
        <f t="shared" si="0"/>
        <v>Error?</v>
      </c>
      <c r="G97" s="1897">
        <v>102660800</v>
      </c>
    </row>
    <row r="98" spans="1:7" ht="15" x14ac:dyDescent="0.25">
      <c r="A98" s="10">
        <v>37</v>
      </c>
      <c r="B98" s="1832"/>
      <c r="D98" s="2" t="str">
        <f t="shared" si="0"/>
        <v>OK</v>
      </c>
      <c r="G98" s="1897">
        <v>102900300</v>
      </c>
    </row>
    <row r="99" spans="1:7" ht="15" x14ac:dyDescent="0.25">
      <c r="A99" s="10">
        <v>38</v>
      </c>
      <c r="B99" s="1832"/>
      <c r="D99" s="2" t="str">
        <f t="shared" si="0"/>
        <v>OK</v>
      </c>
      <c r="G99" s="1897">
        <v>102900400</v>
      </c>
    </row>
    <row r="100" spans="1:7" ht="15" x14ac:dyDescent="0.25">
      <c r="A100" s="10">
        <v>39</v>
      </c>
      <c r="B100" s="1832"/>
      <c r="D100" s="2" t="str">
        <f t="shared" si="0"/>
        <v>OK</v>
      </c>
      <c r="G100" s="1897">
        <v>102900600</v>
      </c>
    </row>
    <row r="101" spans="1:7" ht="15" x14ac:dyDescent="0.25">
      <c r="A101" s="10">
        <v>40</v>
      </c>
      <c r="B101" s="1832"/>
      <c r="D101" s="2" t="str">
        <f t="shared" si="0"/>
        <v>OK</v>
      </c>
      <c r="G101" s="1897">
        <v>102900800</v>
      </c>
    </row>
    <row r="102" spans="1:7" ht="15" x14ac:dyDescent="0.25">
      <c r="A102" s="10">
        <v>41</v>
      </c>
      <c r="B102" s="1832"/>
      <c r="D102" s="2" t="str">
        <f t="shared" si="0"/>
        <v>OK</v>
      </c>
      <c r="G102" s="1897">
        <v>202900300</v>
      </c>
    </row>
    <row r="103" spans="1:7" ht="15" x14ac:dyDescent="0.25">
      <c r="A103" s="10">
        <v>42</v>
      </c>
      <c r="B103" s="1832"/>
      <c r="D103" s="2" t="str">
        <f t="shared" si="0"/>
        <v>OK</v>
      </c>
      <c r="G103" s="1897">
        <v>202900400</v>
      </c>
    </row>
    <row r="104" spans="1:7" ht="15" x14ac:dyDescent="0.25">
      <c r="A104" s="5">
        <v>43</v>
      </c>
      <c r="B104" s="1832">
        <f>'Assets-Liab 5-6'!D10</f>
        <v>0</v>
      </c>
      <c r="D104" s="2" t="str">
        <f t="shared" si="0"/>
        <v>Error?</v>
      </c>
      <c r="G104" s="1897">
        <v>202900600</v>
      </c>
    </row>
    <row r="105" spans="1:7" ht="15" x14ac:dyDescent="0.25">
      <c r="A105" s="5">
        <v>44</v>
      </c>
      <c r="B105" s="1832">
        <f>'Assets-Liab 5-6'!D5</f>
        <v>0</v>
      </c>
      <c r="D105" s="2" t="str">
        <f t="shared" si="0"/>
        <v>Error?</v>
      </c>
      <c r="G105" s="1897">
        <v>202900800</v>
      </c>
    </row>
    <row r="106" spans="1:7" ht="15" x14ac:dyDescent="0.25">
      <c r="A106" s="10">
        <v>45</v>
      </c>
      <c r="B106" s="1832"/>
      <c r="D106" s="2" t="str">
        <f t="shared" si="0"/>
        <v>OK</v>
      </c>
      <c r="G106" s="1897">
        <v>402900300</v>
      </c>
    </row>
    <row r="107" spans="1:7" ht="15" x14ac:dyDescent="0.25">
      <c r="A107" s="10">
        <v>46</v>
      </c>
      <c r="B107" s="1832"/>
      <c r="D107" s="2" t="str">
        <f t="shared" si="0"/>
        <v>OK</v>
      </c>
      <c r="G107" s="1897">
        <v>402900400</v>
      </c>
    </row>
    <row r="108" spans="1:7" ht="15" x14ac:dyDescent="0.25">
      <c r="A108" s="5">
        <v>47</v>
      </c>
      <c r="B108" s="1832">
        <f>'Assets-Liab 5-6'!D12</f>
        <v>0</v>
      </c>
      <c r="D108" s="2" t="str">
        <f t="shared" si="0"/>
        <v>Error?</v>
      </c>
      <c r="G108" s="1897">
        <v>402900600</v>
      </c>
    </row>
    <row r="109" spans="1:7" ht="15" x14ac:dyDescent="0.25">
      <c r="A109" s="5">
        <v>48</v>
      </c>
      <c r="B109" s="1832">
        <f>'Assets-Liab 5-6'!D13</f>
        <v>75124</v>
      </c>
      <c r="C109" s="2" t="s">
        <v>569</v>
      </c>
      <c r="D109" s="2" t="str">
        <f t="shared" si="0"/>
        <v>Error?</v>
      </c>
      <c r="G109" s="1897">
        <v>402900800</v>
      </c>
    </row>
    <row r="110" spans="1:7" ht="15" x14ac:dyDescent="0.25">
      <c r="A110" s="10">
        <v>49</v>
      </c>
      <c r="B110" s="1832"/>
      <c r="D110" s="2" t="str">
        <f t="shared" si="0"/>
        <v>OK</v>
      </c>
      <c r="G110" s="1897">
        <v>602900300</v>
      </c>
    </row>
    <row r="111" spans="1:7" ht="15" x14ac:dyDescent="0.25">
      <c r="A111" s="10">
        <v>50</v>
      </c>
      <c r="B111" s="1832"/>
      <c r="D111" s="2" t="str">
        <f t="shared" si="0"/>
        <v>OK</v>
      </c>
      <c r="G111" s="1897">
        <v>602900400</v>
      </c>
    </row>
    <row r="112" spans="1:7" ht="15" x14ac:dyDescent="0.25">
      <c r="A112" s="10">
        <v>51</v>
      </c>
      <c r="B112" s="1832"/>
      <c r="D112" s="2" t="str">
        <f t="shared" si="0"/>
        <v>OK</v>
      </c>
      <c r="G112" s="1897">
        <v>602900600</v>
      </c>
    </row>
    <row r="113" spans="1:7" ht="15" x14ac:dyDescent="0.25">
      <c r="A113" s="10">
        <v>52</v>
      </c>
      <c r="B113" s="1832"/>
      <c r="D113" s="2" t="str">
        <f t="shared" si="0"/>
        <v>OK</v>
      </c>
      <c r="G113" s="1897">
        <v>602900800</v>
      </c>
    </row>
    <row r="114" spans="1:7" ht="15" x14ac:dyDescent="0.25">
      <c r="A114" s="10">
        <v>53</v>
      </c>
      <c r="B114" s="1832"/>
      <c r="D114" s="2" t="str">
        <f t="shared" si="0"/>
        <v>OK</v>
      </c>
      <c r="G114" s="1897">
        <v>902900300</v>
      </c>
    </row>
    <row r="115" spans="1:7" ht="15" x14ac:dyDescent="0.25">
      <c r="A115" s="10">
        <v>54</v>
      </c>
      <c r="B115" s="1832"/>
      <c r="D115" s="2" t="str">
        <f t="shared" si="0"/>
        <v>OK</v>
      </c>
      <c r="G115" s="1897">
        <v>902900400</v>
      </c>
    </row>
    <row r="116" spans="1:7" ht="15" x14ac:dyDescent="0.25">
      <c r="A116" s="10">
        <v>55</v>
      </c>
      <c r="B116" s="1832"/>
      <c r="D116" s="2" t="str">
        <f t="shared" si="0"/>
        <v>OK</v>
      </c>
      <c r="G116" s="1897">
        <v>902900600</v>
      </c>
    </row>
    <row r="117" spans="1:7" ht="15" x14ac:dyDescent="0.25">
      <c r="A117" s="5">
        <v>56</v>
      </c>
      <c r="B117" s="1832">
        <f>'Assets-Liab 5-6'!D31</f>
        <v>0</v>
      </c>
      <c r="D117" s="2" t="str">
        <f t="shared" si="0"/>
        <v>Error?</v>
      </c>
      <c r="G117" s="1897">
        <v>902900800</v>
      </c>
    </row>
    <row r="118" spans="1:7" ht="15" x14ac:dyDescent="0.25">
      <c r="A118" s="10">
        <v>57</v>
      </c>
      <c r="B118" s="1832"/>
      <c r="D118" s="2" t="str">
        <f t="shared" si="0"/>
        <v>OK</v>
      </c>
      <c r="G118" s="1897">
        <v>103000300</v>
      </c>
    </row>
    <row r="119" spans="1:7" ht="15" x14ac:dyDescent="0.25">
      <c r="A119" s="5">
        <v>58</v>
      </c>
      <c r="B119" s="1832">
        <f>'Assets-Liab 5-6'!D32</f>
        <v>0</v>
      </c>
      <c r="D119" s="2" t="str">
        <f t="shared" si="0"/>
        <v>Error?</v>
      </c>
      <c r="G119" s="1897">
        <v>103000400</v>
      </c>
    </row>
    <row r="120" spans="1:7" ht="15" x14ac:dyDescent="0.25">
      <c r="A120" s="10">
        <v>59</v>
      </c>
      <c r="B120" s="1832"/>
      <c r="D120" s="2" t="str">
        <f t="shared" si="0"/>
        <v>OK</v>
      </c>
      <c r="G120" s="1897">
        <v>103000600</v>
      </c>
    </row>
    <row r="121" spans="1:7" ht="15" x14ac:dyDescent="0.25">
      <c r="A121" s="10">
        <v>60</v>
      </c>
      <c r="B121" s="1832"/>
      <c r="D121" s="2" t="str">
        <f t="shared" si="0"/>
        <v>OK</v>
      </c>
      <c r="G121" s="1897">
        <v>103000800</v>
      </c>
    </row>
    <row r="122" spans="1:7" ht="15" x14ac:dyDescent="0.25">
      <c r="A122" s="5">
        <v>61</v>
      </c>
      <c r="B122" s="1832">
        <f>'Assets-Liab 5-6'!D34</f>
        <v>0</v>
      </c>
      <c r="C122" s="2" t="s">
        <v>569</v>
      </c>
      <c r="D122" s="2" t="str">
        <f t="shared" si="0"/>
        <v>Error?</v>
      </c>
      <c r="G122" s="1897">
        <v>203000300</v>
      </c>
    </row>
    <row r="123" spans="1:7" ht="15" x14ac:dyDescent="0.25">
      <c r="A123" s="5">
        <v>62</v>
      </c>
      <c r="B123" s="1832">
        <f>'Assets-Liab 5-6'!D39</f>
        <v>75124</v>
      </c>
      <c r="D123" s="2" t="str">
        <f t="shared" si="0"/>
        <v>Error?</v>
      </c>
      <c r="G123" s="1897">
        <v>203000400</v>
      </c>
    </row>
    <row r="124" spans="1:7" ht="15" x14ac:dyDescent="0.25">
      <c r="A124" s="5">
        <v>63</v>
      </c>
      <c r="B124" s="1832">
        <f>'Assets-Liab 5-6'!D41</f>
        <v>75124</v>
      </c>
      <c r="C124" s="2" t="s">
        <v>569</v>
      </c>
      <c r="D124" s="2" t="str">
        <f t="shared" si="0"/>
        <v>Error?</v>
      </c>
      <c r="G124" s="1897">
        <v>203000600</v>
      </c>
    </row>
    <row r="125" spans="1:7" ht="15" x14ac:dyDescent="0.25">
      <c r="A125" s="10">
        <v>64</v>
      </c>
      <c r="B125" s="1832"/>
      <c r="D125" s="2" t="str">
        <f t="shared" si="0"/>
        <v>OK</v>
      </c>
      <c r="G125" s="1897">
        <v>203000800</v>
      </c>
    </row>
    <row r="126" spans="1:7" ht="15" x14ac:dyDescent="0.25">
      <c r="A126" s="5">
        <v>65</v>
      </c>
      <c r="B126" s="1832">
        <f>'Assets-Liab 5-6'!E6</f>
        <v>0</v>
      </c>
      <c r="D126" s="2" t="str">
        <f t="shared" si="0"/>
        <v>Error?</v>
      </c>
      <c r="G126" s="1897">
        <v>403000300</v>
      </c>
    </row>
    <row r="127" spans="1:7" ht="15" x14ac:dyDescent="0.25">
      <c r="A127" s="10">
        <v>66</v>
      </c>
      <c r="B127" s="1832"/>
      <c r="D127" s="2" t="str">
        <f t="shared" ref="D127:D190" si="1">IF(ISBLANK(B127),"OK",IF(A127-B127=0,"OK","Error?"))</f>
        <v>OK</v>
      </c>
      <c r="G127" s="1897">
        <v>403000400</v>
      </c>
    </row>
    <row r="128" spans="1:7" ht="15" x14ac:dyDescent="0.25">
      <c r="A128" s="10">
        <v>67</v>
      </c>
      <c r="B128" s="1832"/>
      <c r="D128" s="2" t="str">
        <f t="shared" si="1"/>
        <v>OK</v>
      </c>
      <c r="G128" s="1897">
        <v>403000600</v>
      </c>
    </row>
    <row r="129" spans="1:7" ht="15" x14ac:dyDescent="0.25">
      <c r="A129" s="5">
        <v>68</v>
      </c>
      <c r="B129" s="1832">
        <f>'Assets-Liab 5-6'!E5</f>
        <v>0</v>
      </c>
      <c r="D129" s="2" t="str">
        <f t="shared" si="1"/>
        <v>Error?</v>
      </c>
      <c r="G129" s="1897">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11850</v>
      </c>
      <c r="D273" s="2" t="str">
        <f t="shared" si="3"/>
        <v>Error?</v>
      </c>
    </row>
    <row r="274" spans="1:4" x14ac:dyDescent="0.2">
      <c r="A274" s="5">
        <v>213</v>
      </c>
      <c r="B274" s="1832">
        <f>'Assets-Liab 5-6'!M17</f>
        <v>165488</v>
      </c>
      <c r="D274" s="2" t="str">
        <f t="shared" si="3"/>
        <v>Error?</v>
      </c>
    </row>
    <row r="275" spans="1:4" x14ac:dyDescent="0.2">
      <c r="A275" s="5">
        <v>214</v>
      </c>
      <c r="B275" s="1832">
        <f>'Assets-Liab 5-6'!M18</f>
        <v>17664</v>
      </c>
      <c r="D275" s="2" t="str">
        <f t="shared" si="3"/>
        <v>Error?</v>
      </c>
    </row>
    <row r="276" spans="1:4" x14ac:dyDescent="0.2">
      <c r="A276" s="5">
        <v>215</v>
      </c>
      <c r="B276" s="1832">
        <f>'Assets-Liab 5-6'!M19</f>
        <v>2238886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2433888</v>
      </c>
      <c r="C279" s="2" t="s">
        <v>569</v>
      </c>
      <c r="D279" s="2" t="str">
        <f t="shared" si="3"/>
        <v>Error?</v>
      </c>
    </row>
    <row r="280" spans="1:4" x14ac:dyDescent="0.2">
      <c r="A280" s="5">
        <v>219</v>
      </c>
      <c r="B280" s="1832">
        <f>'Assets-Liab 5-6'!M40</f>
        <v>2433888</v>
      </c>
      <c r="D280" s="2" t="str">
        <f t="shared" si="3"/>
        <v>Error?</v>
      </c>
    </row>
    <row r="281" spans="1:4" x14ac:dyDescent="0.2">
      <c r="A281" s="5">
        <v>220</v>
      </c>
      <c r="B281" s="1832">
        <f>'Assets-Liab 5-6'!M41</f>
        <v>2433888</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99738</v>
      </c>
      <c r="D719" s="2" t="str">
        <f t="shared" si="10"/>
        <v>Error?</v>
      </c>
    </row>
    <row r="720" spans="1:4" x14ac:dyDescent="0.2">
      <c r="A720" s="5">
        <v>659</v>
      </c>
      <c r="B720" s="1832">
        <f>'Expenditures 15-22'!C33</f>
        <v>1033492</v>
      </c>
      <c r="C720" s="2" t="s">
        <v>569</v>
      </c>
      <c r="D720" s="2" t="str">
        <f t="shared" si="10"/>
        <v>Error?</v>
      </c>
    </row>
    <row r="721" spans="1:4" x14ac:dyDescent="0.2">
      <c r="A721" s="5">
        <v>660</v>
      </c>
      <c r="B721" s="1832">
        <f>'Expenditures 15-22'!C36</f>
        <v>158367</v>
      </c>
      <c r="D721" s="2" t="str">
        <f t="shared" si="10"/>
        <v>Error?</v>
      </c>
    </row>
    <row r="722" spans="1:4" x14ac:dyDescent="0.2">
      <c r="A722" s="5">
        <v>661</v>
      </c>
      <c r="B722" s="1832">
        <f>'Expenditures 15-22'!C37</f>
        <v>53796</v>
      </c>
      <c r="D722" s="2" t="str">
        <f t="shared" si="10"/>
        <v>Error?</v>
      </c>
    </row>
    <row r="723" spans="1:4" x14ac:dyDescent="0.2">
      <c r="A723" s="5">
        <v>662</v>
      </c>
      <c r="B723" s="1832">
        <f>'Expenditures 15-22'!C38</f>
        <v>360464</v>
      </c>
      <c r="D723" s="2" t="str">
        <f t="shared" si="10"/>
        <v>Error?</v>
      </c>
    </row>
    <row r="724" spans="1:4" x14ac:dyDescent="0.2">
      <c r="A724" s="5">
        <v>663</v>
      </c>
      <c r="B724" s="1832">
        <f>'Expenditures 15-22'!C39</f>
        <v>364457</v>
      </c>
      <c r="D724" s="2" t="str">
        <f t="shared" si="10"/>
        <v>Error?</v>
      </c>
    </row>
    <row r="725" spans="1:4" x14ac:dyDescent="0.2">
      <c r="A725" s="5">
        <v>664</v>
      </c>
      <c r="B725" s="1832">
        <f>'Expenditures 15-22'!C40</f>
        <v>586099</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1523183</v>
      </c>
      <c r="C727" s="2" t="s">
        <v>569</v>
      </c>
      <c r="D727" s="2" t="str">
        <f t="shared" si="10"/>
        <v>Error?</v>
      </c>
    </row>
    <row r="728" spans="1:4" x14ac:dyDescent="0.2">
      <c r="A728" s="5">
        <v>667</v>
      </c>
      <c r="B728" s="1832">
        <f>'Expenditures 15-22'!C44</f>
        <v>89622</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89622</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857005</v>
      </c>
      <c r="D733" s="2" t="str">
        <f t="shared" si="10"/>
        <v>Error?</v>
      </c>
    </row>
    <row r="734" spans="1:4" x14ac:dyDescent="0.2">
      <c r="A734" s="5">
        <v>673</v>
      </c>
      <c r="B734" s="1832">
        <f>'Expenditures 15-22'!C53</f>
        <v>857005</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74708</v>
      </c>
      <c r="D739" s="2" t="str">
        <f t="shared" si="10"/>
        <v>Error?</v>
      </c>
    </row>
    <row r="740" spans="1:4" x14ac:dyDescent="0.2">
      <c r="A740" s="5">
        <v>679</v>
      </c>
      <c r="B740" s="1832">
        <f>'Expenditures 15-22'!C61</f>
        <v>31735</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106443</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2576253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3609745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10794</v>
      </c>
      <c r="D777" s="2" t="str">
        <f t="shared" si="11"/>
        <v>Error?</v>
      </c>
    </row>
    <row r="778" spans="1:4" x14ac:dyDescent="0.2">
      <c r="A778" s="5">
        <v>717</v>
      </c>
      <c r="B778" s="1832">
        <f>'Expenditures 15-22'!D33</f>
        <v>288615</v>
      </c>
      <c r="C778" s="2" t="s">
        <v>569</v>
      </c>
      <c r="D778" s="2" t="str">
        <f t="shared" si="11"/>
        <v>Error?</v>
      </c>
    </row>
    <row r="779" spans="1:4" x14ac:dyDescent="0.2">
      <c r="A779" s="5">
        <v>718</v>
      </c>
      <c r="B779" s="1832">
        <f>'Expenditures 15-22'!D36</f>
        <v>19818</v>
      </c>
      <c r="D779" s="2" t="str">
        <f t="shared" si="11"/>
        <v>Error?</v>
      </c>
    </row>
    <row r="780" spans="1:4" x14ac:dyDescent="0.2">
      <c r="A780" s="5">
        <v>719</v>
      </c>
      <c r="B780" s="1832">
        <f>'Expenditures 15-22'!D37</f>
        <v>6742</v>
      </c>
      <c r="D780" s="2" t="str">
        <f t="shared" si="11"/>
        <v>Error?</v>
      </c>
    </row>
    <row r="781" spans="1:4" x14ac:dyDescent="0.2">
      <c r="A781" s="5">
        <v>720</v>
      </c>
      <c r="B781" s="1832">
        <f>'Expenditures 15-22'!D38</f>
        <v>109227</v>
      </c>
      <c r="D781" s="2" t="str">
        <f t="shared" si="11"/>
        <v>Error?</v>
      </c>
    </row>
    <row r="782" spans="1:4" x14ac:dyDescent="0.2">
      <c r="A782" s="5">
        <v>721</v>
      </c>
      <c r="B782" s="1832">
        <f>'Expenditures 15-22'!D39</f>
        <v>53363</v>
      </c>
      <c r="D782" s="2" t="str">
        <f t="shared" si="11"/>
        <v>Error?</v>
      </c>
    </row>
    <row r="783" spans="1:4" x14ac:dyDescent="0.2">
      <c r="A783" s="5">
        <v>722</v>
      </c>
      <c r="B783" s="1832">
        <f>'Expenditures 15-22'!D40</f>
        <v>88695</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277845</v>
      </c>
      <c r="C785" s="2" t="s">
        <v>569</v>
      </c>
      <c r="D785" s="2" t="str">
        <f t="shared" si="11"/>
        <v>Error?</v>
      </c>
    </row>
    <row r="786" spans="1:4" x14ac:dyDescent="0.2">
      <c r="A786" s="5">
        <v>725</v>
      </c>
      <c r="B786" s="1832">
        <f>'Expenditures 15-22'!D44</f>
        <v>30457</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30457</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210450</v>
      </c>
      <c r="D791" s="2" t="str">
        <f t="shared" si="11"/>
        <v>Error?</v>
      </c>
    </row>
    <row r="792" spans="1:4" x14ac:dyDescent="0.2">
      <c r="A792" s="5">
        <v>731</v>
      </c>
      <c r="B792" s="1832">
        <f>'Expenditures 15-22'!D53</f>
        <v>210450</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18424</v>
      </c>
      <c r="D797" s="2" t="str">
        <f t="shared" si="11"/>
        <v>Error?</v>
      </c>
    </row>
    <row r="798" spans="1:4" x14ac:dyDescent="0.2">
      <c r="A798" s="5">
        <v>737</v>
      </c>
      <c r="B798" s="1832">
        <f>'Expenditures 15-22'!D61</f>
        <v>12131</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30555</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549307</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837922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357</v>
      </c>
      <c r="D835" s="2" t="str">
        <f t="shared" si="12"/>
        <v>Error?</v>
      </c>
    </row>
    <row r="836" spans="1:4" x14ac:dyDescent="0.2">
      <c r="A836" s="5">
        <v>775</v>
      </c>
      <c r="B836" s="1832">
        <f>'Expenditures 15-22'!E33</f>
        <v>316434</v>
      </c>
      <c r="C836" s="2" t="s">
        <v>569</v>
      </c>
      <c r="D836" s="2" t="str">
        <f t="shared" si="12"/>
        <v>Error?</v>
      </c>
    </row>
    <row r="837" spans="1:4" x14ac:dyDescent="0.2">
      <c r="A837" s="5">
        <v>776</v>
      </c>
      <c r="B837" s="1832">
        <f>'Expenditures 15-22'!E36</f>
        <v>4160</v>
      </c>
      <c r="D837" s="2" t="str">
        <f t="shared" si="12"/>
        <v>Error?</v>
      </c>
    </row>
    <row r="838" spans="1:4" x14ac:dyDescent="0.2">
      <c r="A838" s="5">
        <v>777</v>
      </c>
      <c r="B838" s="1832">
        <f>'Expenditures 15-22'!E37</f>
        <v>3159</v>
      </c>
      <c r="D838" s="2" t="str">
        <f t="shared" si="12"/>
        <v>Error?</v>
      </c>
    </row>
    <row r="839" spans="1:4" x14ac:dyDescent="0.2">
      <c r="A839" s="5">
        <v>778</v>
      </c>
      <c r="B839" s="1832">
        <f>'Expenditures 15-22'!E38</f>
        <v>18607</v>
      </c>
      <c r="D839" s="2" t="str">
        <f t="shared" si="12"/>
        <v>Error?</v>
      </c>
    </row>
    <row r="840" spans="1:4" x14ac:dyDescent="0.2">
      <c r="A840" s="5">
        <v>779</v>
      </c>
      <c r="B840" s="1832">
        <f>'Expenditures 15-22'!E39</f>
        <v>16865</v>
      </c>
      <c r="D840" s="2" t="str">
        <f t="shared" si="12"/>
        <v>Error?</v>
      </c>
    </row>
    <row r="841" spans="1:4" x14ac:dyDescent="0.2">
      <c r="A841" s="5">
        <v>780</v>
      </c>
      <c r="B841" s="1832">
        <f>'Expenditures 15-22'!E40</f>
        <v>9056</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51847</v>
      </c>
      <c r="C843" s="2" t="s">
        <v>569</v>
      </c>
      <c r="D843" s="2" t="str">
        <f t="shared" si="12"/>
        <v>Error?</v>
      </c>
    </row>
    <row r="844" spans="1:4" x14ac:dyDescent="0.2">
      <c r="A844" s="5">
        <v>783</v>
      </c>
      <c r="B844" s="1832">
        <f>'Expenditures 15-22'!E44</f>
        <v>127697</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55315</v>
      </c>
      <c r="D846" s="2" t="str">
        <f t="shared" si="12"/>
        <v>Error?</v>
      </c>
    </row>
    <row r="847" spans="1:4" x14ac:dyDescent="0.2">
      <c r="A847" s="5">
        <v>786</v>
      </c>
      <c r="B847" s="1832">
        <f>'Expenditures 15-22'!E47</f>
        <v>183012</v>
      </c>
      <c r="C847" s="2" t="s">
        <v>569</v>
      </c>
      <c r="D847" s="2" t="str">
        <f t="shared" si="12"/>
        <v>Error?</v>
      </c>
    </row>
    <row r="848" spans="1:4" x14ac:dyDescent="0.2">
      <c r="A848" s="5">
        <v>787</v>
      </c>
      <c r="B848" s="1832">
        <f>'Expenditures 15-22'!E49</f>
        <v>47359</v>
      </c>
      <c r="D848" s="2" t="str">
        <f t="shared" si="12"/>
        <v>Error?</v>
      </c>
    </row>
    <row r="849" spans="1:4" x14ac:dyDescent="0.2">
      <c r="A849" s="5">
        <v>788</v>
      </c>
      <c r="B849" s="1832">
        <f>'Expenditures 15-22'!E50</f>
        <v>196891</v>
      </c>
      <c r="D849" s="2" t="str">
        <f t="shared" si="12"/>
        <v>Error?</v>
      </c>
    </row>
    <row r="850" spans="1:4" x14ac:dyDescent="0.2">
      <c r="A850" s="5">
        <v>789</v>
      </c>
      <c r="B850" s="1832">
        <f>'Expenditures 15-22'!E53</f>
        <v>244250</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4268</v>
      </c>
      <c r="D855" s="2" t="str">
        <f t="shared" si="12"/>
        <v>Error?</v>
      </c>
    </row>
    <row r="856" spans="1:4" x14ac:dyDescent="0.2">
      <c r="A856" s="5">
        <v>795</v>
      </c>
      <c r="B856" s="1832">
        <f>'Expenditures 15-22'!E61</f>
        <v>17988</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83773</v>
      </c>
      <c r="D859" s="2" t="str">
        <f t="shared" si="12"/>
        <v>Error?</v>
      </c>
    </row>
    <row r="860" spans="1:4" x14ac:dyDescent="0.2">
      <c r="A860" s="10">
        <v>799</v>
      </c>
      <c r="B860" s="1832"/>
      <c r="D860" s="2" t="str">
        <f t="shared" si="12"/>
        <v>OK</v>
      </c>
    </row>
    <row r="861" spans="1:4" x14ac:dyDescent="0.2">
      <c r="A861" s="5">
        <v>800</v>
      </c>
      <c r="B861" s="1832">
        <f>'Expenditures 15-22'!E65</f>
        <v>106029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585138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925572</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1129</v>
      </c>
      <c r="D893" s="2" t="str">
        <f t="shared" si="12"/>
        <v>Error?</v>
      </c>
    </row>
    <row r="894" spans="1:4" x14ac:dyDescent="0.2">
      <c r="A894" s="5">
        <v>833</v>
      </c>
      <c r="B894" s="1832">
        <f>'Expenditures 15-22'!F33</f>
        <v>46345</v>
      </c>
      <c r="C894" s="2" t="s">
        <v>569</v>
      </c>
      <c r="D894" s="2" t="str">
        <f t="shared" si="12"/>
        <v>Error?</v>
      </c>
    </row>
    <row r="895" spans="1:4" x14ac:dyDescent="0.2">
      <c r="A895" s="5">
        <v>834</v>
      </c>
      <c r="B895" s="1832">
        <f>'Expenditures 15-22'!F36</f>
        <v>1126</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6377</v>
      </c>
      <c r="D897" s="2" t="str">
        <f t="shared" si="13"/>
        <v>Error?</v>
      </c>
    </row>
    <row r="898" spans="1:4" x14ac:dyDescent="0.2">
      <c r="A898" s="5">
        <v>837</v>
      </c>
      <c r="B898" s="1832">
        <f>'Expenditures 15-22'!F39</f>
        <v>35614</v>
      </c>
      <c r="D898" s="2" t="str">
        <f t="shared" si="13"/>
        <v>Error?</v>
      </c>
    </row>
    <row r="899" spans="1:4" x14ac:dyDescent="0.2">
      <c r="A899" s="5">
        <v>838</v>
      </c>
      <c r="B899" s="1832">
        <f>'Expenditures 15-22'!F40</f>
        <v>17401</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60518</v>
      </c>
      <c r="C901" s="2" t="s">
        <v>569</v>
      </c>
      <c r="D901" s="2" t="str">
        <f t="shared" si="13"/>
        <v>Error?</v>
      </c>
    </row>
    <row r="902" spans="1:4" x14ac:dyDescent="0.2">
      <c r="A902" s="5">
        <v>841</v>
      </c>
      <c r="B902" s="1832">
        <f>'Expenditures 15-22'!F44</f>
        <v>137</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137</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67203</v>
      </c>
      <c r="D907" s="2" t="str">
        <f t="shared" si="13"/>
        <v>Error?</v>
      </c>
    </row>
    <row r="908" spans="1:4" x14ac:dyDescent="0.2">
      <c r="A908" s="5">
        <v>847</v>
      </c>
      <c r="B908" s="1832">
        <f>'Expenditures 15-22'!F53</f>
        <v>67203</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3053</v>
      </c>
      <c r="D913" s="2" t="str">
        <f t="shared" si="13"/>
        <v>Error?</v>
      </c>
    </row>
    <row r="914" spans="1:4" x14ac:dyDescent="0.2">
      <c r="A914" s="5">
        <v>853</v>
      </c>
      <c r="B914" s="1832">
        <f>'Expenditures 15-22'!F61</f>
        <v>14702</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17755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145613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191958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48158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13078</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13078</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33191</v>
      </c>
      <c r="D965" s="2" t="str">
        <f t="shared" si="14"/>
        <v>Error?</v>
      </c>
    </row>
    <row r="966" spans="1:4" x14ac:dyDescent="0.2">
      <c r="A966" s="5">
        <v>905</v>
      </c>
      <c r="B966" s="1832">
        <f>'Expenditures 15-22'!G53</f>
        <v>33191</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1666</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1666</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47935</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96093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5521</v>
      </c>
      <c r="D1023" s="2" t="str">
        <f t="shared" ref="D1023:D1086" si="15">IF(ISBLANK(B1023),"OK",IF(A1023-B1023=0,"OK","Error?"))</f>
        <v>Error?</v>
      </c>
    </row>
    <row r="1024" spans="1:4" x14ac:dyDescent="0.2">
      <c r="A1024" s="5">
        <v>963</v>
      </c>
      <c r="B1024" s="1832">
        <f>'Expenditures 15-22'!H53</f>
        <v>5521</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5521</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712452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717973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1993</v>
      </c>
      <c r="E1056" s="4" t="s">
        <v>1992</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112018</v>
      </c>
      <c r="C1107" s="2" t="s">
        <v>569</v>
      </c>
      <c r="D1107" s="2" t="str">
        <f t="shared" si="16"/>
        <v>Error?</v>
      </c>
    </row>
    <row r="1108" spans="1:4" x14ac:dyDescent="0.2">
      <c r="A1108" s="5">
        <v>1047</v>
      </c>
      <c r="B1108" s="1832">
        <f>'Expenditures 15-22'!K33</f>
        <v>1733044</v>
      </c>
      <c r="C1108" s="2" t="s">
        <v>569</v>
      </c>
      <c r="D1108" s="2" t="str">
        <f t="shared" si="16"/>
        <v>Error?</v>
      </c>
    </row>
    <row r="1109" spans="1:4" x14ac:dyDescent="0.2">
      <c r="A1109" s="5">
        <v>1048</v>
      </c>
      <c r="B1109" s="1832">
        <f>'Expenditures 15-22'!K36</f>
        <v>183471</v>
      </c>
      <c r="C1109" s="2" t="s">
        <v>569</v>
      </c>
      <c r="D1109" s="2" t="str">
        <f t="shared" si="16"/>
        <v>Error?</v>
      </c>
    </row>
    <row r="1110" spans="1:4" x14ac:dyDescent="0.2">
      <c r="A1110" s="5">
        <v>1049</v>
      </c>
      <c r="B1110" s="1832">
        <f>'Expenditures 15-22'!K37</f>
        <v>63697</v>
      </c>
      <c r="C1110" s="2" t="s">
        <v>569</v>
      </c>
      <c r="D1110" s="2" t="str">
        <f t="shared" si="16"/>
        <v>Error?</v>
      </c>
    </row>
    <row r="1111" spans="1:4" x14ac:dyDescent="0.2">
      <c r="A1111" s="5">
        <v>1050</v>
      </c>
      <c r="B1111" s="1832">
        <f>'Expenditures 15-22'!K38</f>
        <v>507753</v>
      </c>
      <c r="C1111" s="2" t="s">
        <v>569</v>
      </c>
      <c r="D1111" s="2" t="str">
        <f t="shared" si="16"/>
        <v>Error?</v>
      </c>
    </row>
    <row r="1112" spans="1:4" x14ac:dyDescent="0.2">
      <c r="A1112" s="5">
        <v>1051</v>
      </c>
      <c r="B1112" s="1832">
        <f>'Expenditures 15-22'!K39</f>
        <v>470674</v>
      </c>
      <c r="C1112" s="2" t="s">
        <v>569</v>
      </c>
      <c r="D1112" s="2" t="str">
        <f t="shared" si="16"/>
        <v>Error?</v>
      </c>
    </row>
    <row r="1113" spans="1:4" x14ac:dyDescent="0.2">
      <c r="A1113" s="5">
        <v>1052</v>
      </c>
      <c r="B1113" s="1832">
        <f>'Expenditures 15-22'!K40</f>
        <v>701251</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1926846</v>
      </c>
      <c r="C1115" s="2" t="s">
        <v>569</v>
      </c>
      <c r="D1115" s="2" t="str">
        <f t="shared" si="16"/>
        <v>Error?</v>
      </c>
    </row>
    <row r="1116" spans="1:4" x14ac:dyDescent="0.2">
      <c r="A1116" s="5">
        <v>1055</v>
      </c>
      <c r="B1116" s="1832">
        <f>'Expenditures 15-22'!K44</f>
        <v>247913</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55315</v>
      </c>
      <c r="C1118" s="2" t="s">
        <v>569</v>
      </c>
      <c r="D1118" s="2" t="str">
        <f t="shared" si="16"/>
        <v>Error?</v>
      </c>
    </row>
    <row r="1119" spans="1:4" x14ac:dyDescent="0.2">
      <c r="A1119" s="5">
        <v>1058</v>
      </c>
      <c r="B1119" s="1832">
        <f>'Expenditures 15-22'!K47</f>
        <v>303228</v>
      </c>
      <c r="C1119" s="2" t="s">
        <v>569</v>
      </c>
      <c r="D1119" s="2" t="str">
        <f t="shared" si="16"/>
        <v>Error?</v>
      </c>
    </row>
    <row r="1120" spans="1:4" x14ac:dyDescent="0.2">
      <c r="A1120" s="5">
        <v>1059</v>
      </c>
      <c r="B1120" s="1832">
        <f>'Expenditures 15-22'!K49</f>
        <v>47359</v>
      </c>
      <c r="C1120" s="2" t="s">
        <v>569</v>
      </c>
      <c r="D1120" s="2" t="str">
        <f t="shared" si="16"/>
        <v>Error?</v>
      </c>
    </row>
    <row r="1121" spans="1:4" x14ac:dyDescent="0.2">
      <c r="A1121" s="5">
        <v>1060</v>
      </c>
      <c r="B1121" s="1832">
        <f>'Expenditures 15-22'!K50</f>
        <v>1370261</v>
      </c>
      <c r="C1121" s="2" t="s">
        <v>569</v>
      </c>
      <c r="D1121" s="2" t="str">
        <f t="shared" si="16"/>
        <v>Error?</v>
      </c>
    </row>
    <row r="1122" spans="1:4" x14ac:dyDescent="0.2">
      <c r="A1122" s="5">
        <v>1061</v>
      </c>
      <c r="B1122" s="1832">
        <f>'Expenditures 15-22'!K53</f>
        <v>1417620</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100453</v>
      </c>
      <c r="C1127" s="2" t="s">
        <v>569</v>
      </c>
      <c r="D1127" s="2" t="str">
        <f t="shared" si="16"/>
        <v>Error?</v>
      </c>
    </row>
    <row r="1128" spans="1:4" x14ac:dyDescent="0.2">
      <c r="A1128" s="5">
        <v>1067</v>
      </c>
      <c r="B1128" s="1832">
        <f>'Expenditures 15-22'!K61</f>
        <v>78222</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83773</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262448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3910142</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736452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6379638</v>
      </c>
      <c r="C1152" s="2" t="s">
        <v>569</v>
      </c>
      <c r="D1152" s="2" t="str">
        <f t="shared" si="17"/>
        <v>Error?</v>
      </c>
    </row>
    <row r="1153" spans="1:4" x14ac:dyDescent="0.2">
      <c r="A1153" s="5">
        <v>1092</v>
      </c>
      <c r="B1153" s="1832">
        <f>'Expenditures 15-22'!K115</f>
        <v>1001266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933</v>
      </c>
      <c r="D1237" s="2" t="str">
        <f t="shared" si="18"/>
        <v>Error?</v>
      </c>
    </row>
    <row r="1238" spans="1:4" x14ac:dyDescent="0.2">
      <c r="A1238" s="10">
        <v>1177</v>
      </c>
      <c r="B1238" s="1832"/>
      <c r="D1238" s="2" t="str">
        <f t="shared" si="18"/>
        <v>OK</v>
      </c>
    </row>
    <row r="1239" spans="1:4" x14ac:dyDescent="0.2">
      <c r="A1239" s="5">
        <v>1178</v>
      </c>
      <c r="B1239" s="1832">
        <f>'Expenditures 15-22'!E127</f>
        <v>933</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933</v>
      </c>
      <c r="C1241" s="2" t="s">
        <v>569</v>
      </c>
      <c r="D1241" s="2" t="str">
        <f t="shared" si="18"/>
        <v>Error?</v>
      </c>
    </row>
    <row r="1242" spans="1:4" x14ac:dyDescent="0.2">
      <c r="A1242" s="5">
        <v>1181</v>
      </c>
      <c r="B1242" s="1832">
        <f>'Expenditures 15-22'!E151</f>
        <v>933</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10225</v>
      </c>
      <c r="D1245" s="2" t="str">
        <f t="shared" si="18"/>
        <v>Error?</v>
      </c>
    </row>
    <row r="1246" spans="1:4" x14ac:dyDescent="0.2">
      <c r="A1246" s="10">
        <v>1185</v>
      </c>
      <c r="B1246" s="1832"/>
      <c r="D1246" s="2" t="str">
        <f t="shared" si="18"/>
        <v>OK</v>
      </c>
    </row>
    <row r="1247" spans="1:4" x14ac:dyDescent="0.2">
      <c r="A1247" s="5">
        <v>1186</v>
      </c>
      <c r="B1247" s="1832">
        <f>'Expenditures 15-22'!F127</f>
        <v>10225</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10225</v>
      </c>
      <c r="C1249" s="2" t="s">
        <v>569</v>
      </c>
      <c r="D1249" s="2" t="str">
        <f t="shared" si="18"/>
        <v>Error?</v>
      </c>
    </row>
    <row r="1250" spans="1:4" x14ac:dyDescent="0.2">
      <c r="A1250" s="5">
        <v>1189</v>
      </c>
      <c r="B1250" s="1832">
        <f>'Expenditures 15-22'!F151</f>
        <v>10225</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11158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11158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11158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11158</v>
      </c>
      <c r="C1288" s="2" t="s">
        <v>569</v>
      </c>
      <c r="D1288" s="2" t="str">
        <f t="shared" si="19"/>
        <v>Error?</v>
      </c>
    </row>
    <row r="1289" spans="1:4" x14ac:dyDescent="0.2">
      <c r="A1289" s="5">
        <v>1228</v>
      </c>
      <c r="B1289" s="1832">
        <f>'Expenditures 15-22'!K152</f>
        <v>-1762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1438894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2440160</v>
      </c>
      <c r="C1630" s="2" t="s">
        <v>569</v>
      </c>
      <c r="D1630" s="2" t="str">
        <f t="shared" si="24"/>
        <v>Error?</v>
      </c>
    </row>
    <row r="1631" spans="1:4" x14ac:dyDescent="0.2">
      <c r="A1631" s="5">
        <v>1570</v>
      </c>
      <c r="B1631" s="1832">
        <f>'Acct Summary 7-8'!D79</f>
        <v>76886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75124</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11850</v>
      </c>
      <c r="D2008" s="2" t="str">
        <f t="shared" si="30"/>
        <v>Error?</v>
      </c>
    </row>
    <row r="2009" spans="1:4" x14ac:dyDescent="0.2">
      <c r="A2009" s="5">
        <v>1948</v>
      </c>
      <c r="B2009" s="1832">
        <f>'Cap Outlay Deprec 26'!C8</f>
        <v>165488</v>
      </c>
      <c r="D2009" s="2" t="str">
        <f t="shared" si="30"/>
        <v>Error?</v>
      </c>
    </row>
    <row r="2010" spans="1:4" x14ac:dyDescent="0.2">
      <c r="A2010" s="5">
        <v>1949</v>
      </c>
      <c r="B2010" s="1832">
        <f>'Cap Outlay Deprec 26'!C10</f>
        <v>17664</v>
      </c>
      <c r="D2010" s="2" t="str">
        <f t="shared" si="30"/>
        <v>Error?</v>
      </c>
    </row>
    <row r="2011" spans="1:4" x14ac:dyDescent="0.2">
      <c r="A2011" s="5">
        <v>1950</v>
      </c>
      <c r="B2011" s="1832">
        <f>'Cap Outlay Deprec 26'!C12</f>
        <v>2142793</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2337795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96093</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96093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11850</v>
      </c>
      <c r="C2026" s="2" t="s">
        <v>569</v>
      </c>
      <c r="D2026" s="2" t="str">
        <f t="shared" si="30"/>
        <v>Error?</v>
      </c>
    </row>
    <row r="2027" spans="1:4" x14ac:dyDescent="0.2">
      <c r="A2027" s="5">
        <v>1966</v>
      </c>
      <c r="B2027" s="1832">
        <f>'Cap Outlay Deprec 26'!F8</f>
        <v>165488</v>
      </c>
      <c r="C2027" s="2" t="s">
        <v>569</v>
      </c>
      <c r="D2027" s="2" t="str">
        <f t="shared" si="30"/>
        <v>Error?</v>
      </c>
    </row>
    <row r="2028" spans="1:4" x14ac:dyDescent="0.2">
      <c r="A2028" s="5">
        <v>1967</v>
      </c>
      <c r="B2028" s="1832">
        <f>'Cap Outlay Deprec 26'!F10</f>
        <v>17664</v>
      </c>
      <c r="C2028" s="2" t="s">
        <v>569</v>
      </c>
      <c r="D2028" s="2" t="str">
        <f t="shared" si="30"/>
        <v>Error?</v>
      </c>
    </row>
    <row r="2029" spans="1:4" x14ac:dyDescent="0.2">
      <c r="A2029" s="5">
        <v>1968</v>
      </c>
      <c r="B2029" s="1832">
        <f>'Cap Outlay Deprec 26'!F12</f>
        <v>2238886</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2433888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92797</v>
      </c>
      <c r="D2033" s="2" t="str">
        <f t="shared" si="30"/>
        <v>Error?</v>
      </c>
    </row>
    <row r="2034" spans="1:4" x14ac:dyDescent="0.2">
      <c r="A2034" s="5">
        <v>1973</v>
      </c>
      <c r="B2034" s="1832">
        <f>'Cap Outlay Deprec 26'!H10</f>
        <v>16167</v>
      </c>
      <c r="D2034" s="2" t="str">
        <f t="shared" si="30"/>
        <v>Error?</v>
      </c>
    </row>
    <row r="2035" spans="1:4" x14ac:dyDescent="0.2">
      <c r="A2035" s="5">
        <v>1974</v>
      </c>
      <c r="B2035" s="1832">
        <f>'Cap Outlay Deprec 26'!H12</f>
        <v>1880304</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1989268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4728</v>
      </c>
      <c r="D2039" s="2" t="str">
        <f t="shared" si="30"/>
        <v>Error?</v>
      </c>
    </row>
    <row r="2040" spans="1:4" x14ac:dyDescent="0.2">
      <c r="A2040" s="5">
        <v>1979</v>
      </c>
      <c r="B2040" s="1832">
        <f>'Cap Outlay Deprec 26'!I10</f>
        <v>883</v>
      </c>
      <c r="D2040" s="2" t="str">
        <f t="shared" si="30"/>
        <v>Error?</v>
      </c>
    </row>
    <row r="2041" spans="1:4" x14ac:dyDescent="0.2">
      <c r="A2041" s="5">
        <v>1980</v>
      </c>
      <c r="B2041" s="1832">
        <f>'Cap Outlay Deprec 26'!I12</f>
        <v>123524</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129135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97525</v>
      </c>
      <c r="C2051" s="2" t="s">
        <v>569</v>
      </c>
      <c r="D2051" s="2" t="str">
        <f t="shared" si="31"/>
        <v>Error?</v>
      </c>
    </row>
    <row r="2052" spans="1:4" x14ac:dyDescent="0.2">
      <c r="A2052" s="5">
        <v>1991</v>
      </c>
      <c r="B2052" s="1832">
        <f>'Cap Outlay Deprec 26'!K10</f>
        <v>17050</v>
      </c>
      <c r="C2052" s="2" t="s">
        <v>569</v>
      </c>
      <c r="D2052" s="2" t="str">
        <f t="shared" si="31"/>
        <v>Error?</v>
      </c>
    </row>
    <row r="2053" spans="1:4" x14ac:dyDescent="0.2">
      <c r="A2053" s="5">
        <v>1992</v>
      </c>
      <c r="B2053" s="1832">
        <f>'Cap Outlay Deprec 26'!K12</f>
        <v>2003828</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2118403</v>
      </c>
      <c r="C2055" s="2" t="s">
        <v>569</v>
      </c>
      <c r="D2055" s="2" t="str">
        <f t="shared" si="31"/>
        <v>Error?</v>
      </c>
    </row>
    <row r="2056" spans="1:4" x14ac:dyDescent="0.2">
      <c r="A2056" s="5">
        <v>1995</v>
      </c>
      <c r="B2056" s="1832">
        <f>'Cap Outlay Deprec 26'!L5</f>
        <v>11850</v>
      </c>
      <c r="C2056" s="2" t="s">
        <v>569</v>
      </c>
      <c r="D2056" s="2" t="str">
        <f t="shared" si="31"/>
        <v>Error?</v>
      </c>
    </row>
    <row r="2057" spans="1:4" x14ac:dyDescent="0.2">
      <c r="A2057" s="5">
        <v>1996</v>
      </c>
      <c r="B2057" s="1832">
        <f>'Cap Outlay Deprec 26'!L8</f>
        <v>67963</v>
      </c>
      <c r="C2057" s="2" t="s">
        <v>569</v>
      </c>
      <c r="D2057" s="2" t="str">
        <f t="shared" si="31"/>
        <v>Error?</v>
      </c>
    </row>
    <row r="2058" spans="1:4" x14ac:dyDescent="0.2">
      <c r="A2058" s="5">
        <v>1997</v>
      </c>
      <c r="B2058" s="1832">
        <f>'Cap Outlay Deprec 26'!L10</f>
        <v>614</v>
      </c>
      <c r="C2058" s="2" t="s">
        <v>569</v>
      </c>
      <c r="D2058" s="2" t="str">
        <f t="shared" si="31"/>
        <v>Error?</v>
      </c>
    </row>
    <row r="2059" spans="1:4" x14ac:dyDescent="0.2">
      <c r="A2059" s="5">
        <v>1998</v>
      </c>
      <c r="B2059" s="1832">
        <f>'Cap Outlay Deprec 26'!L12</f>
        <v>235058</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315485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712452</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736452</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3502652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381533</v>
      </c>
      <c r="C2553" s="2" t="s">
        <v>569</v>
      </c>
      <c r="D2553" s="2" t="str">
        <f t="shared" si="38"/>
        <v>Error?</v>
      </c>
    </row>
    <row r="2554" spans="1:4" x14ac:dyDescent="0.2">
      <c r="A2554" s="5">
        <v>2493</v>
      </c>
      <c r="B2554" s="1832">
        <f>'Acct Summary 7-8'!C7</f>
        <v>3496719</v>
      </c>
      <c r="C2554" s="2" t="s">
        <v>569</v>
      </c>
      <c r="D2554" s="2" t="str">
        <f t="shared" si="38"/>
        <v>Error?</v>
      </c>
    </row>
    <row r="2555" spans="1:4" x14ac:dyDescent="0.2">
      <c r="A2555" s="5">
        <v>2494</v>
      </c>
      <c r="B2555" s="1832">
        <f>'Acct Summary 7-8'!C8</f>
        <v>7380904</v>
      </c>
      <c r="C2555" s="2" t="s">
        <v>569</v>
      </c>
      <c r="D2555" s="2" t="str">
        <f t="shared" si="38"/>
        <v>Error?</v>
      </c>
    </row>
    <row r="2556" spans="1:4" x14ac:dyDescent="0.2">
      <c r="A2556" s="5">
        <v>2495</v>
      </c>
      <c r="B2556" s="1832">
        <f>'Acct Summary 7-8'!C12</f>
        <v>1733044</v>
      </c>
      <c r="C2556" s="2" t="s">
        <v>569</v>
      </c>
      <c r="D2556" s="2" t="str">
        <f t="shared" si="38"/>
        <v>Error?</v>
      </c>
    </row>
    <row r="2557" spans="1:4" x14ac:dyDescent="0.2">
      <c r="A2557" s="5">
        <v>2496</v>
      </c>
      <c r="B2557" s="1832">
        <f>'Acct Summary 7-8'!C13</f>
        <v>3910142</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736452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6379638</v>
      </c>
      <c r="C2561" s="2" t="s">
        <v>569</v>
      </c>
      <c r="D2561" s="2" t="str">
        <f t="shared" si="39"/>
        <v>Error?</v>
      </c>
    </row>
    <row r="2562" spans="1:4" x14ac:dyDescent="0.2">
      <c r="A2562" s="5">
        <v>2501</v>
      </c>
      <c r="B2562" s="1832">
        <f>'Acct Summary 7-8'!C20</f>
        <v>1001266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9396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9396</v>
      </c>
      <c r="C2568" s="2" t="s">
        <v>569</v>
      </c>
      <c r="D2568" s="2" t="str">
        <f t="shared" si="39"/>
        <v>Error?</v>
      </c>
    </row>
    <row r="2569" spans="1:4" x14ac:dyDescent="0.2">
      <c r="A2569" s="5">
        <v>2508</v>
      </c>
      <c r="B2569" s="1832">
        <f>'Acct Summary 7-8'!D13</f>
        <v>11158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11158</v>
      </c>
      <c r="C2573" s="2" t="s">
        <v>569</v>
      </c>
      <c r="D2573" s="2" t="str">
        <f t="shared" si="39"/>
        <v>Error?</v>
      </c>
    </row>
    <row r="2574" spans="1:4" x14ac:dyDescent="0.2">
      <c r="A2574" s="5">
        <v>2513</v>
      </c>
      <c r="B2574" s="1832">
        <f>'Acct Summary 7-8'!D20</f>
        <v>-1762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1993</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24000</v>
      </c>
      <c r="C2789" s="2" t="s">
        <v>569</v>
      </c>
      <c r="D2789" s="2" t="str">
        <f t="shared" si="42"/>
        <v>Error?</v>
      </c>
    </row>
    <row r="2790" spans="1:4" x14ac:dyDescent="0.2">
      <c r="A2790" s="5">
        <v>2729</v>
      </c>
      <c r="B2790" s="1832">
        <f>'Expenditures 15-22'!E102</f>
        <v>24000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24000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712452</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736452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1993</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1001266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-1762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933754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277821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316077</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45216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48158</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1621026</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2440160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75124</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1993</v>
      </c>
      <c r="E3521" s="4" t="s">
        <v>134</v>
      </c>
    </row>
    <row r="3522" spans="1:5" x14ac:dyDescent="0.2">
      <c r="A3522" s="10">
        <v>3461</v>
      </c>
      <c r="B3522" s="1832"/>
      <c r="D3522" s="4" t="s">
        <v>1993</v>
      </c>
      <c r="E3522" s="4" t="s">
        <v>134</v>
      </c>
    </row>
    <row r="3523" spans="1:5" x14ac:dyDescent="0.2">
      <c r="A3523" s="10">
        <v>3462</v>
      </c>
      <c r="B3523" s="1832"/>
      <c r="D3523" s="4" t="s">
        <v>1993</v>
      </c>
      <c r="E3523" s="4" t="s">
        <v>134</v>
      </c>
    </row>
    <row r="3524" spans="1:5" x14ac:dyDescent="0.2">
      <c r="A3524" s="10">
        <v>3463</v>
      </c>
      <c r="B3524" s="1832"/>
      <c r="D3524" s="4" t="s">
        <v>1993</v>
      </c>
      <c r="E3524" s="4" t="s">
        <v>134</v>
      </c>
    </row>
    <row r="3525" spans="1:5" x14ac:dyDescent="0.2">
      <c r="A3525" s="10">
        <v>3464</v>
      </c>
      <c r="B3525" s="1832"/>
      <c r="D3525" s="4" t="s">
        <v>1993</v>
      </c>
      <c r="E3525" s="4" t="s">
        <v>134</v>
      </c>
    </row>
    <row r="3526" spans="1:5" x14ac:dyDescent="0.2">
      <c r="A3526" s="10">
        <v>3465</v>
      </c>
      <c r="B3526" s="1832"/>
      <c r="D3526" s="4" t="s">
        <v>1993</v>
      </c>
      <c r="E3526" s="4" t="s">
        <v>134</v>
      </c>
    </row>
    <row r="3527" spans="1:5" x14ac:dyDescent="0.2">
      <c r="A3527" s="10">
        <v>3466</v>
      </c>
      <c r="B3527" s="1832"/>
      <c r="D3527" s="4" t="s">
        <v>1993</v>
      </c>
      <c r="E3527" s="4" t="s">
        <v>134</v>
      </c>
    </row>
    <row r="3528" spans="1:5" x14ac:dyDescent="0.2">
      <c r="A3528" s="10">
        <v>3467</v>
      </c>
      <c r="B3528" s="1832"/>
      <c r="D3528" s="4" t="s">
        <v>1993</v>
      </c>
      <c r="E3528" s="4" t="s">
        <v>134</v>
      </c>
    </row>
    <row r="3529" spans="1:5" x14ac:dyDescent="0.2">
      <c r="A3529" s="10">
        <v>3468</v>
      </c>
      <c r="B3529" s="1832"/>
      <c r="D3529" s="4" t="s">
        <v>1993</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1664897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9045801</v>
      </c>
      <c r="C4122" s="2" t="s">
        <v>569</v>
      </c>
      <c r="D4122" s="2" t="str">
        <f t="shared" si="63"/>
        <v>Error?</v>
      </c>
    </row>
    <row r="4123" spans="1:4" x14ac:dyDescent="0.2">
      <c r="A4123" s="5">
        <v>4062</v>
      </c>
      <c r="B4123" s="1832">
        <f>'Acct Summary 7-8'!D10</f>
        <v>9396</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1664897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8044535</v>
      </c>
      <c r="C4136" s="2" t="s">
        <v>569</v>
      </c>
      <c r="D4136" s="2" t="str">
        <f t="shared" si="63"/>
        <v>Error?</v>
      </c>
    </row>
    <row r="4137" spans="1:4" x14ac:dyDescent="0.2">
      <c r="A4137" s="5">
        <v>4076</v>
      </c>
      <c r="B4137" s="1832">
        <f>'Acct Summary 7-8'!D19</f>
        <v>11158</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1895</v>
      </c>
    </row>
    <row r="4236" spans="1:5" x14ac:dyDescent="0.2">
      <c r="A4236" s="10">
        <v>4175</v>
      </c>
      <c r="B4236" s="1832"/>
      <c r="D4236" s="2" t="str">
        <f t="shared" si="65"/>
        <v>OK</v>
      </c>
      <c r="E4236" s="4" t="s">
        <v>1895</v>
      </c>
    </row>
    <row r="4237" spans="1:5" x14ac:dyDescent="0.2">
      <c r="A4237" s="10">
        <v>4176</v>
      </c>
      <c r="B4237" s="1832"/>
      <c r="D4237" s="2" t="str">
        <f t="shared" si="65"/>
        <v>OK</v>
      </c>
      <c r="E4237" s="4" t="s">
        <v>1895</v>
      </c>
    </row>
    <row r="4238" spans="1:5" x14ac:dyDescent="0.2">
      <c r="A4238" s="10">
        <v>4177</v>
      </c>
      <c r="B4238" s="1832"/>
      <c r="D4238" s="2" t="str">
        <f t="shared" si="65"/>
        <v>OK</v>
      </c>
      <c r="E4238" s="4" t="s">
        <v>1895</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2515284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64991</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461155</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1895</v>
      </c>
    </row>
    <row r="4400" spans="1:5" x14ac:dyDescent="0.2">
      <c r="A4400" s="10">
        <v>4339</v>
      </c>
      <c r="B4400" s="1832"/>
      <c r="D4400" s="2" t="str">
        <f t="shared" si="67"/>
        <v>OK</v>
      </c>
      <c r="E4400" s="4" t="s">
        <v>1895</v>
      </c>
    </row>
    <row r="4401" spans="1:5" x14ac:dyDescent="0.2">
      <c r="A4401" s="10">
        <v>4340</v>
      </c>
      <c r="B4401" s="1832"/>
      <c r="D4401" s="2" t="str">
        <f t="shared" si="67"/>
        <v>OK</v>
      </c>
      <c r="E4401" s="4" t="s">
        <v>1895</v>
      </c>
    </row>
    <row r="4402" spans="1:5" x14ac:dyDescent="0.2">
      <c r="A4402" s="10">
        <v>4341</v>
      </c>
      <c r="B4402" s="1832"/>
      <c r="D4402" s="2" t="str">
        <f t="shared" si="67"/>
        <v>OK</v>
      </c>
      <c r="E4402" s="4" t="s">
        <v>1895</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1248201</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2136188</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2136188</v>
      </c>
      <c r="C5087" s="2" t="s">
        <v>569</v>
      </c>
      <c r="D5087" s="2" t="str">
        <f t="shared" si="78"/>
        <v>Error?</v>
      </c>
    </row>
    <row r="5088" spans="1:4" x14ac:dyDescent="0.2">
      <c r="A5088" s="5">
        <v>5027</v>
      </c>
      <c r="B5088" s="1832">
        <f>'Revenues 9-14'!C65</f>
        <v>489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489</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237</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237</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91919</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25618</v>
      </c>
      <c r="D5119" s="2" t="str">
        <f t="shared" ref="D5119:D5182" si="79">IF(ISBLANK(B5119),"OK",IF(A5119-B5119=0,"OK","Error?"))</f>
        <v>Error?</v>
      </c>
    </row>
    <row r="5120" spans="1:4" x14ac:dyDescent="0.2">
      <c r="A5120" s="5">
        <v>5059</v>
      </c>
      <c r="B5120" s="1832">
        <f>'Revenues 9-14'!C108</f>
        <v>1365738</v>
      </c>
      <c r="C5120" s="2" t="s">
        <v>569</v>
      </c>
      <c r="D5120" s="2" t="str">
        <f t="shared" si="79"/>
        <v>Error?</v>
      </c>
    </row>
    <row r="5121" spans="1:4" x14ac:dyDescent="0.2">
      <c r="A5121" s="5">
        <v>5060</v>
      </c>
      <c r="B5121" s="1832">
        <f>'Revenues 9-14'!C109</f>
        <v>3502652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380946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380946</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587</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1895</v>
      </c>
    </row>
    <row r="5200" spans="1:5" x14ac:dyDescent="0.2">
      <c r="A5200" s="10">
        <v>5139</v>
      </c>
      <c r="B5200" s="1832"/>
      <c r="D5200" s="2" t="str">
        <f t="shared" si="80"/>
        <v>OK</v>
      </c>
      <c r="E5200" s="4" t="s">
        <v>1895</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587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381533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19495</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12828</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32323</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1895</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106767</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2831483</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2938250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1895</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3496719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3496719</v>
      </c>
      <c r="C5326" s="2" t="s">
        <v>569</v>
      </c>
      <c r="D5326" s="2" t="str">
        <f t="shared" si="82"/>
        <v>Error?</v>
      </c>
    </row>
    <row r="5327" spans="1:5" x14ac:dyDescent="0.2">
      <c r="A5327" s="5">
        <v>5266</v>
      </c>
      <c r="B5327" s="1832">
        <f>'Revenues 9-14'!C268</f>
        <v>7380904</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24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24</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9372</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9372</v>
      </c>
      <c r="C5355" s="2" t="s">
        <v>569</v>
      </c>
      <c r="D5355" s="2" t="str">
        <f t="shared" si="82"/>
        <v>Error?</v>
      </c>
    </row>
    <row r="5356" spans="1:4" x14ac:dyDescent="0.2">
      <c r="A5356" s="5">
        <v>5295</v>
      </c>
      <c r="B5356" s="1832">
        <f>'Revenues 9-14'!D109</f>
        <v>9396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1895</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9396</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1895</v>
      </c>
    </row>
    <row r="5631" spans="1:5" x14ac:dyDescent="0.2">
      <c r="A5631" s="10">
        <v>5570</v>
      </c>
      <c r="B5631" s="1832"/>
      <c r="D5631" s="2" t="str">
        <f t="shared" ref="D5631:D5694" si="87">IF(ISBLANK(B5631),"OK",IF(A5631-B5631=0,"OK","Error?"))</f>
        <v>OK</v>
      </c>
      <c r="E5631" s="4" t="s">
        <v>1895</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1895</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1895</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1895</v>
      </c>
    </row>
    <row r="5768" spans="1:5" x14ac:dyDescent="0.2">
      <c r="A5768" s="10">
        <v>5707</v>
      </c>
      <c r="B5768" s="1832"/>
      <c r="D5768" s="2" t="str">
        <f t="shared" si="89"/>
        <v>OK</v>
      </c>
      <c r="E5768" s="4" t="s">
        <v>1895</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1895</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1895</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1001266</v>
      </c>
      <c r="D6267" s="2" t="str">
        <f t="shared" si="96"/>
        <v>Error?</v>
      </c>
      <c r="E6267" s="2" t="s">
        <v>189</v>
      </c>
    </row>
    <row r="6268" spans="1:5" x14ac:dyDescent="0.2">
      <c r="A6268">
        <v>6207</v>
      </c>
      <c r="B6268" s="1832">
        <f>'Acct Summary 7-8'!D82</f>
        <v>-1762</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0.41032801127794899</v>
      </c>
      <c r="D6276" s="2" t="str">
        <f t="shared" si="97"/>
        <v>Error?</v>
      </c>
      <c r="E6276" s="2" t="s">
        <v>189</v>
      </c>
    </row>
    <row r="6277" spans="1:5" x14ac:dyDescent="0.2">
      <c r="A6277">
        <v>6216</v>
      </c>
      <c r="B6277" s="1832">
        <f>'Acct Summary 7-8'!D83</f>
        <v>-2.345455513550929E-2</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1894</v>
      </c>
    </row>
    <row r="6383" spans="1:6" x14ac:dyDescent="0.2">
      <c r="A6383" s="126">
        <v>6322</v>
      </c>
      <c r="B6383" s="1832"/>
      <c r="D6383" s="2" t="str">
        <f t="shared" si="98"/>
        <v>OK</v>
      </c>
      <c r="E6383" s="2" t="s">
        <v>189</v>
      </c>
      <c r="F6383" s="1" t="s">
        <v>1894</v>
      </c>
    </row>
    <row r="6384" spans="1:6" x14ac:dyDescent="0.2">
      <c r="A6384" s="126">
        <v>6323</v>
      </c>
      <c r="B6384" s="1832"/>
      <c r="D6384" s="2" t="str">
        <f t="shared" si="98"/>
        <v>OK</v>
      </c>
      <c r="E6384" s="2" t="s">
        <v>189</v>
      </c>
      <c r="F6384" s="1" t="s">
        <v>1894</v>
      </c>
    </row>
    <row r="6385" spans="1:6" x14ac:dyDescent="0.2">
      <c r="A6385" s="126">
        <v>6324</v>
      </c>
      <c r="B6385" s="1832"/>
      <c r="D6385" s="2" t="str">
        <f t="shared" si="98"/>
        <v>OK</v>
      </c>
      <c r="E6385" s="2" t="s">
        <v>189</v>
      </c>
      <c r="F6385" s="1" t="s">
        <v>1894</v>
      </c>
    </row>
    <row r="6386" spans="1:6" x14ac:dyDescent="0.2">
      <c r="A6386" s="126">
        <v>6325</v>
      </c>
      <c r="B6386" s="1832"/>
      <c r="D6386" s="2" t="str">
        <f t="shared" si="98"/>
        <v>OK</v>
      </c>
      <c r="E6386" s="2" t="s">
        <v>189</v>
      </c>
      <c r="F6386" s="1" t="s">
        <v>1894</v>
      </c>
    </row>
    <row r="6387" spans="1:6" x14ac:dyDescent="0.2">
      <c r="A6387" s="126">
        <v>6326</v>
      </c>
      <c r="B6387" s="1832"/>
      <c r="D6387" s="2" t="str">
        <f t="shared" si="98"/>
        <v>OK</v>
      </c>
      <c r="E6387" s="2" t="s">
        <v>189</v>
      </c>
      <c r="F6387" s="1" t="s">
        <v>1894</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1894</v>
      </c>
    </row>
    <row r="6411" spans="1:6" x14ac:dyDescent="0.2">
      <c r="A6411" s="126">
        <v>6350</v>
      </c>
      <c r="B6411" s="1832"/>
      <c r="D6411" s="2" t="str">
        <f t="shared" si="99"/>
        <v>OK</v>
      </c>
      <c r="E6411" s="2" t="s">
        <v>189</v>
      </c>
      <c r="F6411" s="1" t="s">
        <v>1894</v>
      </c>
    </row>
    <row r="6412" spans="1:6" x14ac:dyDescent="0.2">
      <c r="A6412" s="126">
        <v>6351</v>
      </c>
      <c r="B6412" s="1832"/>
      <c r="D6412" s="2" t="str">
        <f t="shared" si="99"/>
        <v>OK</v>
      </c>
      <c r="E6412" s="2" t="s">
        <v>189</v>
      </c>
      <c r="F6412" s="1" t="s">
        <v>1894</v>
      </c>
    </row>
    <row r="6413" spans="1:6" x14ac:dyDescent="0.2">
      <c r="A6413" s="126">
        <v>6352</v>
      </c>
      <c r="B6413" s="1832"/>
      <c r="D6413" s="2" t="str">
        <f t="shared" si="99"/>
        <v>OK</v>
      </c>
      <c r="E6413" s="2" t="s">
        <v>189</v>
      </c>
      <c r="F6413" s="1" t="s">
        <v>1894</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1990</v>
      </c>
    </row>
    <row r="6417" spans="1:5" x14ac:dyDescent="0.2">
      <c r="A6417" s="126">
        <v>6356</v>
      </c>
      <c r="B6417" s="1832"/>
      <c r="D6417" s="2" t="str">
        <f t="shared" si="99"/>
        <v>OK</v>
      </c>
      <c r="E6417" s="4" t="s">
        <v>1990</v>
      </c>
    </row>
    <row r="6418" spans="1:5" x14ac:dyDescent="0.2">
      <c r="A6418" s="126">
        <v>6357</v>
      </c>
      <c r="B6418" s="1832"/>
      <c r="D6418" s="2" t="str">
        <f t="shared" si="99"/>
        <v>OK</v>
      </c>
      <c r="E6418" s="4" t="s">
        <v>1990</v>
      </c>
    </row>
    <row r="6419" spans="1:5" x14ac:dyDescent="0.2">
      <c r="A6419" s="126">
        <v>6358</v>
      </c>
      <c r="B6419" s="1832"/>
      <c r="D6419" s="2" t="str">
        <f t="shared" si="99"/>
        <v>OK</v>
      </c>
      <c r="E6419" s="4" t="s">
        <v>1990</v>
      </c>
    </row>
    <row r="6420" spans="1:5" x14ac:dyDescent="0.2">
      <c r="A6420" s="126">
        <v>6359</v>
      </c>
      <c r="B6420" s="1832"/>
      <c r="D6420" s="2" t="str">
        <f t="shared" si="99"/>
        <v>OK</v>
      </c>
      <c r="E6420" s="4" t="s">
        <v>1990</v>
      </c>
    </row>
    <row r="6421" spans="1:5" x14ac:dyDescent="0.2">
      <c r="A6421" s="126">
        <v>6360</v>
      </c>
      <c r="B6421" s="1832"/>
      <c r="D6421" s="2" t="str">
        <f t="shared" si="99"/>
        <v>OK</v>
      </c>
      <c r="E6421" s="4" t="s">
        <v>1990</v>
      </c>
    </row>
    <row r="6422" spans="1:5" x14ac:dyDescent="0.2">
      <c r="A6422" s="126">
        <v>6361</v>
      </c>
      <c r="B6422" s="1832"/>
      <c r="D6422" s="2" t="str">
        <f t="shared" si="99"/>
        <v>OK</v>
      </c>
      <c r="E6422" s="4" t="s">
        <v>1990</v>
      </c>
    </row>
    <row r="6423" spans="1:5" x14ac:dyDescent="0.2">
      <c r="A6423" s="126">
        <v>6362</v>
      </c>
      <c r="B6423" s="1832"/>
      <c r="D6423" s="2" t="str">
        <f t="shared" si="99"/>
        <v>OK</v>
      </c>
      <c r="E6423" s="4" t="s">
        <v>1990</v>
      </c>
    </row>
    <row r="6424" spans="1:5" x14ac:dyDescent="0.2">
      <c r="A6424" s="126">
        <v>6363</v>
      </c>
      <c r="B6424" s="1832"/>
      <c r="D6424" s="2" t="str">
        <f t="shared" si="99"/>
        <v>OK</v>
      </c>
      <c r="E6424" s="4" t="s">
        <v>1990</v>
      </c>
    </row>
    <row r="6425" spans="1:5" x14ac:dyDescent="0.2">
      <c r="A6425" s="126">
        <v>6364</v>
      </c>
      <c r="B6425" s="1832"/>
      <c r="D6425" s="2" t="str">
        <f t="shared" si="99"/>
        <v>OK</v>
      </c>
      <c r="E6425" s="4" t="s">
        <v>1990</v>
      </c>
    </row>
    <row r="6426" spans="1:5" x14ac:dyDescent="0.2">
      <c r="A6426" s="126">
        <v>6365</v>
      </c>
      <c r="B6426" s="1832"/>
      <c r="D6426" s="2" t="str">
        <f t="shared" si="99"/>
        <v>OK</v>
      </c>
      <c r="E6426" s="4" t="s">
        <v>1990</v>
      </c>
    </row>
    <row r="6427" spans="1:5" x14ac:dyDescent="0.2">
      <c r="A6427" s="126">
        <v>6366</v>
      </c>
      <c r="B6427" s="1832"/>
      <c r="D6427" s="2" t="str">
        <f t="shared" si="99"/>
        <v>OK</v>
      </c>
      <c r="E6427" s="4" t="s">
        <v>1990</v>
      </c>
    </row>
    <row r="6428" spans="1:5" x14ac:dyDescent="0.2">
      <c r="A6428" s="126">
        <v>6367</v>
      </c>
      <c r="B6428" s="1832"/>
      <c r="D6428" s="2" t="str">
        <f t="shared" si="99"/>
        <v>OK</v>
      </c>
      <c r="E6428" s="4" t="s">
        <v>1990</v>
      </c>
    </row>
    <row r="6429" spans="1:5" x14ac:dyDescent="0.2">
      <c r="A6429" s="126">
        <v>6368</v>
      </c>
      <c r="B6429" s="1832"/>
      <c r="D6429" s="2" t="str">
        <f t="shared" si="99"/>
        <v>OK</v>
      </c>
      <c r="E6429" s="4" t="s">
        <v>1990</v>
      </c>
    </row>
    <row r="6430" spans="1:5" x14ac:dyDescent="0.2">
      <c r="A6430" s="126">
        <v>6369</v>
      </c>
      <c r="B6430" s="1832"/>
      <c r="D6430" s="2" t="str">
        <f t="shared" si="99"/>
        <v>OK</v>
      </c>
      <c r="E6430" s="4" t="s">
        <v>1990</v>
      </c>
    </row>
    <row r="6431" spans="1:5" x14ac:dyDescent="0.2">
      <c r="A6431" s="126">
        <v>6370</v>
      </c>
      <c r="B6431" s="1832"/>
      <c r="D6431" s="2" t="str">
        <f t="shared" si="99"/>
        <v>OK</v>
      </c>
      <c r="E6431" s="4" t="s">
        <v>1990</v>
      </c>
    </row>
    <row r="6432" spans="1:5" x14ac:dyDescent="0.2">
      <c r="A6432" s="126">
        <v>6371</v>
      </c>
      <c r="B6432" s="1832"/>
      <c r="D6432" s="2" t="str">
        <f t="shared" si="99"/>
        <v>OK</v>
      </c>
      <c r="E6432" s="4" t="s">
        <v>1990</v>
      </c>
    </row>
    <row r="6433" spans="1:5" x14ac:dyDescent="0.2">
      <c r="A6433" s="126">
        <v>6372</v>
      </c>
      <c r="B6433" s="1832"/>
      <c r="D6433" s="2" t="str">
        <f t="shared" si="99"/>
        <v>OK</v>
      </c>
      <c r="E6433" s="4" t="s">
        <v>1990</v>
      </c>
    </row>
    <row r="6434" spans="1:5" x14ac:dyDescent="0.2">
      <c r="A6434" s="126">
        <v>6373</v>
      </c>
      <c r="B6434" s="1832"/>
      <c r="D6434" s="2" t="str">
        <f t="shared" si="99"/>
        <v>OK</v>
      </c>
      <c r="E6434" s="4" t="s">
        <v>1990</v>
      </c>
    </row>
    <row r="6435" spans="1:5" x14ac:dyDescent="0.2">
      <c r="A6435" s="126">
        <v>6374</v>
      </c>
      <c r="B6435" s="1832"/>
      <c r="D6435" s="2" t="str">
        <f t="shared" si="99"/>
        <v>OK</v>
      </c>
      <c r="E6435" s="4" t="s">
        <v>1990</v>
      </c>
    </row>
    <row r="6436" spans="1:5" x14ac:dyDescent="0.2">
      <c r="A6436" s="126">
        <v>6375</v>
      </c>
      <c r="B6436" s="1832"/>
      <c r="D6436" s="2" t="str">
        <f t="shared" si="99"/>
        <v>OK</v>
      </c>
      <c r="E6436" s="4" t="s">
        <v>1990</v>
      </c>
    </row>
    <row r="6437" spans="1:5" x14ac:dyDescent="0.2">
      <c r="A6437" s="126">
        <v>6376</v>
      </c>
      <c r="B6437" s="1832"/>
      <c r="D6437" s="2" t="str">
        <f t="shared" si="99"/>
        <v>OK</v>
      </c>
      <c r="E6437" s="4" t="s">
        <v>1990</v>
      </c>
    </row>
    <row r="6438" spans="1:5" x14ac:dyDescent="0.2">
      <c r="A6438" s="126">
        <v>6377</v>
      </c>
      <c r="B6438" s="1832"/>
      <c r="D6438" s="2" t="str">
        <f t="shared" si="99"/>
        <v>OK</v>
      </c>
      <c r="E6438" s="4" t="s">
        <v>1990</v>
      </c>
    </row>
    <row r="6439" spans="1:5" x14ac:dyDescent="0.2">
      <c r="A6439" s="126">
        <v>6378</v>
      </c>
      <c r="B6439" s="1832"/>
      <c r="D6439" s="2" t="str">
        <f t="shared" si="99"/>
        <v>OK</v>
      </c>
      <c r="E6439" s="4" t="s">
        <v>1990</v>
      </c>
    </row>
    <row r="6440" spans="1:5" x14ac:dyDescent="0.2">
      <c r="A6440" s="126">
        <v>6379</v>
      </c>
      <c r="B6440" s="1832"/>
      <c r="D6440" s="2" t="str">
        <f t="shared" si="99"/>
        <v>OK</v>
      </c>
      <c r="E6440" s="4" t="s">
        <v>1990</v>
      </c>
    </row>
    <row r="6441" spans="1:5" x14ac:dyDescent="0.2">
      <c r="A6441" s="126">
        <v>6380</v>
      </c>
      <c r="B6441" s="1832"/>
      <c r="D6441" s="2" t="str">
        <f t="shared" si="99"/>
        <v>OK</v>
      </c>
      <c r="E6441" s="4" t="s">
        <v>1990</v>
      </c>
    </row>
    <row r="6442" spans="1:5" x14ac:dyDescent="0.2">
      <c r="A6442" s="126">
        <v>6381</v>
      </c>
      <c r="B6442" s="1832"/>
      <c r="D6442" s="2" t="str">
        <f t="shared" si="99"/>
        <v>OK</v>
      </c>
      <c r="E6442" s="4" t="s">
        <v>1990</v>
      </c>
    </row>
    <row r="6443" spans="1:5" x14ac:dyDescent="0.2">
      <c r="A6443" s="126">
        <v>6382</v>
      </c>
      <c r="B6443" s="1832"/>
      <c r="D6443" s="2" t="str">
        <f t="shared" si="99"/>
        <v>OK</v>
      </c>
      <c r="E6443" s="4" t="s">
        <v>1990</v>
      </c>
    </row>
    <row r="6444" spans="1:5" x14ac:dyDescent="0.2">
      <c r="A6444" s="126">
        <v>6383</v>
      </c>
      <c r="B6444" s="1832"/>
      <c r="D6444" s="2" t="str">
        <f t="shared" si="99"/>
        <v>OK</v>
      </c>
      <c r="E6444" s="4" t="s">
        <v>1990</v>
      </c>
    </row>
    <row r="6445" spans="1:5" x14ac:dyDescent="0.2">
      <c r="A6445" s="126">
        <v>6384</v>
      </c>
      <c r="B6445" s="1832"/>
      <c r="D6445" s="2" t="str">
        <f t="shared" si="99"/>
        <v>OK</v>
      </c>
      <c r="E6445" s="4" t="s">
        <v>1990</v>
      </c>
    </row>
    <row r="6446" spans="1:5" x14ac:dyDescent="0.2">
      <c r="A6446" s="126">
        <v>6385</v>
      </c>
      <c r="B6446" s="1832"/>
      <c r="D6446" s="2" t="str">
        <f t="shared" si="99"/>
        <v>OK</v>
      </c>
      <c r="E6446" s="4" t="s">
        <v>1990</v>
      </c>
    </row>
    <row r="6447" spans="1:5" x14ac:dyDescent="0.2">
      <c r="A6447" s="126">
        <v>6386</v>
      </c>
      <c r="B6447" s="1832"/>
      <c r="D6447" s="2" t="str">
        <f t="shared" si="99"/>
        <v>OK</v>
      </c>
      <c r="E6447" s="4" t="s">
        <v>1990</v>
      </c>
    </row>
    <row r="6448" spans="1:5" x14ac:dyDescent="0.2">
      <c r="A6448" s="126">
        <v>6387</v>
      </c>
      <c r="B6448" s="1832"/>
      <c r="D6448" s="2" t="str">
        <f t="shared" si="99"/>
        <v>OK</v>
      </c>
      <c r="E6448" s="4" t="s">
        <v>1990</v>
      </c>
    </row>
    <row r="6449" spans="1:5" x14ac:dyDescent="0.2">
      <c r="A6449" s="126">
        <v>6388</v>
      </c>
      <c r="B6449" s="1832"/>
      <c r="D6449" s="2" t="str">
        <f t="shared" si="99"/>
        <v>OK</v>
      </c>
      <c r="E6449" s="4" t="s">
        <v>1990</v>
      </c>
    </row>
    <row r="6450" spans="1:5" x14ac:dyDescent="0.2">
      <c r="A6450" s="126">
        <v>6389</v>
      </c>
      <c r="B6450" s="1832"/>
      <c r="D6450" s="2" t="str">
        <f t="shared" si="99"/>
        <v>OK</v>
      </c>
      <c r="E6450" s="4" t="s">
        <v>1990</v>
      </c>
    </row>
    <row r="6451" spans="1:5" x14ac:dyDescent="0.2">
      <c r="A6451" s="126">
        <v>6390</v>
      </c>
      <c r="B6451" s="1832"/>
      <c r="D6451" s="2" t="str">
        <f t="shared" si="99"/>
        <v>OK</v>
      </c>
      <c r="E6451" s="4" t="s">
        <v>1990</v>
      </c>
    </row>
    <row r="6452" spans="1:5" x14ac:dyDescent="0.2">
      <c r="A6452" s="126">
        <v>6391</v>
      </c>
      <c r="B6452" s="1832"/>
      <c r="D6452" s="2" t="str">
        <f t="shared" si="99"/>
        <v>OK</v>
      </c>
      <c r="E6452" s="4" t="s">
        <v>1990</v>
      </c>
    </row>
    <row r="6453" spans="1:5" x14ac:dyDescent="0.2">
      <c r="A6453" s="126">
        <v>6392</v>
      </c>
      <c r="B6453" s="1832"/>
      <c r="D6453" s="2" t="str">
        <f t="shared" si="99"/>
        <v>OK</v>
      </c>
      <c r="E6453" s="4" t="s">
        <v>1990</v>
      </c>
    </row>
    <row r="6454" spans="1:5" x14ac:dyDescent="0.2">
      <c r="A6454" s="126">
        <v>6393</v>
      </c>
      <c r="B6454" s="1832"/>
      <c r="D6454" s="2" t="str">
        <f t="shared" si="99"/>
        <v>OK</v>
      </c>
      <c r="E6454" s="4" t="s">
        <v>1990</v>
      </c>
    </row>
    <row r="6455" spans="1:5" x14ac:dyDescent="0.2">
      <c r="A6455" s="126">
        <v>6394</v>
      </c>
      <c r="B6455" s="1832"/>
      <c r="D6455" s="2" t="str">
        <f t="shared" si="99"/>
        <v>OK</v>
      </c>
      <c r="E6455" s="4" t="s">
        <v>1990</v>
      </c>
    </row>
    <row r="6456" spans="1:5" x14ac:dyDescent="0.2">
      <c r="A6456" s="126">
        <v>6395</v>
      </c>
      <c r="B6456" s="1832"/>
      <c r="D6456" s="2" t="str">
        <f t="shared" si="99"/>
        <v>OK</v>
      </c>
      <c r="E6456" s="4" t="s">
        <v>1990</v>
      </c>
    </row>
    <row r="6457" spans="1:5" x14ac:dyDescent="0.2">
      <c r="A6457" s="126">
        <v>6396</v>
      </c>
      <c r="B6457" s="1832"/>
      <c r="D6457" s="2" t="str">
        <f t="shared" si="99"/>
        <v>OK</v>
      </c>
      <c r="E6457" s="4" t="s">
        <v>1990</v>
      </c>
    </row>
    <row r="6458" spans="1:5" x14ac:dyDescent="0.2">
      <c r="A6458" s="126">
        <v>6397</v>
      </c>
      <c r="B6458" s="1832"/>
      <c r="D6458" s="2" t="str">
        <f t="shared" si="99"/>
        <v>OK</v>
      </c>
      <c r="E6458" s="4" t="s">
        <v>1990</v>
      </c>
    </row>
    <row r="6459" spans="1:5" x14ac:dyDescent="0.2">
      <c r="A6459" s="126">
        <v>6398</v>
      </c>
      <c r="B6459" s="1832"/>
      <c r="D6459" s="2" t="str">
        <f t="shared" si="99"/>
        <v>OK</v>
      </c>
      <c r="E6459" s="4" t="s">
        <v>1990</v>
      </c>
    </row>
    <row r="6460" spans="1:5" x14ac:dyDescent="0.2">
      <c r="A6460" s="126">
        <v>6399</v>
      </c>
      <c r="B6460" s="1832"/>
      <c r="D6460" s="2" t="str">
        <f t="shared" si="99"/>
        <v>OK</v>
      </c>
      <c r="E6460" s="4" t="s">
        <v>1990</v>
      </c>
    </row>
    <row r="6461" spans="1:5" x14ac:dyDescent="0.2">
      <c r="A6461" s="126">
        <v>6400</v>
      </c>
      <c r="B6461" s="1832"/>
      <c r="D6461" s="2" t="str">
        <f t="shared" si="99"/>
        <v>OK</v>
      </c>
      <c r="E6461" s="4" t="s">
        <v>1990</v>
      </c>
    </row>
    <row r="6462" spans="1:5" x14ac:dyDescent="0.2">
      <c r="A6462" s="126">
        <v>6401</v>
      </c>
      <c r="B6462" s="1832"/>
      <c r="D6462" s="2" t="str">
        <f t="shared" si="99"/>
        <v>OK</v>
      </c>
      <c r="E6462" s="4" t="s">
        <v>1990</v>
      </c>
    </row>
    <row r="6463" spans="1:5" x14ac:dyDescent="0.2">
      <c r="A6463" s="126">
        <v>6402</v>
      </c>
      <c r="B6463" s="1832"/>
      <c r="D6463" s="2" t="str">
        <f t="shared" ref="D6463:D6526" si="100">IF(ISBLANK(B6463),"OK",IF(A6463-B6463=0,"OK","Error?"))</f>
        <v>OK</v>
      </c>
      <c r="E6463" s="4" t="s">
        <v>1990</v>
      </c>
    </row>
    <row r="6464" spans="1:5" x14ac:dyDescent="0.2">
      <c r="A6464" s="126">
        <v>6403</v>
      </c>
      <c r="B6464" s="1832"/>
      <c r="D6464" s="2" t="str">
        <f t="shared" si="100"/>
        <v>OK</v>
      </c>
      <c r="E6464" s="4" t="s">
        <v>1990</v>
      </c>
    </row>
    <row r="6465" spans="1:5" x14ac:dyDescent="0.2">
      <c r="A6465" s="126">
        <v>6404</v>
      </c>
      <c r="B6465" s="1832"/>
      <c r="D6465" s="2" t="str">
        <f t="shared" si="100"/>
        <v>OK</v>
      </c>
      <c r="E6465" s="4" t="s">
        <v>1990</v>
      </c>
    </row>
    <row r="6466" spans="1:5" x14ac:dyDescent="0.2">
      <c r="A6466" s="126">
        <v>6405</v>
      </c>
      <c r="B6466" s="1832"/>
      <c r="D6466" s="2" t="str">
        <f t="shared" si="100"/>
        <v>OK</v>
      </c>
      <c r="E6466" s="4" t="s">
        <v>1990</v>
      </c>
    </row>
    <row r="6467" spans="1:5" x14ac:dyDescent="0.2">
      <c r="A6467" s="126">
        <v>6406</v>
      </c>
      <c r="B6467" s="1832"/>
      <c r="D6467" s="2" t="str">
        <f t="shared" si="100"/>
        <v>OK</v>
      </c>
      <c r="E6467" s="4" t="s">
        <v>1990</v>
      </c>
    </row>
    <row r="6468" spans="1:5" x14ac:dyDescent="0.2">
      <c r="A6468" s="126">
        <v>6407</v>
      </c>
      <c r="B6468" s="1832"/>
      <c r="D6468" s="2" t="str">
        <f t="shared" si="100"/>
        <v>OK</v>
      </c>
      <c r="E6468" s="4" t="s">
        <v>1990</v>
      </c>
    </row>
    <row r="6469" spans="1:5" x14ac:dyDescent="0.2">
      <c r="A6469" s="126">
        <v>6408</v>
      </c>
      <c r="B6469" s="1832"/>
      <c r="D6469" s="2" t="str">
        <f t="shared" si="100"/>
        <v>OK</v>
      </c>
      <c r="E6469" s="4" t="s">
        <v>1990</v>
      </c>
    </row>
    <row r="6470" spans="1:5" x14ac:dyDescent="0.2">
      <c r="A6470" s="126">
        <v>6409</v>
      </c>
      <c r="B6470" s="1832"/>
      <c r="D6470" s="2" t="str">
        <f t="shared" si="100"/>
        <v>OK</v>
      </c>
      <c r="E6470" s="4" t="s">
        <v>1990</v>
      </c>
    </row>
    <row r="6471" spans="1:5" x14ac:dyDescent="0.2">
      <c r="A6471" s="126">
        <v>6410</v>
      </c>
      <c r="B6471" s="1832"/>
      <c r="D6471" s="2" t="str">
        <f t="shared" si="100"/>
        <v>OK</v>
      </c>
      <c r="E6471" s="4" t="s">
        <v>1990</v>
      </c>
    </row>
    <row r="6472" spans="1:5" x14ac:dyDescent="0.2">
      <c r="A6472" s="126">
        <v>6411</v>
      </c>
      <c r="B6472" s="1832"/>
      <c r="D6472" s="2" t="str">
        <f t="shared" si="100"/>
        <v>OK</v>
      </c>
      <c r="E6472" s="4" t="s">
        <v>1990</v>
      </c>
    </row>
    <row r="6473" spans="1:5" x14ac:dyDescent="0.2">
      <c r="A6473" s="126">
        <v>6412</v>
      </c>
      <c r="B6473" s="1832"/>
      <c r="D6473" s="2" t="str">
        <f t="shared" si="100"/>
        <v>OK</v>
      </c>
      <c r="E6473" s="4" t="s">
        <v>1990</v>
      </c>
    </row>
    <row r="6474" spans="1:5" x14ac:dyDescent="0.2">
      <c r="A6474" s="126">
        <v>6413</v>
      </c>
      <c r="B6474" s="1832"/>
      <c r="D6474" s="2" t="str">
        <f t="shared" si="100"/>
        <v>OK</v>
      </c>
      <c r="E6474" s="4" t="s">
        <v>1990</v>
      </c>
    </row>
    <row r="6475" spans="1:5" x14ac:dyDescent="0.2">
      <c r="A6475" s="126">
        <v>6414</v>
      </c>
      <c r="B6475" s="1832"/>
      <c r="D6475" s="2" t="str">
        <f t="shared" si="100"/>
        <v>OK</v>
      </c>
      <c r="E6475" s="4" t="s">
        <v>1990</v>
      </c>
    </row>
    <row r="6476" spans="1:5" x14ac:dyDescent="0.2">
      <c r="A6476" s="126">
        <v>6415</v>
      </c>
      <c r="B6476" s="1832"/>
      <c r="D6476" s="2" t="str">
        <f t="shared" si="100"/>
        <v>OK</v>
      </c>
      <c r="E6476" s="4" t="s">
        <v>1990</v>
      </c>
    </row>
    <row r="6477" spans="1:5" x14ac:dyDescent="0.2">
      <c r="A6477" s="126">
        <v>6416</v>
      </c>
      <c r="B6477" s="1832"/>
      <c r="D6477" s="2" t="str">
        <f t="shared" si="100"/>
        <v>OK</v>
      </c>
      <c r="E6477" s="4" t="s">
        <v>1990</v>
      </c>
    </row>
    <row r="6478" spans="1:5" x14ac:dyDescent="0.2">
      <c r="A6478" s="126">
        <v>6417</v>
      </c>
      <c r="B6478" s="1832"/>
      <c r="D6478" s="2" t="str">
        <f t="shared" si="100"/>
        <v>OK</v>
      </c>
      <c r="E6478" s="4" t="s">
        <v>1990</v>
      </c>
    </row>
    <row r="6479" spans="1:5" x14ac:dyDescent="0.2">
      <c r="A6479" s="126">
        <v>6418</v>
      </c>
      <c r="B6479" s="1832"/>
      <c r="D6479" s="2" t="str">
        <f t="shared" si="100"/>
        <v>OK</v>
      </c>
      <c r="E6479" s="4" t="s">
        <v>1990</v>
      </c>
    </row>
    <row r="6480" spans="1:5" x14ac:dyDescent="0.2">
      <c r="A6480" s="126">
        <v>6419</v>
      </c>
      <c r="B6480" s="1832"/>
      <c r="D6480" s="2" t="str">
        <f t="shared" si="100"/>
        <v>OK</v>
      </c>
      <c r="E6480" s="4" t="s">
        <v>1990</v>
      </c>
    </row>
    <row r="6481" spans="1:5" x14ac:dyDescent="0.2">
      <c r="A6481" s="126">
        <v>6420</v>
      </c>
      <c r="B6481" s="1832"/>
      <c r="D6481" s="2" t="str">
        <f t="shared" si="100"/>
        <v>OK</v>
      </c>
      <c r="E6481" s="4" t="s">
        <v>1990</v>
      </c>
    </row>
    <row r="6482" spans="1:5" x14ac:dyDescent="0.2">
      <c r="A6482" s="126">
        <v>6421</v>
      </c>
      <c r="B6482" s="1832"/>
      <c r="D6482" s="2" t="str">
        <f t="shared" si="100"/>
        <v>OK</v>
      </c>
      <c r="E6482" s="4" t="s">
        <v>1990</v>
      </c>
    </row>
    <row r="6483" spans="1:5" x14ac:dyDescent="0.2">
      <c r="A6483" s="126">
        <v>6422</v>
      </c>
      <c r="B6483" s="1832"/>
      <c r="D6483" s="2" t="str">
        <f t="shared" si="100"/>
        <v>OK</v>
      </c>
      <c r="E6483" s="4" t="s">
        <v>1990</v>
      </c>
    </row>
    <row r="6484" spans="1:5" x14ac:dyDescent="0.2">
      <c r="A6484" s="126">
        <v>6423</v>
      </c>
      <c r="B6484" s="1832"/>
      <c r="D6484" s="2" t="str">
        <f t="shared" si="100"/>
        <v>OK</v>
      </c>
      <c r="E6484" s="4" t="s">
        <v>1990</v>
      </c>
    </row>
    <row r="6485" spans="1:5" x14ac:dyDescent="0.2">
      <c r="A6485" s="126">
        <v>6424</v>
      </c>
      <c r="B6485" s="1832"/>
      <c r="D6485" s="2" t="str">
        <f t="shared" si="100"/>
        <v>OK</v>
      </c>
      <c r="E6485" s="4" t="s">
        <v>1990</v>
      </c>
    </row>
    <row r="6486" spans="1:5" x14ac:dyDescent="0.2">
      <c r="A6486" s="126">
        <v>6425</v>
      </c>
      <c r="B6486" s="1832"/>
      <c r="D6486" s="2" t="str">
        <f t="shared" si="100"/>
        <v>OK</v>
      </c>
      <c r="E6486" s="4" t="s">
        <v>1990</v>
      </c>
    </row>
    <row r="6487" spans="1:5" x14ac:dyDescent="0.2">
      <c r="A6487" s="126">
        <v>6426</v>
      </c>
      <c r="B6487" s="1832"/>
      <c r="D6487" s="2" t="str">
        <f t="shared" si="100"/>
        <v>OK</v>
      </c>
      <c r="E6487" s="4" t="s">
        <v>1990</v>
      </c>
    </row>
    <row r="6488" spans="1:5" x14ac:dyDescent="0.2">
      <c r="A6488" s="126">
        <v>6427</v>
      </c>
      <c r="B6488" s="1832"/>
      <c r="D6488" s="2" t="str">
        <f t="shared" si="100"/>
        <v>OK</v>
      </c>
      <c r="E6488" s="4" t="s">
        <v>1990</v>
      </c>
    </row>
    <row r="6489" spans="1:5" x14ac:dyDescent="0.2">
      <c r="A6489" s="126">
        <v>6428</v>
      </c>
      <c r="B6489" s="1832"/>
      <c r="D6489" s="2" t="str">
        <f t="shared" si="100"/>
        <v>OK</v>
      </c>
      <c r="E6489" s="4" t="s">
        <v>1990</v>
      </c>
    </row>
    <row r="6490" spans="1:5" x14ac:dyDescent="0.2">
      <c r="A6490" s="126">
        <v>6429</v>
      </c>
      <c r="B6490" s="1832"/>
      <c r="D6490" s="2" t="str">
        <f t="shared" si="100"/>
        <v>OK</v>
      </c>
      <c r="E6490" s="4" t="s">
        <v>1990</v>
      </c>
    </row>
    <row r="6491" spans="1:5" x14ac:dyDescent="0.2">
      <c r="A6491" s="126">
        <v>6430</v>
      </c>
      <c r="B6491" s="1832"/>
      <c r="D6491" s="2" t="str">
        <f t="shared" si="100"/>
        <v>OK</v>
      </c>
      <c r="E6491" s="4" t="s">
        <v>1990</v>
      </c>
    </row>
    <row r="6492" spans="1:5" x14ac:dyDescent="0.2">
      <c r="A6492" s="126">
        <v>6431</v>
      </c>
      <c r="B6492" s="1832"/>
      <c r="D6492" s="2" t="str">
        <f t="shared" si="100"/>
        <v>OK</v>
      </c>
      <c r="E6492" s="4" t="s">
        <v>1990</v>
      </c>
    </row>
    <row r="6493" spans="1:5" x14ac:dyDescent="0.2">
      <c r="A6493" s="126">
        <v>6432</v>
      </c>
      <c r="B6493" s="1832"/>
      <c r="D6493" s="2" t="str">
        <f t="shared" si="100"/>
        <v>OK</v>
      </c>
      <c r="E6493" s="4" t="s">
        <v>1990</v>
      </c>
    </row>
    <row r="6494" spans="1:5" x14ac:dyDescent="0.2">
      <c r="A6494" s="126">
        <v>6433</v>
      </c>
      <c r="B6494" s="1832"/>
      <c r="D6494" s="2" t="str">
        <f t="shared" si="100"/>
        <v>OK</v>
      </c>
      <c r="E6494" s="4" t="s">
        <v>1990</v>
      </c>
    </row>
    <row r="6495" spans="1:5" x14ac:dyDescent="0.2">
      <c r="A6495" s="126">
        <v>6434</v>
      </c>
      <c r="B6495" s="1832"/>
      <c r="D6495" s="2" t="str">
        <f t="shared" si="100"/>
        <v>OK</v>
      </c>
      <c r="E6495" s="4" t="s">
        <v>1990</v>
      </c>
    </row>
    <row r="6496" spans="1:5" x14ac:dyDescent="0.2">
      <c r="A6496" s="126">
        <v>6435</v>
      </c>
      <c r="B6496" s="1832"/>
      <c r="D6496" s="2" t="str">
        <f t="shared" si="100"/>
        <v>OK</v>
      </c>
      <c r="E6496" s="4" t="s">
        <v>1990</v>
      </c>
    </row>
    <row r="6497" spans="1:5" x14ac:dyDescent="0.2">
      <c r="A6497" s="126">
        <v>6436</v>
      </c>
      <c r="B6497" s="1832"/>
      <c r="D6497" s="2" t="str">
        <f t="shared" si="100"/>
        <v>OK</v>
      </c>
      <c r="E6497" s="4" t="s">
        <v>1990</v>
      </c>
    </row>
    <row r="6498" spans="1:5" x14ac:dyDescent="0.2">
      <c r="A6498" s="126">
        <v>6437</v>
      </c>
      <c r="B6498" s="1832"/>
      <c r="D6498" s="2" t="str">
        <f t="shared" si="100"/>
        <v>OK</v>
      </c>
      <c r="E6498" s="4" t="s">
        <v>1990</v>
      </c>
    </row>
    <row r="6499" spans="1:5" x14ac:dyDescent="0.2">
      <c r="A6499" s="126">
        <v>6438</v>
      </c>
      <c r="B6499" s="1832"/>
      <c r="D6499" s="2" t="str">
        <f t="shared" si="100"/>
        <v>OK</v>
      </c>
      <c r="E6499" s="4" t="s">
        <v>1990</v>
      </c>
    </row>
    <row r="6500" spans="1:5" x14ac:dyDescent="0.2">
      <c r="A6500" s="126">
        <v>6439</v>
      </c>
      <c r="B6500" s="1832"/>
      <c r="D6500" s="2" t="str">
        <f t="shared" si="100"/>
        <v>OK</v>
      </c>
      <c r="E6500" s="4" t="s">
        <v>1990</v>
      </c>
    </row>
    <row r="6501" spans="1:5" x14ac:dyDescent="0.2">
      <c r="A6501" s="126">
        <v>6440</v>
      </c>
      <c r="B6501" s="1832"/>
      <c r="D6501" s="2" t="str">
        <f t="shared" si="100"/>
        <v>OK</v>
      </c>
      <c r="E6501" s="4" t="s">
        <v>1990</v>
      </c>
    </row>
    <row r="6502" spans="1:5" x14ac:dyDescent="0.2">
      <c r="A6502" s="126">
        <v>6441</v>
      </c>
      <c r="B6502" s="1832"/>
      <c r="D6502" s="2" t="str">
        <f t="shared" si="100"/>
        <v>OK</v>
      </c>
      <c r="E6502" s="4" t="s">
        <v>1990</v>
      </c>
    </row>
    <row r="6503" spans="1:5" x14ac:dyDescent="0.2">
      <c r="A6503" s="126">
        <v>6442</v>
      </c>
      <c r="B6503" s="1832"/>
      <c r="D6503" s="2" t="str">
        <f t="shared" si="100"/>
        <v>OK</v>
      </c>
      <c r="E6503" s="4" t="s">
        <v>1990</v>
      </c>
    </row>
    <row r="6504" spans="1:5" x14ac:dyDescent="0.2">
      <c r="A6504" s="126">
        <v>6443</v>
      </c>
      <c r="B6504" s="1832"/>
      <c r="D6504" s="2" t="str">
        <f t="shared" si="100"/>
        <v>OK</v>
      </c>
      <c r="E6504" s="4" t="s">
        <v>1990</v>
      </c>
    </row>
    <row r="6505" spans="1:5" x14ac:dyDescent="0.2">
      <c r="A6505" s="126">
        <v>6444</v>
      </c>
      <c r="B6505" s="1832"/>
      <c r="D6505" s="2" t="str">
        <f t="shared" si="100"/>
        <v>OK</v>
      </c>
      <c r="E6505" s="4" t="s">
        <v>1990</v>
      </c>
    </row>
    <row r="6506" spans="1:5" x14ac:dyDescent="0.2">
      <c r="A6506" s="126">
        <v>6445</v>
      </c>
      <c r="B6506" s="1832"/>
      <c r="D6506" s="2" t="str">
        <f t="shared" si="100"/>
        <v>OK</v>
      </c>
      <c r="E6506" s="4" t="s">
        <v>1990</v>
      </c>
    </row>
    <row r="6507" spans="1:5" x14ac:dyDescent="0.2">
      <c r="A6507" s="126">
        <v>6446</v>
      </c>
      <c r="B6507" s="1832"/>
      <c r="D6507" s="2" t="str">
        <f t="shared" si="100"/>
        <v>OK</v>
      </c>
      <c r="E6507" s="4" t="s">
        <v>1990</v>
      </c>
    </row>
    <row r="6508" spans="1:5" x14ac:dyDescent="0.2">
      <c r="A6508" s="126">
        <v>6447</v>
      </c>
      <c r="B6508" s="1832"/>
      <c r="D6508" s="2" t="str">
        <f t="shared" si="100"/>
        <v>OK</v>
      </c>
      <c r="E6508" s="4" t="s">
        <v>1990</v>
      </c>
    </row>
    <row r="6509" spans="1:5" x14ac:dyDescent="0.2">
      <c r="A6509" s="126">
        <v>6448</v>
      </c>
      <c r="B6509" s="1832"/>
      <c r="D6509" s="2" t="str">
        <f t="shared" si="100"/>
        <v>OK</v>
      </c>
      <c r="E6509" s="4" t="s">
        <v>1990</v>
      </c>
    </row>
    <row r="6510" spans="1:5" x14ac:dyDescent="0.2">
      <c r="A6510" s="126">
        <v>6449</v>
      </c>
      <c r="B6510" s="1832"/>
      <c r="D6510" s="2" t="str">
        <f t="shared" si="100"/>
        <v>OK</v>
      </c>
      <c r="E6510" s="4" t="s">
        <v>1990</v>
      </c>
    </row>
    <row r="6511" spans="1:5" x14ac:dyDescent="0.2">
      <c r="A6511" s="126">
        <v>6450</v>
      </c>
      <c r="B6511" s="1832"/>
      <c r="D6511" s="2" t="str">
        <f t="shared" si="100"/>
        <v>OK</v>
      </c>
      <c r="E6511" s="4" t="s">
        <v>1990</v>
      </c>
    </row>
    <row r="6512" spans="1:5" x14ac:dyDescent="0.2">
      <c r="A6512" s="126">
        <v>6451</v>
      </c>
      <c r="B6512" s="1832"/>
      <c r="D6512" s="2" t="str">
        <f t="shared" si="100"/>
        <v>OK</v>
      </c>
      <c r="E6512" s="4" t="s">
        <v>1990</v>
      </c>
    </row>
    <row r="6513" spans="1:5" x14ac:dyDescent="0.2">
      <c r="A6513" s="126">
        <v>6452</v>
      </c>
      <c r="B6513" s="1832"/>
      <c r="D6513" s="2" t="str">
        <f t="shared" si="100"/>
        <v>OK</v>
      </c>
      <c r="E6513" s="4" t="s">
        <v>1990</v>
      </c>
    </row>
    <row r="6514" spans="1:5" x14ac:dyDescent="0.2">
      <c r="A6514" s="126">
        <v>6453</v>
      </c>
      <c r="B6514" s="1832"/>
      <c r="D6514" s="2" t="str">
        <f t="shared" si="100"/>
        <v>OK</v>
      </c>
      <c r="E6514" s="4" t="s">
        <v>1990</v>
      </c>
    </row>
    <row r="6515" spans="1:5" x14ac:dyDescent="0.2">
      <c r="A6515" s="126">
        <v>6454</v>
      </c>
      <c r="B6515" s="1832"/>
      <c r="D6515" s="2" t="str">
        <f t="shared" si="100"/>
        <v>OK</v>
      </c>
      <c r="E6515" s="4" t="s">
        <v>1990</v>
      </c>
    </row>
    <row r="6516" spans="1:5" x14ac:dyDescent="0.2">
      <c r="A6516" s="126">
        <v>6455</v>
      </c>
      <c r="B6516" s="1832"/>
      <c r="D6516" s="2" t="str">
        <f t="shared" si="100"/>
        <v>OK</v>
      </c>
      <c r="E6516" s="4" t="s">
        <v>1990</v>
      </c>
    </row>
    <row r="6517" spans="1:5" x14ac:dyDescent="0.2">
      <c r="A6517" s="126">
        <v>6456</v>
      </c>
      <c r="B6517" s="1832"/>
      <c r="D6517" s="2" t="str">
        <f t="shared" si="100"/>
        <v>OK</v>
      </c>
      <c r="E6517" s="4" t="s">
        <v>1990</v>
      </c>
    </row>
    <row r="6518" spans="1:5" x14ac:dyDescent="0.2">
      <c r="A6518" s="126">
        <v>6457</v>
      </c>
      <c r="B6518" s="1832"/>
      <c r="D6518" s="2" t="str">
        <f t="shared" si="100"/>
        <v>OK</v>
      </c>
      <c r="E6518" s="4" t="s">
        <v>1990</v>
      </c>
    </row>
    <row r="6519" spans="1:5" x14ac:dyDescent="0.2">
      <c r="A6519" s="126">
        <v>6458</v>
      </c>
      <c r="B6519" s="1832"/>
      <c r="D6519" s="2" t="str">
        <f t="shared" si="100"/>
        <v>OK</v>
      </c>
      <c r="E6519" s="4" t="s">
        <v>1990</v>
      </c>
    </row>
    <row r="6520" spans="1:5" x14ac:dyDescent="0.2">
      <c r="A6520" s="126">
        <v>6459</v>
      </c>
      <c r="B6520" s="1832"/>
      <c r="D6520" s="2" t="str">
        <f t="shared" si="100"/>
        <v>OK</v>
      </c>
      <c r="E6520" s="4" t="s">
        <v>1990</v>
      </c>
    </row>
    <row r="6521" spans="1:5" x14ac:dyDescent="0.2">
      <c r="A6521" s="126">
        <v>6460</v>
      </c>
      <c r="B6521" s="1832"/>
      <c r="D6521" s="2" t="str">
        <f t="shared" si="100"/>
        <v>OK</v>
      </c>
      <c r="E6521" s="4" t="s">
        <v>1990</v>
      </c>
    </row>
    <row r="6522" spans="1:5" x14ac:dyDescent="0.2">
      <c r="A6522" s="126">
        <v>6461</v>
      </c>
      <c r="B6522" s="1832"/>
      <c r="D6522" s="2" t="str">
        <f t="shared" si="100"/>
        <v>OK</v>
      </c>
      <c r="E6522" s="4" t="s">
        <v>1990</v>
      </c>
    </row>
    <row r="6523" spans="1:5" x14ac:dyDescent="0.2">
      <c r="A6523" s="126">
        <v>6462</v>
      </c>
      <c r="B6523" s="1832"/>
      <c r="D6523" s="2" t="str">
        <f t="shared" si="100"/>
        <v>OK</v>
      </c>
      <c r="E6523" s="4" t="s">
        <v>1990</v>
      </c>
    </row>
    <row r="6524" spans="1:5" x14ac:dyDescent="0.2">
      <c r="A6524" s="126">
        <v>6463</v>
      </c>
      <c r="B6524" s="1832"/>
      <c r="D6524" s="2" t="str">
        <f t="shared" si="100"/>
        <v>OK</v>
      </c>
      <c r="E6524" s="4" t="s">
        <v>1990</v>
      </c>
    </row>
    <row r="6525" spans="1:5" x14ac:dyDescent="0.2">
      <c r="A6525" s="126">
        <v>6464</v>
      </c>
      <c r="B6525" s="1832"/>
      <c r="D6525" s="2" t="str">
        <f t="shared" si="100"/>
        <v>OK</v>
      </c>
      <c r="E6525" s="4" t="s">
        <v>1990</v>
      </c>
    </row>
    <row r="6526" spans="1:5" x14ac:dyDescent="0.2">
      <c r="A6526" s="126">
        <v>6465</v>
      </c>
      <c r="B6526" s="1832"/>
      <c r="D6526" s="2" t="str">
        <f t="shared" si="100"/>
        <v>OK</v>
      </c>
      <c r="E6526" s="4" t="s">
        <v>1990</v>
      </c>
    </row>
    <row r="6527" spans="1:5" x14ac:dyDescent="0.2">
      <c r="A6527" s="126">
        <v>6466</v>
      </c>
      <c r="B6527" s="1832"/>
      <c r="D6527" s="2" t="str">
        <f t="shared" ref="D6527:D6590" si="101">IF(ISBLANK(B6527),"OK",IF(A6527-B6527=0,"OK","Error?"))</f>
        <v>OK</v>
      </c>
      <c r="E6527" s="4" t="s">
        <v>1990</v>
      </c>
    </row>
    <row r="6528" spans="1:5" x14ac:dyDescent="0.2">
      <c r="A6528" s="126">
        <v>6467</v>
      </c>
      <c r="B6528" s="1832"/>
      <c r="D6528" s="2" t="str">
        <f t="shared" si="101"/>
        <v>OK</v>
      </c>
      <c r="E6528" s="4" t="s">
        <v>1990</v>
      </c>
    </row>
    <row r="6529" spans="1:5" x14ac:dyDescent="0.2">
      <c r="A6529" s="126">
        <v>6468</v>
      </c>
      <c r="B6529" s="1832"/>
      <c r="D6529" s="2" t="str">
        <f t="shared" si="101"/>
        <v>OK</v>
      </c>
      <c r="E6529" s="4" t="s">
        <v>1990</v>
      </c>
    </row>
    <row r="6530" spans="1:5" x14ac:dyDescent="0.2">
      <c r="A6530" s="126">
        <v>6469</v>
      </c>
      <c r="B6530" s="1832"/>
      <c r="D6530" s="2" t="str">
        <f t="shared" si="101"/>
        <v>OK</v>
      </c>
      <c r="E6530" s="4" t="s">
        <v>1990</v>
      </c>
    </row>
    <row r="6531" spans="1:5" x14ac:dyDescent="0.2">
      <c r="A6531" s="126">
        <v>6470</v>
      </c>
      <c r="B6531" s="1832"/>
      <c r="D6531" s="2" t="str">
        <f t="shared" si="101"/>
        <v>OK</v>
      </c>
      <c r="E6531" s="4" t="s">
        <v>1990</v>
      </c>
    </row>
    <row r="6532" spans="1:5" x14ac:dyDescent="0.2">
      <c r="A6532" s="126">
        <v>6471</v>
      </c>
      <c r="B6532" s="1832"/>
      <c r="D6532" s="2" t="str">
        <f t="shared" si="101"/>
        <v>OK</v>
      </c>
      <c r="E6532" s="4" t="s">
        <v>1990</v>
      </c>
    </row>
    <row r="6533" spans="1:5" x14ac:dyDescent="0.2">
      <c r="A6533" s="126">
        <v>6472</v>
      </c>
      <c r="B6533" s="1832"/>
      <c r="D6533" s="2" t="str">
        <f t="shared" si="101"/>
        <v>OK</v>
      </c>
      <c r="E6533" s="4" t="s">
        <v>1990</v>
      </c>
    </row>
    <row r="6534" spans="1:5" x14ac:dyDescent="0.2">
      <c r="A6534" s="126">
        <v>6473</v>
      </c>
      <c r="B6534" s="1832"/>
      <c r="D6534" s="2" t="str">
        <f t="shared" si="101"/>
        <v>OK</v>
      </c>
      <c r="E6534" s="4" t="s">
        <v>1990</v>
      </c>
    </row>
    <row r="6535" spans="1:5" x14ac:dyDescent="0.2">
      <c r="A6535" s="126">
        <v>6474</v>
      </c>
      <c r="B6535" s="1832"/>
      <c r="D6535" s="2" t="str">
        <f t="shared" si="101"/>
        <v>OK</v>
      </c>
      <c r="E6535" s="4" t="s">
        <v>1990</v>
      </c>
    </row>
    <row r="6536" spans="1:5" x14ac:dyDescent="0.2">
      <c r="A6536" s="126">
        <v>6475</v>
      </c>
      <c r="B6536" s="1832"/>
      <c r="D6536" s="2" t="str">
        <f t="shared" si="101"/>
        <v>OK</v>
      </c>
      <c r="E6536" s="4" t="s">
        <v>1990</v>
      </c>
    </row>
    <row r="6537" spans="1:5" x14ac:dyDescent="0.2">
      <c r="A6537" s="126">
        <v>6476</v>
      </c>
      <c r="B6537" s="1832"/>
      <c r="D6537" s="2" t="str">
        <f t="shared" si="101"/>
        <v>OK</v>
      </c>
      <c r="E6537" s="4" t="s">
        <v>1990</v>
      </c>
    </row>
    <row r="6538" spans="1:5" x14ac:dyDescent="0.2">
      <c r="A6538" s="126">
        <v>6477</v>
      </c>
      <c r="B6538" s="1832"/>
      <c r="D6538" s="2" t="str">
        <f t="shared" si="101"/>
        <v>OK</v>
      </c>
      <c r="E6538" s="4" t="s">
        <v>1990</v>
      </c>
    </row>
    <row r="6539" spans="1:5" x14ac:dyDescent="0.2">
      <c r="A6539" s="126">
        <v>6478</v>
      </c>
      <c r="B6539" s="1832"/>
      <c r="D6539" s="2" t="str">
        <f t="shared" si="101"/>
        <v>OK</v>
      </c>
      <c r="E6539" s="4" t="s">
        <v>1990</v>
      </c>
    </row>
    <row r="6540" spans="1:5" x14ac:dyDescent="0.2">
      <c r="A6540" s="126">
        <v>6479</v>
      </c>
      <c r="B6540" s="1832"/>
      <c r="D6540" s="2" t="str">
        <f t="shared" si="101"/>
        <v>OK</v>
      </c>
      <c r="E6540" s="4" t="s">
        <v>1990</v>
      </c>
    </row>
    <row r="6541" spans="1:5" x14ac:dyDescent="0.2">
      <c r="A6541" s="126">
        <v>6480</v>
      </c>
      <c r="B6541" s="1832"/>
      <c r="D6541" s="2" t="str">
        <f t="shared" si="101"/>
        <v>OK</v>
      </c>
      <c r="E6541" s="4" t="s">
        <v>1990</v>
      </c>
    </row>
    <row r="6542" spans="1:5" x14ac:dyDescent="0.2">
      <c r="A6542" s="126">
        <v>6481</v>
      </c>
      <c r="B6542" s="1832"/>
      <c r="D6542" s="2" t="str">
        <f t="shared" si="101"/>
        <v>OK</v>
      </c>
      <c r="E6542" s="4" t="s">
        <v>1990</v>
      </c>
    </row>
    <row r="6543" spans="1:5" x14ac:dyDescent="0.2">
      <c r="A6543" s="126">
        <v>6482</v>
      </c>
      <c r="B6543" s="1832"/>
      <c r="D6543" s="2" t="str">
        <f t="shared" si="101"/>
        <v>OK</v>
      </c>
      <c r="E6543" s="4" t="s">
        <v>1990</v>
      </c>
    </row>
    <row r="6544" spans="1:5" x14ac:dyDescent="0.2">
      <c r="A6544" s="126">
        <v>6483</v>
      </c>
      <c r="B6544" s="1832"/>
      <c r="D6544" s="2" t="str">
        <f t="shared" si="101"/>
        <v>OK</v>
      </c>
      <c r="E6544" s="4" t="s">
        <v>1990</v>
      </c>
    </row>
    <row r="6545" spans="1:5" x14ac:dyDescent="0.2">
      <c r="A6545" s="126">
        <v>6484</v>
      </c>
      <c r="B6545" s="1832"/>
      <c r="D6545" s="2" t="str">
        <f t="shared" si="101"/>
        <v>OK</v>
      </c>
      <c r="E6545" s="4" t="s">
        <v>1990</v>
      </c>
    </row>
    <row r="6546" spans="1:5" x14ac:dyDescent="0.2">
      <c r="A6546" s="126">
        <v>6485</v>
      </c>
      <c r="B6546" s="1832"/>
      <c r="D6546" s="2" t="str">
        <f t="shared" si="101"/>
        <v>OK</v>
      </c>
      <c r="E6546" s="4" t="s">
        <v>1990</v>
      </c>
    </row>
    <row r="6547" spans="1:5" x14ac:dyDescent="0.2">
      <c r="A6547" s="126">
        <v>6486</v>
      </c>
      <c r="B6547" s="1832"/>
      <c r="D6547" s="2" t="str">
        <f t="shared" si="101"/>
        <v>OK</v>
      </c>
      <c r="E6547" s="4" t="s">
        <v>1990</v>
      </c>
    </row>
    <row r="6548" spans="1:5" x14ac:dyDescent="0.2">
      <c r="A6548" s="126">
        <v>6487</v>
      </c>
      <c r="B6548" s="1832"/>
      <c r="D6548" s="2" t="str">
        <f t="shared" si="101"/>
        <v>OK</v>
      </c>
      <c r="E6548" s="4" t="s">
        <v>1990</v>
      </c>
    </row>
    <row r="6549" spans="1:5" x14ac:dyDescent="0.2">
      <c r="A6549" s="126">
        <v>6488</v>
      </c>
      <c r="B6549" s="1832"/>
      <c r="D6549" s="2" t="str">
        <f t="shared" si="101"/>
        <v>OK</v>
      </c>
      <c r="E6549" s="4" t="s">
        <v>1990</v>
      </c>
    </row>
    <row r="6550" spans="1:5" x14ac:dyDescent="0.2">
      <c r="A6550" s="126">
        <v>6489</v>
      </c>
      <c r="B6550" s="1832"/>
      <c r="D6550" s="2" t="str">
        <f t="shared" si="101"/>
        <v>OK</v>
      </c>
      <c r="E6550" s="4" t="s">
        <v>1990</v>
      </c>
    </row>
    <row r="6551" spans="1:5" x14ac:dyDescent="0.2">
      <c r="A6551" s="126">
        <v>6490</v>
      </c>
      <c r="B6551" s="1832"/>
      <c r="D6551" s="2" t="str">
        <f t="shared" si="101"/>
        <v>OK</v>
      </c>
      <c r="E6551" s="4" t="s">
        <v>1990</v>
      </c>
    </row>
    <row r="6552" spans="1:5" x14ac:dyDescent="0.2">
      <c r="A6552" s="126">
        <v>6491</v>
      </c>
      <c r="B6552" s="1832"/>
      <c r="D6552" s="2" t="str">
        <f t="shared" si="101"/>
        <v>OK</v>
      </c>
      <c r="E6552" s="4" t="s">
        <v>1990</v>
      </c>
    </row>
    <row r="6553" spans="1:5" x14ac:dyDescent="0.2">
      <c r="A6553" s="126">
        <v>6492</v>
      </c>
      <c r="B6553" s="1832"/>
      <c r="D6553" s="2" t="str">
        <f t="shared" si="101"/>
        <v>OK</v>
      </c>
      <c r="E6553" s="4" t="s">
        <v>1990</v>
      </c>
    </row>
    <row r="6554" spans="1:5" x14ac:dyDescent="0.2">
      <c r="A6554" s="126">
        <v>6493</v>
      </c>
      <c r="B6554" s="1832"/>
      <c r="D6554" s="2" t="str">
        <f t="shared" si="101"/>
        <v>OK</v>
      </c>
      <c r="E6554" s="4" t="s">
        <v>1990</v>
      </c>
    </row>
    <row r="6555" spans="1:5" x14ac:dyDescent="0.2">
      <c r="A6555" s="126">
        <v>6494</v>
      </c>
      <c r="B6555" s="1832"/>
      <c r="D6555" s="2" t="str">
        <f t="shared" si="101"/>
        <v>OK</v>
      </c>
      <c r="E6555" s="4" t="s">
        <v>1990</v>
      </c>
    </row>
    <row r="6556" spans="1:5" x14ac:dyDescent="0.2">
      <c r="A6556" s="126">
        <v>6495</v>
      </c>
      <c r="B6556" s="1832"/>
      <c r="D6556" s="2" t="str">
        <f t="shared" si="101"/>
        <v>OK</v>
      </c>
      <c r="E6556" s="4" t="s">
        <v>1990</v>
      </c>
    </row>
    <row r="6557" spans="1:5" x14ac:dyDescent="0.2">
      <c r="A6557" s="126">
        <v>6496</v>
      </c>
      <c r="B6557" s="1832"/>
      <c r="D6557" s="2" t="str">
        <f t="shared" si="101"/>
        <v>OK</v>
      </c>
      <c r="E6557" s="4" t="s">
        <v>1990</v>
      </c>
    </row>
    <row r="6558" spans="1:5" x14ac:dyDescent="0.2">
      <c r="A6558" s="126">
        <v>6497</v>
      </c>
      <c r="B6558" s="1832"/>
      <c r="D6558" s="2" t="str">
        <f t="shared" si="101"/>
        <v>OK</v>
      </c>
      <c r="E6558" s="4" t="s">
        <v>1990</v>
      </c>
    </row>
    <row r="6559" spans="1:5" x14ac:dyDescent="0.2">
      <c r="A6559" s="126">
        <v>6498</v>
      </c>
      <c r="B6559" s="1832"/>
      <c r="D6559" s="2" t="str">
        <f t="shared" si="101"/>
        <v>OK</v>
      </c>
      <c r="E6559" s="4" t="s">
        <v>1990</v>
      </c>
    </row>
    <row r="6560" spans="1:5" x14ac:dyDescent="0.2">
      <c r="A6560" s="126">
        <v>6499</v>
      </c>
      <c r="B6560" s="1832"/>
      <c r="D6560" s="2" t="str">
        <f t="shared" si="101"/>
        <v>OK</v>
      </c>
      <c r="E6560" s="4" t="s">
        <v>1990</v>
      </c>
    </row>
    <row r="6561" spans="1:5" x14ac:dyDescent="0.2">
      <c r="A6561" s="126">
        <v>6500</v>
      </c>
      <c r="B6561" s="1832"/>
      <c r="D6561" s="2" t="str">
        <f t="shared" si="101"/>
        <v>OK</v>
      </c>
      <c r="E6561" s="4" t="s">
        <v>1990</v>
      </c>
    </row>
    <row r="6562" spans="1:5" x14ac:dyDescent="0.2">
      <c r="A6562" s="126">
        <v>6501</v>
      </c>
      <c r="B6562" s="1832"/>
      <c r="D6562" s="2" t="str">
        <f t="shared" si="101"/>
        <v>OK</v>
      </c>
      <c r="E6562" s="4" t="s">
        <v>1990</v>
      </c>
    </row>
    <row r="6563" spans="1:5" x14ac:dyDescent="0.2">
      <c r="A6563" s="126">
        <v>6502</v>
      </c>
      <c r="B6563" s="1832"/>
      <c r="D6563" s="2" t="str">
        <f t="shared" si="101"/>
        <v>OK</v>
      </c>
      <c r="E6563" s="4" t="s">
        <v>1990</v>
      </c>
    </row>
    <row r="6564" spans="1:5" x14ac:dyDescent="0.2">
      <c r="A6564" s="126">
        <v>6503</v>
      </c>
      <c r="B6564" s="1832"/>
      <c r="D6564" s="2" t="str">
        <f t="shared" si="101"/>
        <v>OK</v>
      </c>
      <c r="E6564" s="4" t="s">
        <v>1990</v>
      </c>
    </row>
    <row r="6565" spans="1:5" x14ac:dyDescent="0.2">
      <c r="A6565" s="126">
        <v>6504</v>
      </c>
      <c r="B6565" s="1832"/>
      <c r="D6565" s="2" t="str">
        <f t="shared" si="101"/>
        <v>OK</v>
      </c>
      <c r="E6565" s="4" t="s">
        <v>1990</v>
      </c>
    </row>
    <row r="6566" spans="1:5" x14ac:dyDescent="0.2">
      <c r="A6566" s="126">
        <v>6505</v>
      </c>
      <c r="B6566" s="1832"/>
      <c r="D6566" s="2" t="str">
        <f t="shared" si="101"/>
        <v>OK</v>
      </c>
      <c r="E6566" s="4" t="s">
        <v>1990</v>
      </c>
    </row>
    <row r="6567" spans="1:5" x14ac:dyDescent="0.2">
      <c r="A6567" s="126">
        <v>6506</v>
      </c>
      <c r="B6567" s="1832"/>
      <c r="D6567" s="2" t="str">
        <f t="shared" si="101"/>
        <v>OK</v>
      </c>
      <c r="E6567" s="4" t="s">
        <v>1990</v>
      </c>
    </row>
    <row r="6568" spans="1:5" x14ac:dyDescent="0.2">
      <c r="A6568" s="126">
        <v>6507</v>
      </c>
      <c r="B6568" s="1832"/>
      <c r="D6568" s="2" t="str">
        <f t="shared" si="101"/>
        <v>OK</v>
      </c>
      <c r="E6568" s="4" t="s">
        <v>1990</v>
      </c>
    </row>
    <row r="6569" spans="1:5" x14ac:dyDescent="0.2">
      <c r="A6569" s="126">
        <v>6508</v>
      </c>
      <c r="B6569" s="1832"/>
      <c r="D6569" s="2" t="str">
        <f t="shared" si="101"/>
        <v>OK</v>
      </c>
      <c r="E6569" s="4" t="s">
        <v>1990</v>
      </c>
    </row>
    <row r="6570" spans="1:5" x14ac:dyDescent="0.2">
      <c r="A6570" s="126">
        <v>6509</v>
      </c>
      <c r="B6570" s="1832"/>
      <c r="D6570" s="2" t="str">
        <f t="shared" si="101"/>
        <v>OK</v>
      </c>
      <c r="E6570" s="4" t="s">
        <v>1990</v>
      </c>
    </row>
    <row r="6571" spans="1:5" x14ac:dyDescent="0.2">
      <c r="A6571" s="126">
        <v>6510</v>
      </c>
      <c r="B6571" s="1832"/>
      <c r="D6571" s="2" t="str">
        <f t="shared" si="101"/>
        <v>OK</v>
      </c>
      <c r="E6571" s="4" t="s">
        <v>1990</v>
      </c>
    </row>
    <row r="6572" spans="1:5" x14ac:dyDescent="0.2">
      <c r="A6572" s="126">
        <v>6511</v>
      </c>
      <c r="B6572" s="1832"/>
      <c r="D6572" s="2" t="str">
        <f t="shared" si="101"/>
        <v>OK</v>
      </c>
      <c r="E6572" s="4" t="s">
        <v>1990</v>
      </c>
    </row>
    <row r="6573" spans="1:5" x14ac:dyDescent="0.2">
      <c r="A6573" s="126">
        <v>6512</v>
      </c>
      <c r="B6573" s="1832"/>
      <c r="D6573" s="2" t="str">
        <f t="shared" si="101"/>
        <v>OK</v>
      </c>
      <c r="E6573" s="4" t="s">
        <v>1990</v>
      </c>
    </row>
    <row r="6574" spans="1:5" x14ac:dyDescent="0.2">
      <c r="A6574" s="126">
        <v>6513</v>
      </c>
      <c r="B6574" s="1832"/>
      <c r="D6574" s="2" t="str">
        <f t="shared" si="101"/>
        <v>OK</v>
      </c>
      <c r="E6574" s="4" t="s">
        <v>1990</v>
      </c>
    </row>
    <row r="6575" spans="1:5" x14ac:dyDescent="0.2">
      <c r="A6575" s="126">
        <v>6514</v>
      </c>
      <c r="B6575" s="1832"/>
      <c r="D6575" s="2" t="str">
        <f t="shared" si="101"/>
        <v>OK</v>
      </c>
      <c r="E6575" s="4" t="s">
        <v>1990</v>
      </c>
    </row>
    <row r="6576" spans="1:5" x14ac:dyDescent="0.2">
      <c r="A6576" s="126">
        <v>6515</v>
      </c>
      <c r="B6576" s="1832"/>
      <c r="D6576" s="2" t="str">
        <f t="shared" si="101"/>
        <v>OK</v>
      </c>
      <c r="E6576" s="4" t="s">
        <v>1990</v>
      </c>
    </row>
    <row r="6577" spans="1:5" x14ac:dyDescent="0.2">
      <c r="A6577" s="126">
        <v>6516</v>
      </c>
      <c r="B6577" s="1832"/>
      <c r="D6577" s="2" t="str">
        <f t="shared" si="101"/>
        <v>OK</v>
      </c>
      <c r="E6577" s="4" t="s">
        <v>1990</v>
      </c>
    </row>
    <row r="6578" spans="1:5" x14ac:dyDescent="0.2">
      <c r="A6578" s="126">
        <v>6517</v>
      </c>
      <c r="B6578" s="1832"/>
      <c r="D6578" s="2" t="str">
        <f t="shared" si="101"/>
        <v>OK</v>
      </c>
      <c r="E6578" s="4" t="s">
        <v>1990</v>
      </c>
    </row>
    <row r="6579" spans="1:5" x14ac:dyDescent="0.2">
      <c r="A6579" s="126">
        <v>6518</v>
      </c>
      <c r="B6579" s="1832"/>
      <c r="D6579" s="2" t="str">
        <f t="shared" si="101"/>
        <v>OK</v>
      </c>
      <c r="E6579" s="4" t="s">
        <v>1990</v>
      </c>
    </row>
    <row r="6580" spans="1:5" x14ac:dyDescent="0.2">
      <c r="A6580" s="126">
        <v>6519</v>
      </c>
      <c r="B6580" s="1832"/>
      <c r="D6580" s="2" t="str">
        <f t="shared" si="101"/>
        <v>OK</v>
      </c>
      <c r="E6580" s="4" t="s">
        <v>1990</v>
      </c>
    </row>
    <row r="6581" spans="1:5" x14ac:dyDescent="0.2">
      <c r="A6581" s="126">
        <v>6520</v>
      </c>
      <c r="B6581" s="1832"/>
      <c r="D6581" s="2" t="str">
        <f t="shared" si="101"/>
        <v>OK</v>
      </c>
      <c r="E6581" s="4" t="s">
        <v>1990</v>
      </c>
    </row>
    <row r="6582" spans="1:5" x14ac:dyDescent="0.2">
      <c r="A6582" s="126">
        <v>6521</v>
      </c>
      <c r="B6582" s="1832"/>
      <c r="D6582" s="2" t="str">
        <f t="shared" si="101"/>
        <v>OK</v>
      </c>
      <c r="E6582" s="4" t="s">
        <v>1990</v>
      </c>
    </row>
    <row r="6583" spans="1:5" x14ac:dyDescent="0.2">
      <c r="A6583" s="126">
        <v>6522</v>
      </c>
      <c r="B6583" s="1832"/>
      <c r="D6583" s="2" t="str">
        <f t="shared" si="101"/>
        <v>OK</v>
      </c>
      <c r="E6583" s="4" t="s">
        <v>1990</v>
      </c>
    </row>
    <row r="6584" spans="1:5" x14ac:dyDescent="0.2">
      <c r="A6584" s="126">
        <v>6523</v>
      </c>
      <c r="B6584" s="1832"/>
      <c r="D6584" s="2" t="str">
        <f t="shared" si="101"/>
        <v>OK</v>
      </c>
      <c r="E6584" s="4" t="s">
        <v>1990</v>
      </c>
    </row>
    <row r="6585" spans="1:5" x14ac:dyDescent="0.2">
      <c r="A6585" s="126">
        <v>6524</v>
      </c>
      <c r="B6585" s="1832"/>
      <c r="D6585" s="2" t="str">
        <f t="shared" si="101"/>
        <v>OK</v>
      </c>
      <c r="E6585" s="4" t="s">
        <v>1990</v>
      </c>
    </row>
    <row r="6586" spans="1:5" x14ac:dyDescent="0.2">
      <c r="A6586" s="126">
        <v>6525</v>
      </c>
      <c r="B6586" s="1832"/>
      <c r="D6586" s="2" t="str">
        <f t="shared" si="101"/>
        <v>OK</v>
      </c>
      <c r="E6586" s="4" t="s">
        <v>1990</v>
      </c>
    </row>
    <row r="6587" spans="1:5" x14ac:dyDescent="0.2">
      <c r="A6587" s="126">
        <v>6526</v>
      </c>
      <c r="B6587" s="1832"/>
      <c r="D6587" s="2" t="str">
        <f t="shared" si="101"/>
        <v>OK</v>
      </c>
      <c r="E6587" s="4" t="s">
        <v>1990</v>
      </c>
    </row>
    <row r="6588" spans="1:5" x14ac:dyDescent="0.2">
      <c r="A6588" s="126">
        <v>6527</v>
      </c>
      <c r="B6588" s="1832"/>
      <c r="D6588" s="2" t="str">
        <f t="shared" si="101"/>
        <v>OK</v>
      </c>
      <c r="E6588" s="4" t="s">
        <v>1990</v>
      </c>
    </row>
    <row r="6589" spans="1:5" x14ac:dyDescent="0.2">
      <c r="A6589" s="126">
        <v>6528</v>
      </c>
      <c r="B6589" s="1832"/>
      <c r="D6589" s="2" t="str">
        <f t="shared" si="101"/>
        <v>OK</v>
      </c>
      <c r="E6589" s="4" t="s">
        <v>1990</v>
      </c>
    </row>
    <row r="6590" spans="1:5" x14ac:dyDescent="0.2">
      <c r="A6590" s="126">
        <v>6529</v>
      </c>
      <c r="B6590" s="1832"/>
      <c r="D6590" s="2" t="str">
        <f t="shared" si="101"/>
        <v>OK</v>
      </c>
      <c r="E6590" s="4" t="s">
        <v>1990</v>
      </c>
    </row>
    <row r="6591" spans="1:5" x14ac:dyDescent="0.2">
      <c r="A6591" s="126">
        <v>6530</v>
      </c>
      <c r="B6591" s="1832"/>
      <c r="D6591" s="2" t="str">
        <f t="shared" ref="D6591:D6654" si="102">IF(ISBLANK(B6591),"OK",IF(A6591-B6591=0,"OK","Error?"))</f>
        <v>OK</v>
      </c>
      <c r="E6591" s="4" t="s">
        <v>1990</v>
      </c>
    </row>
    <row r="6592" spans="1:5" x14ac:dyDescent="0.2">
      <c r="A6592" s="126">
        <v>6531</v>
      </c>
      <c r="B6592" s="1832"/>
      <c r="D6592" s="2" t="str">
        <f t="shared" si="102"/>
        <v>OK</v>
      </c>
      <c r="E6592" s="4" t="s">
        <v>1990</v>
      </c>
    </row>
    <row r="6593" spans="1:5" x14ac:dyDescent="0.2">
      <c r="A6593" s="126">
        <v>6532</v>
      </c>
      <c r="B6593" s="1832"/>
      <c r="D6593" s="2" t="str">
        <f t="shared" si="102"/>
        <v>OK</v>
      </c>
      <c r="E6593" s="4" t="s">
        <v>1990</v>
      </c>
    </row>
    <row r="6594" spans="1:5" x14ac:dyDescent="0.2">
      <c r="A6594" s="126">
        <v>6533</v>
      </c>
      <c r="B6594" s="1832"/>
      <c r="D6594" s="2" t="str">
        <f t="shared" si="102"/>
        <v>OK</v>
      </c>
      <c r="E6594" s="4" t="s">
        <v>1990</v>
      </c>
    </row>
    <row r="6595" spans="1:5" x14ac:dyDescent="0.2">
      <c r="A6595" s="126">
        <v>6534</v>
      </c>
      <c r="B6595" s="1832"/>
      <c r="D6595" s="2" t="str">
        <f t="shared" si="102"/>
        <v>OK</v>
      </c>
      <c r="E6595" s="4" t="s">
        <v>1990</v>
      </c>
    </row>
    <row r="6596" spans="1:5" x14ac:dyDescent="0.2">
      <c r="A6596" s="126">
        <v>6535</v>
      </c>
      <c r="B6596" s="1832"/>
      <c r="D6596" s="2" t="str">
        <f t="shared" si="102"/>
        <v>OK</v>
      </c>
      <c r="E6596" s="4" t="s">
        <v>1990</v>
      </c>
    </row>
    <row r="6597" spans="1:5" x14ac:dyDescent="0.2">
      <c r="A6597" s="126">
        <v>6536</v>
      </c>
      <c r="B6597" s="1832"/>
      <c r="D6597" s="2" t="str">
        <f t="shared" si="102"/>
        <v>OK</v>
      </c>
      <c r="E6597" s="4" t="s">
        <v>1990</v>
      </c>
    </row>
    <row r="6598" spans="1:5" x14ac:dyDescent="0.2">
      <c r="A6598" s="126">
        <v>6537</v>
      </c>
      <c r="B6598" s="1832"/>
      <c r="D6598" s="2" t="str">
        <f t="shared" si="102"/>
        <v>OK</v>
      </c>
      <c r="E6598" s="4" t="s">
        <v>1990</v>
      </c>
    </row>
    <row r="6599" spans="1:5" x14ac:dyDescent="0.2">
      <c r="A6599" s="126">
        <v>6538</v>
      </c>
      <c r="B6599" s="1832"/>
      <c r="D6599" s="2" t="str">
        <f t="shared" si="102"/>
        <v>OK</v>
      </c>
      <c r="E6599" s="4" t="s">
        <v>1990</v>
      </c>
    </row>
    <row r="6600" spans="1:5" x14ac:dyDescent="0.2">
      <c r="A6600" s="126">
        <v>6539</v>
      </c>
      <c r="B6600" s="1832"/>
      <c r="D6600" s="2" t="str">
        <f t="shared" si="102"/>
        <v>OK</v>
      </c>
      <c r="E6600" s="4" t="s">
        <v>1990</v>
      </c>
    </row>
    <row r="6601" spans="1:5" x14ac:dyDescent="0.2">
      <c r="A6601" s="126">
        <v>6540</v>
      </c>
      <c r="B6601" s="1832"/>
      <c r="D6601" s="2" t="str">
        <f t="shared" si="102"/>
        <v>OK</v>
      </c>
      <c r="E6601" s="4" t="s">
        <v>1990</v>
      </c>
    </row>
    <row r="6602" spans="1:5" x14ac:dyDescent="0.2">
      <c r="A6602" s="126">
        <v>6541</v>
      </c>
      <c r="B6602" s="1832"/>
      <c r="D6602" s="2" t="str">
        <f t="shared" si="102"/>
        <v>OK</v>
      </c>
      <c r="E6602" s="4" t="s">
        <v>1990</v>
      </c>
    </row>
    <row r="6603" spans="1:5" x14ac:dyDescent="0.2">
      <c r="A6603" s="126">
        <v>6542</v>
      </c>
      <c r="B6603" s="1832"/>
      <c r="D6603" s="2" t="str">
        <f t="shared" si="102"/>
        <v>OK</v>
      </c>
      <c r="E6603" s="4" t="s">
        <v>1990</v>
      </c>
    </row>
    <row r="6604" spans="1:5" x14ac:dyDescent="0.2">
      <c r="A6604" s="126">
        <v>6543</v>
      </c>
      <c r="B6604" s="1832"/>
      <c r="D6604" s="2" t="str">
        <f t="shared" si="102"/>
        <v>OK</v>
      </c>
      <c r="E6604" s="4" t="s">
        <v>1990</v>
      </c>
    </row>
    <row r="6605" spans="1:5" x14ac:dyDescent="0.2">
      <c r="A6605" s="126">
        <v>6544</v>
      </c>
      <c r="B6605" s="1832"/>
      <c r="D6605" s="2" t="str">
        <f t="shared" si="102"/>
        <v>OK</v>
      </c>
      <c r="E6605" s="4" t="s">
        <v>1990</v>
      </c>
    </row>
    <row r="6606" spans="1:5" x14ac:dyDescent="0.2">
      <c r="A6606" s="126">
        <v>6545</v>
      </c>
      <c r="B6606" s="1832"/>
      <c r="D6606" s="2" t="str">
        <f t="shared" si="102"/>
        <v>OK</v>
      </c>
      <c r="E6606" s="4" t="s">
        <v>1990</v>
      </c>
    </row>
    <row r="6607" spans="1:5" x14ac:dyDescent="0.2">
      <c r="A6607" s="126">
        <v>6546</v>
      </c>
      <c r="B6607" s="1832"/>
      <c r="D6607" s="2" t="str">
        <f t="shared" si="102"/>
        <v>OK</v>
      </c>
      <c r="E6607" s="4" t="s">
        <v>1990</v>
      </c>
    </row>
    <row r="6608" spans="1:5" x14ac:dyDescent="0.2">
      <c r="A6608" s="126">
        <v>6547</v>
      </c>
      <c r="B6608" s="1832"/>
      <c r="D6608" s="2" t="str">
        <f t="shared" si="102"/>
        <v>OK</v>
      </c>
      <c r="E6608" s="4" t="s">
        <v>1990</v>
      </c>
    </row>
    <row r="6609" spans="1:5" x14ac:dyDescent="0.2">
      <c r="A6609" s="126">
        <v>6548</v>
      </c>
      <c r="B6609" s="1832"/>
      <c r="D6609" s="2" t="str">
        <f t="shared" si="102"/>
        <v>OK</v>
      </c>
      <c r="E6609" s="4" t="s">
        <v>1990</v>
      </c>
    </row>
    <row r="6610" spans="1:5" x14ac:dyDescent="0.2">
      <c r="A6610" s="126">
        <v>6549</v>
      </c>
      <c r="B6610" s="1832"/>
      <c r="D6610" s="2" t="str">
        <f t="shared" si="102"/>
        <v>OK</v>
      </c>
      <c r="E6610" s="4" t="s">
        <v>1990</v>
      </c>
    </row>
    <row r="6611" spans="1:5" x14ac:dyDescent="0.2">
      <c r="A6611" s="126">
        <v>6550</v>
      </c>
      <c r="B6611" s="1832"/>
      <c r="D6611" s="2" t="str">
        <f t="shared" si="102"/>
        <v>OK</v>
      </c>
      <c r="E6611" s="4" t="s">
        <v>1990</v>
      </c>
    </row>
    <row r="6612" spans="1:5" x14ac:dyDescent="0.2">
      <c r="A6612" s="126">
        <v>6551</v>
      </c>
      <c r="B6612" s="1832"/>
      <c r="D6612" s="2" t="str">
        <f t="shared" si="102"/>
        <v>OK</v>
      </c>
      <c r="E6612" s="4" t="s">
        <v>1990</v>
      </c>
    </row>
    <row r="6613" spans="1:5" x14ac:dyDescent="0.2">
      <c r="A6613" s="126">
        <v>6552</v>
      </c>
      <c r="B6613" s="1832"/>
      <c r="D6613" s="2" t="str">
        <f t="shared" si="102"/>
        <v>OK</v>
      </c>
      <c r="E6613" s="4" t="s">
        <v>1990</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1894</v>
      </c>
    </row>
    <row r="6842" spans="1:5" x14ac:dyDescent="0.2">
      <c r="A6842" s="126">
        <v>6781</v>
      </c>
      <c r="B6842" s="1832"/>
      <c r="D6842" s="2" t="str">
        <f t="shared" si="105"/>
        <v>OK</v>
      </c>
      <c r="E6842" s="1" t="s">
        <v>1894</v>
      </c>
    </row>
    <row r="6843" spans="1:5" x14ac:dyDescent="0.2">
      <c r="A6843" s="126">
        <v>6782</v>
      </c>
      <c r="B6843" s="1832"/>
      <c r="D6843" s="2" t="str">
        <f t="shared" si="105"/>
        <v>OK</v>
      </c>
      <c r="E6843" s="1" t="s">
        <v>1894</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375</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375</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375</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375</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375</v>
      </c>
      <c r="D7624" s="2" t="str">
        <f t="shared" si="124"/>
        <v>Error?</v>
      </c>
      <c r="E7624" s="2" t="s">
        <v>19</v>
      </c>
    </row>
    <row r="7625" spans="1:5" x14ac:dyDescent="0.2">
      <c r="A7625">
        <f t="shared" si="123"/>
        <v>7564</v>
      </c>
      <c r="B7625" s="1832">
        <f>'Cap Outlay Deprec 26'!I17</f>
        <v>37.5</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129172.5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1991</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1991</v>
      </c>
    </row>
    <row r="7641" spans="1:6" x14ac:dyDescent="0.2">
      <c r="A7641" s="126">
        <f t="shared" si="125"/>
        <v>7580</v>
      </c>
      <c r="B7641" s="1833"/>
      <c r="D7641" s="2" t="str">
        <f t="shared" si="124"/>
        <v>OK</v>
      </c>
      <c r="E7641" s="4" t="s">
        <v>1991</v>
      </c>
    </row>
    <row r="7642" spans="1:6" x14ac:dyDescent="0.2">
      <c r="A7642" s="126">
        <f t="shared" si="125"/>
        <v>7581</v>
      </c>
      <c r="B7642" s="1833"/>
      <c r="D7642" s="2" t="str">
        <f t="shared" si="124"/>
        <v>OK</v>
      </c>
      <c r="E7642" s="4" t="s">
        <v>1991</v>
      </c>
    </row>
    <row r="7643" spans="1:6" x14ac:dyDescent="0.2">
      <c r="A7643" s="126">
        <f t="shared" si="125"/>
        <v>7582</v>
      </c>
      <c r="B7643" s="1833"/>
      <c r="D7643" s="2" t="str">
        <f t="shared" si="124"/>
        <v>OK</v>
      </c>
      <c r="E7643" s="4" t="s">
        <v>1991</v>
      </c>
    </row>
    <row r="7644" spans="1:6" x14ac:dyDescent="0.2">
      <c r="A7644" s="126">
        <f t="shared" si="125"/>
        <v>7583</v>
      </c>
      <c r="B7644" s="1833"/>
      <c r="D7644" s="2" t="str">
        <f t="shared" si="124"/>
        <v>OK</v>
      </c>
      <c r="E7644" s="4" t="s">
        <v>1991</v>
      </c>
    </row>
    <row r="7645" spans="1:6" x14ac:dyDescent="0.2">
      <c r="A7645" s="126">
        <f t="shared" si="125"/>
        <v>7584</v>
      </c>
      <c r="B7645" s="1833"/>
      <c r="D7645" s="2" t="str">
        <f t="shared" si="124"/>
        <v>OK</v>
      </c>
      <c r="E7645" s="4" t="s">
        <v>1991</v>
      </c>
    </row>
    <row r="7646" spans="1:6" x14ac:dyDescent="0.2">
      <c r="A7646" s="126">
        <f t="shared" si="125"/>
        <v>7585</v>
      </c>
      <c r="B7646" s="1833"/>
      <c r="D7646" s="2" t="str">
        <f t="shared" si="124"/>
        <v>OK</v>
      </c>
      <c r="E7646" s="4" t="s">
        <v>1991</v>
      </c>
    </row>
    <row r="7647" spans="1:6" x14ac:dyDescent="0.2">
      <c r="A7647" s="126">
        <f t="shared" si="125"/>
        <v>7586</v>
      </c>
      <c r="B7647" s="1833"/>
      <c r="D7647" s="2" t="str">
        <f t="shared" si="124"/>
        <v>OK</v>
      </c>
      <c r="E7647" s="4" t="s">
        <v>1991</v>
      </c>
    </row>
    <row r="7648" spans="1:6" x14ac:dyDescent="0.2">
      <c r="A7648" s="126">
        <f t="shared" si="125"/>
        <v>7587</v>
      </c>
      <c r="B7648" s="1833"/>
      <c r="D7648" s="2" t="str">
        <f t="shared" si="124"/>
        <v>OK</v>
      </c>
      <c r="E7648" s="4" t="s">
        <v>1991</v>
      </c>
    </row>
    <row r="7649" spans="1:5" x14ac:dyDescent="0.2">
      <c r="A7649" s="126">
        <f t="shared" si="125"/>
        <v>7588</v>
      </c>
      <c r="B7649" s="1833"/>
      <c r="D7649" s="2" t="str">
        <f t="shared" si="124"/>
        <v>OK</v>
      </c>
      <c r="E7649" s="4" t="s">
        <v>1991</v>
      </c>
    </row>
    <row r="7650" spans="1:5" x14ac:dyDescent="0.2">
      <c r="A7650" s="126">
        <f t="shared" si="125"/>
        <v>7589</v>
      </c>
      <c r="B7650" s="1833"/>
      <c r="D7650" s="2" t="str">
        <f t="shared" si="124"/>
        <v>OK</v>
      </c>
      <c r="E7650" s="4" t="s">
        <v>1991</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1993</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1822</v>
      </c>
    </row>
    <row r="7775" spans="1:5" x14ac:dyDescent="0.2">
      <c r="A7775">
        <v>7714</v>
      </c>
      <c r="B7775" s="1832">
        <f>'Expenditures 15-22'!H133</f>
        <v>0</v>
      </c>
      <c r="D7775" s="2" t="str">
        <f t="shared" si="127"/>
        <v>Error?</v>
      </c>
      <c r="E7775" s="4" t="s">
        <v>1822</v>
      </c>
    </row>
    <row r="7776" spans="1:5" x14ac:dyDescent="0.2">
      <c r="A7776">
        <v>7715</v>
      </c>
      <c r="B7776" s="1832">
        <f>'Expenditures 15-22'!K133</f>
        <v>0</v>
      </c>
      <c r="D7776" s="2" t="str">
        <f t="shared" si="127"/>
        <v>Error?</v>
      </c>
      <c r="E7776" s="4" t="s">
        <v>1822</v>
      </c>
    </row>
    <row r="7777" spans="1:5" x14ac:dyDescent="0.2">
      <c r="A7777">
        <v>7716</v>
      </c>
      <c r="B7777" s="1832">
        <f>'Expenditures 15-22'!H157</f>
        <v>0</v>
      </c>
      <c r="D7777" s="2" t="str">
        <f t="shared" si="127"/>
        <v>Error?</v>
      </c>
      <c r="E7777" s="4" t="s">
        <v>1822</v>
      </c>
    </row>
    <row r="7778" spans="1:5" x14ac:dyDescent="0.2">
      <c r="A7778">
        <v>7717</v>
      </c>
      <c r="B7778" s="1832">
        <f>'Expenditures 15-22'!K157</f>
        <v>0</v>
      </c>
      <c r="D7778" s="2" t="str">
        <f t="shared" si="127"/>
        <v>Error?</v>
      </c>
      <c r="E7778" s="4" t="s">
        <v>1822</v>
      </c>
    </row>
    <row r="7779" spans="1:5" x14ac:dyDescent="0.2">
      <c r="A7779">
        <v>7718</v>
      </c>
      <c r="B7779" s="1832">
        <f>'Expenditures 15-22'!H158</f>
        <v>0</v>
      </c>
      <c r="D7779" s="2" t="str">
        <f t="shared" si="127"/>
        <v>Error?</v>
      </c>
      <c r="E7779" s="4" t="s">
        <v>1822</v>
      </c>
    </row>
    <row r="7780" spans="1:5" x14ac:dyDescent="0.2">
      <c r="A7780">
        <v>7719</v>
      </c>
      <c r="B7780" s="1832">
        <f>'Expenditures 15-22'!K158</f>
        <v>0</v>
      </c>
      <c r="D7780" s="2" t="str">
        <f t="shared" si="127"/>
        <v>Error?</v>
      </c>
      <c r="E7780" s="4" t="s">
        <v>1822</v>
      </c>
    </row>
    <row r="7781" spans="1:5" x14ac:dyDescent="0.2">
      <c r="A7781">
        <v>7720</v>
      </c>
      <c r="B7781" s="1832">
        <f>'Expenditures 15-22'!H159</f>
        <v>0</v>
      </c>
      <c r="D7781" s="2" t="str">
        <f t="shared" si="127"/>
        <v>Error?</v>
      </c>
      <c r="E7781" s="4" t="s">
        <v>1822</v>
      </c>
    </row>
    <row r="7782" spans="1:5" x14ac:dyDescent="0.2">
      <c r="A7782">
        <v>7721</v>
      </c>
      <c r="B7782" s="1832">
        <f>'Expenditures 15-22'!K159</f>
        <v>0</v>
      </c>
      <c r="D7782" s="2" t="str">
        <f t="shared" si="127"/>
        <v>Error?</v>
      </c>
      <c r="E7782" s="4" t="s">
        <v>1822</v>
      </c>
    </row>
    <row r="7783" spans="1:5" x14ac:dyDescent="0.2">
      <c r="A7783">
        <v>7722</v>
      </c>
      <c r="B7783" s="1832">
        <f>'Expenditures 15-22'!D282</f>
        <v>0</v>
      </c>
      <c r="D7783" s="2" t="str">
        <f t="shared" si="127"/>
        <v>Error?</v>
      </c>
      <c r="E7783" s="4" t="s">
        <v>1822</v>
      </c>
    </row>
    <row r="7784" spans="1:5" x14ac:dyDescent="0.2">
      <c r="A7784">
        <v>7723</v>
      </c>
      <c r="B7784" s="1832">
        <f>'Expenditures 15-22'!K282</f>
        <v>0</v>
      </c>
      <c r="D7784" s="2" t="str">
        <f t="shared" si="127"/>
        <v>Error?</v>
      </c>
      <c r="E7784" s="4" t="s">
        <v>1822</v>
      </c>
    </row>
    <row r="7785" spans="1:5" x14ac:dyDescent="0.2">
      <c r="A7785">
        <v>7724</v>
      </c>
      <c r="B7785" s="1832">
        <f>'Expenditures 15-22'!H332</f>
        <v>0</v>
      </c>
      <c r="D7785" s="2" t="str">
        <f t="shared" si="127"/>
        <v>Error?</v>
      </c>
      <c r="E7785" s="4" t="s">
        <v>1822</v>
      </c>
    </row>
    <row r="7786" spans="1:5" x14ac:dyDescent="0.2">
      <c r="A7786">
        <v>7725</v>
      </c>
      <c r="B7786" s="1832">
        <f>'Expenditures 15-22'!K332</f>
        <v>0</v>
      </c>
      <c r="D7786" s="2" t="str">
        <f t="shared" si="127"/>
        <v>Error?</v>
      </c>
      <c r="E7786" s="4" t="s">
        <v>1822</v>
      </c>
    </row>
    <row r="7787" spans="1:5" x14ac:dyDescent="0.2">
      <c r="A7787">
        <v>7726</v>
      </c>
      <c r="B7787" s="1832">
        <f>'Expenditures 15-22'!H333</f>
        <v>0</v>
      </c>
      <c r="D7787" s="2" t="str">
        <f t="shared" si="127"/>
        <v>Error?</v>
      </c>
      <c r="E7787" s="4" t="s">
        <v>1822</v>
      </c>
    </row>
    <row r="7788" spans="1:5" x14ac:dyDescent="0.2">
      <c r="A7788">
        <v>7727</v>
      </c>
      <c r="B7788" s="1832">
        <f>'Expenditures 15-22'!K333</f>
        <v>0</v>
      </c>
      <c r="D7788" s="2" t="str">
        <f t="shared" si="127"/>
        <v>Error?</v>
      </c>
      <c r="E7788" s="4" t="s">
        <v>1822</v>
      </c>
    </row>
    <row r="7789" spans="1:5" x14ac:dyDescent="0.2">
      <c r="A7789">
        <v>7728</v>
      </c>
      <c r="B7789" s="1832">
        <f>'Expenditures 15-22'!H334</f>
        <v>0</v>
      </c>
      <c r="D7789" s="2" t="str">
        <f t="shared" si="127"/>
        <v>Error?</v>
      </c>
      <c r="E7789" s="4" t="s">
        <v>1822</v>
      </c>
    </row>
    <row r="7790" spans="1:5" x14ac:dyDescent="0.2">
      <c r="A7790">
        <v>7729</v>
      </c>
      <c r="B7790" s="1832">
        <f>'Expenditures 15-22'!K334</f>
        <v>0</v>
      </c>
      <c r="D7790" s="2" t="str">
        <f t="shared" si="127"/>
        <v>Error?</v>
      </c>
      <c r="E7790" s="4" t="s">
        <v>1822</v>
      </c>
    </row>
    <row r="7791" spans="1:5" x14ac:dyDescent="0.2">
      <c r="A7791">
        <v>7730</v>
      </c>
      <c r="B7791" s="1832">
        <f>'Expenditures 15-22'!H354</f>
        <v>0</v>
      </c>
      <c r="D7791" s="2" t="str">
        <f t="shared" si="127"/>
        <v>Error?</v>
      </c>
      <c r="E7791" s="4" t="s">
        <v>1822</v>
      </c>
    </row>
    <row r="7792" spans="1:5" x14ac:dyDescent="0.2">
      <c r="A7792">
        <v>7731</v>
      </c>
      <c r="B7792" s="1832">
        <f>'Expenditures 15-22'!K354</f>
        <v>0</v>
      </c>
      <c r="D7792" s="2" t="str">
        <f t="shared" si="127"/>
        <v>Error?</v>
      </c>
      <c r="E7792" s="4" t="s">
        <v>1822</v>
      </c>
    </row>
    <row r="7793" spans="1:5" x14ac:dyDescent="0.2">
      <c r="A7793">
        <v>7732</v>
      </c>
      <c r="B7793" s="1832">
        <f>'Expenditures 15-22'!H355</f>
        <v>0</v>
      </c>
      <c r="D7793" s="2" t="str">
        <f t="shared" si="127"/>
        <v>Error?</v>
      </c>
      <c r="E7793" s="4" t="s">
        <v>1822</v>
      </c>
    </row>
    <row r="7794" spans="1:5" x14ac:dyDescent="0.2">
      <c r="A7794">
        <v>7733</v>
      </c>
      <c r="B7794" s="1832">
        <f>'Expenditures 15-22'!K355</f>
        <v>0</v>
      </c>
      <c r="D7794" s="2" t="str">
        <f t="shared" si="127"/>
        <v>Error?</v>
      </c>
      <c r="E7794" s="4" t="s">
        <v>1822</v>
      </c>
    </row>
    <row r="7795" spans="1:5" x14ac:dyDescent="0.2">
      <c r="A7795">
        <v>7734</v>
      </c>
      <c r="B7795" s="1832">
        <f>'Expenditures 15-22'!E138</f>
        <v>0</v>
      </c>
      <c r="D7795" s="2" t="str">
        <f t="shared" si="127"/>
        <v>Error?</v>
      </c>
      <c r="E7795" s="4" t="s">
        <v>1822</v>
      </c>
    </row>
    <row r="7796" spans="1:5" x14ac:dyDescent="0.2">
      <c r="A7796">
        <v>7735</v>
      </c>
      <c r="B7796" s="1832">
        <f>'Acct Summary 7-8'!J15</f>
        <v>0</v>
      </c>
      <c r="D7796" s="2" t="str">
        <f t="shared" si="127"/>
        <v>Error?</v>
      </c>
      <c r="E7796" s="4" t="s">
        <v>1822</v>
      </c>
    </row>
    <row r="7797" spans="1:5" x14ac:dyDescent="0.2">
      <c r="A7797" s="126">
        <v>7736</v>
      </c>
      <c r="B7797" s="1832"/>
      <c r="D7797" s="2" t="str">
        <f t="shared" si="127"/>
        <v>OK</v>
      </c>
      <c r="E7797" s="4" t="s">
        <v>1975</v>
      </c>
    </row>
    <row r="7798" spans="1:5" x14ac:dyDescent="0.2">
      <c r="A7798" s="126">
        <v>7737</v>
      </c>
      <c r="B7798" s="1832"/>
      <c r="D7798" s="2" t="str">
        <f t="shared" si="127"/>
        <v>OK</v>
      </c>
      <c r="E7798" s="4" t="s">
        <v>1975</v>
      </c>
    </row>
    <row r="7799" spans="1:5" x14ac:dyDescent="0.2">
      <c r="A7799" s="126">
        <v>7738</v>
      </c>
      <c r="B7799" s="1832"/>
      <c r="D7799" s="2" t="str">
        <f t="shared" si="127"/>
        <v>OK</v>
      </c>
      <c r="E7799" s="4" t="s">
        <v>1975</v>
      </c>
    </row>
    <row r="7800" spans="1:5" x14ac:dyDescent="0.2">
      <c r="A7800">
        <v>7739</v>
      </c>
      <c r="B7800" s="1832">
        <f>'Rest Tax Levies-Tort Im 25'!K23</f>
        <v>0</v>
      </c>
      <c r="D7800" s="2" t="str">
        <f t="shared" si="127"/>
        <v>Error?</v>
      </c>
      <c r="E7800" s="4" t="s">
        <v>1962</v>
      </c>
    </row>
    <row r="7801" spans="1:5" x14ac:dyDescent="0.2">
      <c r="A7801">
        <v>7740</v>
      </c>
      <c r="B7801" s="1832">
        <f>'Revenues 9-14'!C120</f>
        <v>0</v>
      </c>
      <c r="D7801" s="2" t="str">
        <f t="shared" si="127"/>
        <v>Error?</v>
      </c>
      <c r="E7801" s="4" t="s">
        <v>1896</v>
      </c>
    </row>
    <row r="7802" spans="1:5" x14ac:dyDescent="0.2">
      <c r="A7802">
        <v>7741</v>
      </c>
      <c r="B7802" s="1832">
        <f>'Revenues 9-14'!D120</f>
        <v>0</v>
      </c>
      <c r="D7802" s="2" t="str">
        <f t="shared" si="127"/>
        <v>Error?</v>
      </c>
      <c r="E7802" s="4" t="s">
        <v>1896</v>
      </c>
    </row>
    <row r="7803" spans="1:5" x14ac:dyDescent="0.2">
      <c r="A7803">
        <v>7742</v>
      </c>
      <c r="B7803" s="1832">
        <f>'Revenues 9-14'!E120</f>
        <v>0</v>
      </c>
      <c r="D7803" s="2" t="str">
        <f t="shared" si="127"/>
        <v>Error?</v>
      </c>
      <c r="E7803" s="4" t="s">
        <v>1896</v>
      </c>
    </row>
    <row r="7804" spans="1:5" x14ac:dyDescent="0.2">
      <c r="A7804">
        <v>7743</v>
      </c>
      <c r="B7804" s="1832">
        <f>'Revenues 9-14'!F120</f>
        <v>0</v>
      </c>
      <c r="D7804" s="2" t="str">
        <f t="shared" si="127"/>
        <v>Error?</v>
      </c>
      <c r="E7804" s="4" t="s">
        <v>1896</v>
      </c>
    </row>
    <row r="7805" spans="1:5" x14ac:dyDescent="0.2">
      <c r="A7805">
        <v>7744</v>
      </c>
      <c r="B7805" s="1832">
        <f>'Revenues 9-14'!G120</f>
        <v>0</v>
      </c>
      <c r="D7805" s="2" t="str">
        <f t="shared" si="127"/>
        <v>Error?</v>
      </c>
      <c r="E7805" s="4" t="s">
        <v>1896</v>
      </c>
    </row>
    <row r="7806" spans="1:5" x14ac:dyDescent="0.2">
      <c r="A7806">
        <v>7745</v>
      </c>
      <c r="B7806" s="1832">
        <f>'Revenues 9-14'!H120</f>
        <v>0</v>
      </c>
      <c r="D7806" s="2" t="str">
        <f t="shared" si="127"/>
        <v>Error?</v>
      </c>
      <c r="E7806" s="4" t="s">
        <v>1896</v>
      </c>
    </row>
    <row r="7807" spans="1:5" x14ac:dyDescent="0.2">
      <c r="A7807">
        <v>7746</v>
      </c>
      <c r="B7807" s="1832">
        <f>'Revenues 9-14'!J120</f>
        <v>0</v>
      </c>
      <c r="D7807" s="2" t="str">
        <f t="shared" ref="D7807:D7821" si="128">IF(ISBLANK(B7807),"OK",IF(A7807-B7807=0,"OK","Error?"))</f>
        <v>Error?</v>
      </c>
      <c r="E7807" s="4" t="s">
        <v>1896</v>
      </c>
    </row>
    <row r="7808" spans="1:5" x14ac:dyDescent="0.2">
      <c r="A7808">
        <v>7747</v>
      </c>
      <c r="B7808" s="1832">
        <f>'Revenues 9-14'!K120</f>
        <v>0</v>
      </c>
      <c r="D7808" s="2" t="str">
        <f t="shared" si="128"/>
        <v>Error?</v>
      </c>
      <c r="E7808" s="4" t="s">
        <v>1896</v>
      </c>
    </row>
    <row r="7809" spans="1:5" x14ac:dyDescent="0.2">
      <c r="A7809">
        <v>7748</v>
      </c>
      <c r="B7809" s="1832">
        <f>'Revenues 9-14'!C261</f>
        <v>0</v>
      </c>
      <c r="D7809" s="2" t="str">
        <f t="shared" si="128"/>
        <v>Error?</v>
      </c>
      <c r="E7809" s="4" t="s">
        <v>1897</v>
      </c>
    </row>
    <row r="7810" spans="1:5" x14ac:dyDescent="0.2">
      <c r="A7810">
        <v>7749</v>
      </c>
      <c r="B7810" s="1832">
        <f>'Revenues 9-14'!D261</f>
        <v>0</v>
      </c>
      <c r="D7810" s="2" t="str">
        <f t="shared" si="128"/>
        <v>Error?</v>
      </c>
      <c r="E7810" s="4" t="s">
        <v>1897</v>
      </c>
    </row>
    <row r="7811" spans="1:5" x14ac:dyDescent="0.2">
      <c r="A7811">
        <v>7750</v>
      </c>
      <c r="B7811" s="1832">
        <f>'Revenues 9-14'!F261</f>
        <v>0</v>
      </c>
      <c r="D7811" s="2" t="str">
        <f t="shared" si="128"/>
        <v>Error?</v>
      </c>
      <c r="E7811" s="4" t="s">
        <v>1897</v>
      </c>
    </row>
    <row r="7812" spans="1:5" x14ac:dyDescent="0.2">
      <c r="A7812">
        <v>7751</v>
      </c>
      <c r="B7812" s="1832">
        <f>'Revenues 9-14'!G261</f>
        <v>0</v>
      </c>
      <c r="D7812" s="2" t="str">
        <f t="shared" si="128"/>
        <v>Error?</v>
      </c>
      <c r="E7812" s="4" t="s">
        <v>1897</v>
      </c>
    </row>
    <row r="7813" spans="1:5" x14ac:dyDescent="0.2">
      <c r="A7813">
        <v>7752</v>
      </c>
      <c r="B7813" s="1832">
        <f>'Revenues 9-14'!C262</f>
        <v>0</v>
      </c>
      <c r="D7813" s="2" t="str">
        <f t="shared" si="128"/>
        <v>Error?</v>
      </c>
      <c r="E7813" s="4" t="s">
        <v>1898</v>
      </c>
    </row>
    <row r="7814" spans="1:5" x14ac:dyDescent="0.2">
      <c r="A7814">
        <v>7753</v>
      </c>
      <c r="B7814" s="1832">
        <f>'Revenues 9-14'!D262</f>
        <v>0</v>
      </c>
      <c r="D7814" s="2" t="str">
        <f t="shared" si="128"/>
        <v>Error?</v>
      </c>
      <c r="E7814" s="4" t="s">
        <v>1898</v>
      </c>
    </row>
    <row r="7815" spans="1:5" x14ac:dyDescent="0.2">
      <c r="A7815">
        <v>7754</v>
      </c>
      <c r="B7815" s="1832">
        <f>'Revenues 9-14'!F262</f>
        <v>0</v>
      </c>
      <c r="D7815" s="2" t="str">
        <f t="shared" si="128"/>
        <v>Error?</v>
      </c>
      <c r="E7815" s="4" t="s">
        <v>1898</v>
      </c>
    </row>
    <row r="7816" spans="1:5" x14ac:dyDescent="0.2">
      <c r="A7816">
        <v>7755</v>
      </c>
      <c r="B7816" s="1832">
        <f>'Revenues 9-14'!G262</f>
        <v>0</v>
      </c>
      <c r="D7816" s="2" t="str">
        <f t="shared" si="128"/>
        <v>Error?</v>
      </c>
      <c r="E7816" s="4" t="s">
        <v>1898</v>
      </c>
    </row>
    <row r="7817" spans="1:5" x14ac:dyDescent="0.2">
      <c r="A7817">
        <v>7756</v>
      </c>
      <c r="B7817" s="1832">
        <f>'Short-Term Long-Term Debt 24'!C49</f>
        <v>0</v>
      </c>
      <c r="D7817" s="2" t="str">
        <f t="shared" si="128"/>
        <v>Error?</v>
      </c>
      <c r="E7817" s="4" t="s">
        <v>1962</v>
      </c>
    </row>
    <row r="7818" spans="1:5" x14ac:dyDescent="0.2">
      <c r="A7818">
        <v>7757</v>
      </c>
      <c r="B7818" s="1832">
        <f>'PCTC-OEPP 27-28'!F172</f>
        <v>0</v>
      </c>
      <c r="D7818" s="2" t="str">
        <f t="shared" si="128"/>
        <v>Error?</v>
      </c>
      <c r="E7818" s="4" t="s">
        <v>1976</v>
      </c>
    </row>
    <row r="7819" spans="1:5" x14ac:dyDescent="0.2">
      <c r="A7819">
        <v>7758</v>
      </c>
      <c r="B7819" s="1832">
        <f>'PCTC-OEPP 27-28'!F173</f>
        <v>0</v>
      </c>
      <c r="D7819" s="2" t="str">
        <f t="shared" si="128"/>
        <v>Error?</v>
      </c>
      <c r="E7819" s="4" t="s">
        <v>1976</v>
      </c>
    </row>
    <row r="7820" spans="1:5" x14ac:dyDescent="0.2">
      <c r="A7820">
        <v>7759</v>
      </c>
      <c r="B7820" s="1832">
        <f>'ICR Computation 30'!E40</f>
        <v>-59119</v>
      </c>
      <c r="D7820" s="2" t="str">
        <f t="shared" si="128"/>
        <v>Error?</v>
      </c>
    </row>
    <row r="7821" spans="1:5" x14ac:dyDescent="0.2">
      <c r="A7821">
        <v>7760</v>
      </c>
      <c r="B7821" s="1832">
        <f>'ICR Computation 30'!G40</f>
        <v>-59119</v>
      </c>
      <c r="D7821" s="2" t="str">
        <f t="shared" si="128"/>
        <v>Error?</v>
      </c>
    </row>
    <row r="7822" spans="1:5" x14ac:dyDescent="0.2">
      <c r="A7822" s="1">
        <v>7761</v>
      </c>
      <c r="B7822" s="1832">
        <f>'PCTC-OEPP 27-28'!F14</f>
        <v>6390796</v>
      </c>
      <c r="D7822" s="4" t="s">
        <v>1993</v>
      </c>
      <c r="E7822" s="4" t="s">
        <v>1994</v>
      </c>
    </row>
    <row r="7823" spans="1:5" x14ac:dyDescent="0.2">
      <c r="A7823" s="1">
        <v>7762</v>
      </c>
      <c r="B7823" s="1832">
        <f>'PCTC-OEPP 27-28'!F30</f>
        <v>0</v>
      </c>
      <c r="D7823" s="4" t="s">
        <v>1993</v>
      </c>
      <c r="E7823" s="4" t="s">
        <v>1994</v>
      </c>
    </row>
    <row r="7824" spans="1:5" x14ac:dyDescent="0.2">
      <c r="A7824" s="1">
        <v>7763</v>
      </c>
      <c r="B7824" s="1832">
        <f>'PCTC-OEPP 27-28'!F31</f>
        <v>0</v>
      </c>
      <c r="D7824" s="4" t="s">
        <v>1993</v>
      </c>
      <c r="E7824" s="4" t="s">
        <v>1994</v>
      </c>
    </row>
    <row r="7825" spans="1:5" x14ac:dyDescent="0.2">
      <c r="A7825" s="1">
        <v>7764</v>
      </c>
      <c r="B7825" s="1832">
        <f>'PCTC-OEPP 27-28'!F32</f>
        <v>0</v>
      </c>
      <c r="D7825" s="2" t="str">
        <f t="shared" ref="D7825:D7887" si="129">IF(ISBLANK(B7825),"OK",IF(A7825-B7825=0,"OK","Error?"))</f>
        <v>Error?</v>
      </c>
      <c r="E7825" s="4" t="s">
        <v>1994</v>
      </c>
    </row>
    <row r="7826" spans="1:5" x14ac:dyDescent="0.2">
      <c r="A7826">
        <v>7765</v>
      </c>
      <c r="B7826" s="1832">
        <f>'PCTC-OEPP 27-28'!F34</f>
        <v>0</v>
      </c>
      <c r="D7826" s="2" t="str">
        <f t="shared" si="129"/>
        <v>Error?</v>
      </c>
      <c r="E7826" s="4" t="s">
        <v>1994</v>
      </c>
    </row>
    <row r="7827" spans="1:5" x14ac:dyDescent="0.2">
      <c r="A7827">
        <v>7766</v>
      </c>
      <c r="B7827" s="1832">
        <f>'PCTC-OEPP 27-28'!F35</f>
        <v>0</v>
      </c>
      <c r="D7827" s="2" t="str">
        <f t="shared" si="129"/>
        <v>Error?</v>
      </c>
      <c r="E7827" s="4" t="s">
        <v>1994</v>
      </c>
    </row>
    <row r="7828" spans="1:5" x14ac:dyDescent="0.2">
      <c r="A7828">
        <v>7767</v>
      </c>
      <c r="B7828" s="1832">
        <f>'PCTC-OEPP 27-28'!F36</f>
        <v>0</v>
      </c>
      <c r="D7828" s="2" t="str">
        <f t="shared" si="129"/>
        <v>Error?</v>
      </c>
      <c r="E7828" s="4" t="s">
        <v>1994</v>
      </c>
    </row>
    <row r="7829" spans="1:5" x14ac:dyDescent="0.2">
      <c r="A7829">
        <v>7768</v>
      </c>
      <c r="B7829" s="1832">
        <f>'PCTC-OEPP 27-28'!F37</f>
        <v>0</v>
      </c>
      <c r="D7829" s="2" t="str">
        <f t="shared" si="129"/>
        <v>Error?</v>
      </c>
      <c r="E7829" s="4" t="s">
        <v>1994</v>
      </c>
    </row>
    <row r="7830" spans="1:5" x14ac:dyDescent="0.2">
      <c r="A7830">
        <v>7769</v>
      </c>
      <c r="B7830" s="1832">
        <f>'PCTC-OEPP 27-28'!F38</f>
        <v>112018</v>
      </c>
      <c r="D7830" s="2" t="str">
        <f t="shared" si="129"/>
        <v>Error?</v>
      </c>
      <c r="E7830" s="4" t="s">
        <v>1994</v>
      </c>
    </row>
    <row r="7831" spans="1:5" x14ac:dyDescent="0.2">
      <c r="A7831">
        <v>7770</v>
      </c>
      <c r="B7831" s="1832">
        <f>'PCTC-OEPP 27-28'!F52</f>
        <v>0</v>
      </c>
      <c r="D7831" s="2" t="str">
        <f t="shared" si="129"/>
        <v>Error?</v>
      </c>
      <c r="E7831" s="4" t="s">
        <v>1994</v>
      </c>
    </row>
    <row r="7832" spans="1:5" x14ac:dyDescent="0.2">
      <c r="A7832">
        <v>7771</v>
      </c>
      <c r="B7832" s="1832">
        <f>'PCTC-OEPP 27-28'!F56</f>
        <v>0</v>
      </c>
      <c r="D7832" s="2" t="str">
        <f t="shared" si="129"/>
        <v>Error?</v>
      </c>
      <c r="E7832" s="4" t="s">
        <v>1994</v>
      </c>
    </row>
    <row r="7833" spans="1:5" x14ac:dyDescent="0.2">
      <c r="A7833">
        <v>7772</v>
      </c>
      <c r="B7833" s="1832">
        <f>'PCTC-OEPP 27-28'!F62</f>
        <v>0</v>
      </c>
      <c r="D7833" s="2" t="str">
        <f t="shared" si="129"/>
        <v>Error?</v>
      </c>
      <c r="E7833" s="4" t="s">
        <v>1994</v>
      </c>
    </row>
    <row r="7834" spans="1:5" x14ac:dyDescent="0.2">
      <c r="A7834">
        <v>7773</v>
      </c>
      <c r="B7834" s="1832">
        <f>'PCTC-OEPP 27-28'!F77</f>
        <v>944938</v>
      </c>
      <c r="D7834" s="2" t="str">
        <f t="shared" si="129"/>
        <v>Error?</v>
      </c>
      <c r="E7834" s="4" t="s">
        <v>1994</v>
      </c>
    </row>
    <row r="7835" spans="1:5" x14ac:dyDescent="0.2">
      <c r="A7835">
        <v>7774</v>
      </c>
      <c r="B7835" s="1832">
        <f>'PCTC-OEPP 27-28'!F78</f>
        <v>5445858</v>
      </c>
      <c r="D7835" s="2" t="str">
        <f t="shared" si="129"/>
        <v>Error?</v>
      </c>
      <c r="E7835" s="4" t="s">
        <v>1994</v>
      </c>
    </row>
    <row r="7836" spans="1:5" x14ac:dyDescent="0.2">
      <c r="A7836" s="126">
        <v>7775</v>
      </c>
      <c r="B7836" s="1832"/>
      <c r="D7836" s="2" t="str">
        <f t="shared" si="129"/>
        <v>OK</v>
      </c>
      <c r="E7836" s="4" t="s">
        <v>1996</v>
      </c>
    </row>
    <row r="7837" spans="1:5" x14ac:dyDescent="0.2">
      <c r="A7837">
        <v>7776</v>
      </c>
      <c r="B7837" s="1832" t="str">
        <f>'PCTC-OEPP 27-28'!F80</f>
        <v xml:space="preserve"> Complete Line 79</v>
      </c>
      <c r="D7837" s="2" t="e">
        <f t="shared" si="129"/>
        <v>#VALUE!</v>
      </c>
      <c r="E7837" s="4" t="s">
        <v>1994</v>
      </c>
    </row>
    <row r="7838" spans="1:5" x14ac:dyDescent="0.2">
      <c r="A7838">
        <v>7777</v>
      </c>
      <c r="B7838" s="1832">
        <f>'PCTC-OEPP 27-28'!F96</f>
        <v>0</v>
      </c>
      <c r="D7838" s="2" t="str">
        <f t="shared" si="129"/>
        <v>Error?</v>
      </c>
      <c r="E7838" s="4" t="s">
        <v>1994</v>
      </c>
    </row>
    <row r="7839" spans="1:5" x14ac:dyDescent="0.2">
      <c r="A7839">
        <v>7778</v>
      </c>
      <c r="B7839" s="1832">
        <f>'PCTC-OEPP 27-28'!F102</f>
        <v>0</v>
      </c>
      <c r="D7839" s="2" t="str">
        <f t="shared" si="129"/>
        <v>Error?</v>
      </c>
      <c r="E7839" s="4" t="s">
        <v>1994</v>
      </c>
    </row>
    <row r="7840" spans="1:5" x14ac:dyDescent="0.2">
      <c r="A7840">
        <v>7779</v>
      </c>
      <c r="B7840" s="1832">
        <f>'PCTC-OEPP 27-28'!F103</f>
        <v>91919</v>
      </c>
      <c r="D7840" s="2" t="str">
        <f t="shared" si="129"/>
        <v>Error?</v>
      </c>
      <c r="E7840" s="4" t="s">
        <v>1994</v>
      </c>
    </row>
    <row r="7841" spans="1:5" x14ac:dyDescent="0.2">
      <c r="A7841">
        <v>7780</v>
      </c>
      <c r="B7841" s="1832">
        <f>'PCTC-OEPP 27-28'!F104</f>
        <v>1257573</v>
      </c>
      <c r="D7841" s="2" t="str">
        <f t="shared" si="129"/>
        <v>Error?</v>
      </c>
      <c r="E7841" s="4" t="s">
        <v>1994</v>
      </c>
    </row>
    <row r="7842" spans="1:5" x14ac:dyDescent="0.2">
      <c r="A7842">
        <v>7781</v>
      </c>
      <c r="B7842" s="1832">
        <f>'PCTC-OEPP 27-28'!F106</f>
        <v>0</v>
      </c>
      <c r="D7842" s="2" t="str">
        <f t="shared" si="129"/>
        <v>Error?</v>
      </c>
      <c r="E7842" s="4" t="s">
        <v>1994</v>
      </c>
    </row>
    <row r="7843" spans="1:5" x14ac:dyDescent="0.2">
      <c r="A7843">
        <v>7782</v>
      </c>
      <c r="B7843" s="1832">
        <f>'PCTC-OEPP 27-28'!F107</f>
        <v>0</v>
      </c>
      <c r="D7843" s="2" t="str">
        <f t="shared" si="129"/>
        <v>Error?</v>
      </c>
      <c r="E7843" s="4" t="s">
        <v>1994</v>
      </c>
    </row>
    <row r="7844" spans="1:5" x14ac:dyDescent="0.2">
      <c r="A7844">
        <v>7783</v>
      </c>
      <c r="B7844" s="1832">
        <f>'PCTC-OEPP 27-28'!F108</f>
        <v>0</v>
      </c>
      <c r="D7844" s="2" t="str">
        <f t="shared" si="129"/>
        <v>Error?</v>
      </c>
      <c r="E7844" s="4" t="s">
        <v>1994</v>
      </c>
    </row>
    <row r="7845" spans="1:5" x14ac:dyDescent="0.2">
      <c r="A7845">
        <v>7784</v>
      </c>
      <c r="B7845" s="1832">
        <f>'PCTC-OEPP 27-28'!F110</f>
        <v>0</v>
      </c>
      <c r="D7845" s="2" t="str">
        <f t="shared" si="129"/>
        <v>Error?</v>
      </c>
      <c r="E7845" s="4" t="s">
        <v>1994</v>
      </c>
    </row>
    <row r="7846" spans="1:5" x14ac:dyDescent="0.2">
      <c r="A7846">
        <v>7785</v>
      </c>
      <c r="B7846" s="1832">
        <f>'PCTC-OEPP 27-28'!F111</f>
        <v>0</v>
      </c>
      <c r="D7846" s="2" t="str">
        <f t="shared" si="129"/>
        <v>Error?</v>
      </c>
      <c r="E7846" s="4" t="s">
        <v>1994</v>
      </c>
    </row>
    <row r="7847" spans="1:5" x14ac:dyDescent="0.2">
      <c r="A7847">
        <v>7786</v>
      </c>
      <c r="B7847" s="1832">
        <f>'PCTC-OEPP 27-28'!F112</f>
        <v>0</v>
      </c>
      <c r="D7847" s="2" t="str">
        <f t="shared" si="129"/>
        <v>Error?</v>
      </c>
      <c r="E7847" s="4" t="s">
        <v>1994</v>
      </c>
    </row>
    <row r="7848" spans="1:5" x14ac:dyDescent="0.2">
      <c r="A7848">
        <v>7787</v>
      </c>
      <c r="B7848" s="1832">
        <f>'PCTC-OEPP 27-28'!F114</f>
        <v>0</v>
      </c>
      <c r="D7848" s="2" t="str">
        <f t="shared" si="129"/>
        <v>Error?</v>
      </c>
      <c r="E7848" s="4" t="s">
        <v>1994</v>
      </c>
    </row>
    <row r="7849" spans="1:5" x14ac:dyDescent="0.2">
      <c r="A7849">
        <v>7788</v>
      </c>
      <c r="B7849" s="1832">
        <f>'PCTC-OEPP 27-28'!F115</f>
        <v>0</v>
      </c>
      <c r="D7849" s="2" t="str">
        <f t="shared" si="129"/>
        <v>Error?</v>
      </c>
      <c r="E7849" s="4" t="s">
        <v>1994</v>
      </c>
    </row>
    <row r="7850" spans="1:5" x14ac:dyDescent="0.2">
      <c r="A7850">
        <v>7789</v>
      </c>
      <c r="B7850" s="1832">
        <f>'PCTC-OEPP 27-28'!F116</f>
        <v>0</v>
      </c>
      <c r="D7850" s="2" t="str">
        <f t="shared" si="129"/>
        <v>Error?</v>
      </c>
      <c r="E7850" s="4" t="s">
        <v>1994</v>
      </c>
    </row>
    <row r="7851" spans="1:5" x14ac:dyDescent="0.2">
      <c r="A7851">
        <v>7790</v>
      </c>
      <c r="B7851" s="1832">
        <f>'PCTC-OEPP 27-28'!F117</f>
        <v>0</v>
      </c>
      <c r="D7851" s="2" t="str">
        <f t="shared" si="129"/>
        <v>Error?</v>
      </c>
      <c r="E7851" s="4" t="s">
        <v>1994</v>
      </c>
    </row>
    <row r="7852" spans="1:5" x14ac:dyDescent="0.2">
      <c r="A7852">
        <v>7791</v>
      </c>
      <c r="B7852" s="1832">
        <f>'PCTC-OEPP 27-28'!F118</f>
        <v>0</v>
      </c>
      <c r="D7852" s="2" t="str">
        <f t="shared" si="129"/>
        <v>Error?</v>
      </c>
      <c r="E7852" s="4" t="s">
        <v>1994</v>
      </c>
    </row>
    <row r="7853" spans="1:5" x14ac:dyDescent="0.2">
      <c r="A7853">
        <v>7792</v>
      </c>
      <c r="B7853" s="1832">
        <f>'PCTC-OEPP 27-28'!F119</f>
        <v>0</v>
      </c>
      <c r="D7853" s="2" t="str">
        <f t="shared" si="129"/>
        <v>Error?</v>
      </c>
      <c r="E7853" s="4" t="s">
        <v>1994</v>
      </c>
    </row>
    <row r="7854" spans="1:5" x14ac:dyDescent="0.2">
      <c r="A7854">
        <v>7793</v>
      </c>
      <c r="B7854" s="1832">
        <f>'PCTC-OEPP 27-28'!F120</f>
        <v>0</v>
      </c>
      <c r="D7854" s="2" t="str">
        <f t="shared" si="129"/>
        <v>Error?</v>
      </c>
      <c r="E7854" s="4" t="s">
        <v>1994</v>
      </c>
    </row>
    <row r="7855" spans="1:5" x14ac:dyDescent="0.2">
      <c r="A7855">
        <v>7794</v>
      </c>
      <c r="B7855" s="1832">
        <f>'PCTC-OEPP 27-28'!F122</f>
        <v>0</v>
      </c>
      <c r="D7855" s="2" t="str">
        <f t="shared" si="129"/>
        <v>Error?</v>
      </c>
      <c r="E7855" s="4" t="s">
        <v>1994</v>
      </c>
    </row>
    <row r="7856" spans="1:5" x14ac:dyDescent="0.2">
      <c r="A7856">
        <v>7795</v>
      </c>
      <c r="B7856" s="1832">
        <f>'PCTC-OEPP 27-28'!F124</f>
        <v>0</v>
      </c>
      <c r="D7856" s="2" t="str">
        <f t="shared" si="129"/>
        <v>Error?</v>
      </c>
      <c r="E7856" s="4" t="s">
        <v>1994</v>
      </c>
    </row>
    <row r="7857" spans="1:5" x14ac:dyDescent="0.2">
      <c r="A7857">
        <v>7796</v>
      </c>
      <c r="B7857" s="1832">
        <f>'PCTC-OEPP 27-28'!F125</f>
        <v>0</v>
      </c>
      <c r="D7857" s="2" t="str">
        <f t="shared" si="129"/>
        <v>Error?</v>
      </c>
      <c r="E7857" s="4" t="s">
        <v>1994</v>
      </c>
    </row>
    <row r="7858" spans="1:5" x14ac:dyDescent="0.2">
      <c r="A7858">
        <v>7797</v>
      </c>
      <c r="B7858" s="1832">
        <f>'PCTC-OEPP 27-28'!F126</f>
        <v>32323</v>
      </c>
      <c r="D7858" s="2" t="str">
        <f t="shared" si="129"/>
        <v>Error?</v>
      </c>
      <c r="E7858" s="4" t="s">
        <v>1994</v>
      </c>
    </row>
    <row r="7859" spans="1:5" x14ac:dyDescent="0.2">
      <c r="A7859">
        <v>7798</v>
      </c>
      <c r="B7859" s="1832">
        <f>'PCTC-OEPP 27-28'!F127</f>
        <v>0</v>
      </c>
      <c r="D7859" s="2" t="str">
        <f t="shared" si="129"/>
        <v>Error?</v>
      </c>
      <c r="E7859" s="4" t="s">
        <v>1994</v>
      </c>
    </row>
    <row r="7860" spans="1:5" x14ac:dyDescent="0.2">
      <c r="A7860">
        <v>7799</v>
      </c>
      <c r="B7860" s="1832">
        <f>'PCTC-OEPP 27-28'!F128</f>
        <v>0</v>
      </c>
      <c r="D7860" s="2" t="str">
        <f t="shared" si="129"/>
        <v>Error?</v>
      </c>
      <c r="E7860" s="4" t="s">
        <v>1994</v>
      </c>
    </row>
    <row r="7861" spans="1:5" x14ac:dyDescent="0.2">
      <c r="A7861">
        <v>7800</v>
      </c>
      <c r="B7861" s="1832">
        <f>'PCTC-OEPP 27-28'!F129</f>
        <v>2831483</v>
      </c>
      <c r="D7861" s="2" t="str">
        <f t="shared" si="129"/>
        <v>Error?</v>
      </c>
      <c r="E7861" s="4" t="s">
        <v>1994</v>
      </c>
    </row>
    <row r="7862" spans="1:5" x14ac:dyDescent="0.2">
      <c r="A7862">
        <v>7801</v>
      </c>
      <c r="B7862" s="1832">
        <f>'PCTC-OEPP 27-28'!F130</f>
        <v>0</v>
      </c>
      <c r="D7862" s="2" t="str">
        <f t="shared" si="129"/>
        <v>Error?</v>
      </c>
      <c r="E7862" s="4" t="s">
        <v>1994</v>
      </c>
    </row>
    <row r="7863" spans="1:5" x14ac:dyDescent="0.2">
      <c r="A7863">
        <v>7802</v>
      </c>
      <c r="B7863" s="1832">
        <f>'PCTC-OEPP 27-28'!F131</f>
        <v>0</v>
      </c>
      <c r="D7863" s="2" t="str">
        <f t="shared" si="129"/>
        <v>Error?</v>
      </c>
      <c r="E7863" s="4" t="s">
        <v>1994</v>
      </c>
    </row>
    <row r="7864" spans="1:5" x14ac:dyDescent="0.2">
      <c r="A7864">
        <v>7803</v>
      </c>
      <c r="B7864" s="1832">
        <f>'PCTC-OEPP 27-28'!F132</f>
        <v>0</v>
      </c>
      <c r="D7864" s="2" t="str">
        <f t="shared" si="129"/>
        <v>Error?</v>
      </c>
      <c r="E7864" s="4" t="s">
        <v>1994</v>
      </c>
    </row>
    <row r="7865" spans="1:5" x14ac:dyDescent="0.2">
      <c r="A7865">
        <v>7804</v>
      </c>
      <c r="B7865" s="1832">
        <f>'PCTC-OEPP 27-28'!F133</f>
        <v>0</v>
      </c>
      <c r="D7865" s="2" t="str">
        <f t="shared" si="129"/>
        <v>Error?</v>
      </c>
      <c r="E7865" s="4" t="s">
        <v>1994</v>
      </c>
    </row>
    <row r="7866" spans="1:5" x14ac:dyDescent="0.2">
      <c r="A7866">
        <v>7805</v>
      </c>
      <c r="B7866" s="1832">
        <f>'PCTC-OEPP 27-28'!F158</f>
        <v>0</v>
      </c>
      <c r="D7866" s="2" t="str">
        <f t="shared" si="129"/>
        <v>Error?</v>
      </c>
      <c r="E7866" s="4" t="s">
        <v>1994</v>
      </c>
    </row>
    <row r="7867" spans="1:5" x14ac:dyDescent="0.2">
      <c r="A7867">
        <v>7806</v>
      </c>
      <c r="B7867" s="1832">
        <f>'PCTC-OEPP 27-28'!F160</f>
        <v>0</v>
      </c>
      <c r="D7867" s="2" t="str">
        <f t="shared" si="129"/>
        <v>Error?</v>
      </c>
      <c r="E7867" s="4" t="s">
        <v>1994</v>
      </c>
    </row>
    <row r="7868" spans="1:5" x14ac:dyDescent="0.2">
      <c r="A7868">
        <v>7807</v>
      </c>
      <c r="B7868" s="1832">
        <f>'PCTC-OEPP 27-28'!F161</f>
        <v>0</v>
      </c>
      <c r="D7868" s="2" t="str">
        <f t="shared" si="129"/>
        <v>Error?</v>
      </c>
      <c r="E7868" s="4" t="s">
        <v>1994</v>
      </c>
    </row>
    <row r="7869" spans="1:5" x14ac:dyDescent="0.2">
      <c r="A7869">
        <v>7808</v>
      </c>
      <c r="B7869" s="1832">
        <f>'PCTC-OEPP 27-28'!F162</f>
        <v>0</v>
      </c>
      <c r="D7869" s="2" t="str">
        <f t="shared" si="129"/>
        <v>Error?</v>
      </c>
      <c r="E7869" s="4" t="s">
        <v>1994</v>
      </c>
    </row>
    <row r="7870" spans="1:5" x14ac:dyDescent="0.2">
      <c r="A7870">
        <v>7809</v>
      </c>
      <c r="B7870" s="1832">
        <f>'PCTC-OEPP 27-28'!F163</f>
        <v>0</v>
      </c>
      <c r="D7870" s="2" t="str">
        <f t="shared" si="129"/>
        <v>Error?</v>
      </c>
      <c r="E7870" s="4" t="s">
        <v>1994</v>
      </c>
    </row>
    <row r="7871" spans="1:5" x14ac:dyDescent="0.2">
      <c r="A7871">
        <v>7810</v>
      </c>
      <c r="B7871" s="1832">
        <f>'PCTC-OEPP 27-28'!F164</f>
        <v>0</v>
      </c>
      <c r="D7871" s="2" t="str">
        <f t="shared" si="129"/>
        <v>Error?</v>
      </c>
      <c r="E7871" s="4" t="s">
        <v>1994</v>
      </c>
    </row>
    <row r="7872" spans="1:5" x14ac:dyDescent="0.2">
      <c r="A7872">
        <v>7811</v>
      </c>
      <c r="B7872" s="1832">
        <f>'PCTC-OEPP 27-28'!F165</f>
        <v>0</v>
      </c>
      <c r="D7872" s="2" t="str">
        <f t="shared" si="129"/>
        <v>Error?</v>
      </c>
      <c r="E7872" s="4" t="s">
        <v>1994</v>
      </c>
    </row>
    <row r="7873" spans="1:5" x14ac:dyDescent="0.2">
      <c r="A7873">
        <v>7812</v>
      </c>
      <c r="B7873" s="1832">
        <f>'PCTC-OEPP 27-28'!F166</f>
        <v>0</v>
      </c>
      <c r="D7873" s="2" t="str">
        <f t="shared" si="129"/>
        <v>Error?</v>
      </c>
      <c r="E7873" s="4" t="s">
        <v>1994</v>
      </c>
    </row>
    <row r="7874" spans="1:5" x14ac:dyDescent="0.2">
      <c r="A7874">
        <v>7813</v>
      </c>
      <c r="B7874" s="1832">
        <f>'PCTC-OEPP 27-28'!F169</f>
        <v>64991</v>
      </c>
      <c r="D7874" s="2" t="str">
        <f t="shared" si="129"/>
        <v>Error?</v>
      </c>
      <c r="E7874" s="4" t="s">
        <v>1994</v>
      </c>
    </row>
    <row r="7875" spans="1:5" x14ac:dyDescent="0.2">
      <c r="A7875">
        <v>7814</v>
      </c>
      <c r="B7875" s="1832">
        <f>'PCTC-OEPP 27-28'!F170</f>
        <v>461155</v>
      </c>
      <c r="D7875" s="2" t="str">
        <f t="shared" si="129"/>
        <v>Error?</v>
      </c>
      <c r="E7875" s="4" t="s">
        <v>1994</v>
      </c>
    </row>
    <row r="7876" spans="1:5" x14ac:dyDescent="0.2">
      <c r="A7876">
        <v>7815</v>
      </c>
      <c r="B7876" s="1832">
        <f>'PCTC-OEPP 27-28'!F171</f>
        <v>0</v>
      </c>
      <c r="D7876" s="2" t="str">
        <f t="shared" si="129"/>
        <v>Error?</v>
      </c>
      <c r="E7876" s="4" t="s">
        <v>1994</v>
      </c>
    </row>
    <row r="7877" spans="1:5" x14ac:dyDescent="0.2">
      <c r="A7877">
        <v>7816</v>
      </c>
      <c r="B7877" s="1832">
        <f>'PCTC-OEPP 27-28'!F175</f>
        <v>4740268</v>
      </c>
      <c r="D7877" s="2" t="str">
        <f t="shared" si="129"/>
        <v>Error?</v>
      </c>
      <c r="E7877" s="4" t="s">
        <v>1994</v>
      </c>
    </row>
    <row r="7878" spans="1:5" x14ac:dyDescent="0.2">
      <c r="A7878">
        <v>7817</v>
      </c>
      <c r="B7878" s="1832">
        <f>'PCTC-OEPP 27-28'!F176</f>
        <v>705590</v>
      </c>
      <c r="D7878" s="2" t="str">
        <f t="shared" si="129"/>
        <v>Error?</v>
      </c>
      <c r="E7878" s="4" t="s">
        <v>1994</v>
      </c>
    </row>
    <row r="7879" spans="1:5" x14ac:dyDescent="0.2">
      <c r="A7879">
        <v>7818</v>
      </c>
      <c r="B7879" s="1832">
        <f>'PCTC-OEPP 27-28'!F178</f>
        <v>834762.5</v>
      </c>
      <c r="D7879" s="2" t="str">
        <f t="shared" si="129"/>
        <v>Error?</v>
      </c>
      <c r="E7879" s="4" t="s">
        <v>1994</v>
      </c>
    </row>
    <row r="7880" spans="1:5" x14ac:dyDescent="0.2">
      <c r="A7880">
        <v>7819</v>
      </c>
      <c r="B7880" s="1832" t="e">
        <f>'PCTC-OEPP 27-28'!F180</f>
        <v>#DIV/0!</v>
      </c>
      <c r="D7880" s="2" t="e">
        <f t="shared" si="129"/>
        <v>#DIV/0!</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9" zoomScale="110" zoomScaleNormal="110" workbookViewId="0">
      <selection activeCell="B32" sqref="B32:K32"/>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8" t="s">
        <v>1181</v>
      </c>
      <c r="B2" s="2548"/>
      <c r="C2" s="2548"/>
      <c r="D2" s="2548"/>
      <c r="E2" s="2548"/>
      <c r="F2" s="2548"/>
      <c r="G2" s="2548"/>
      <c r="H2" s="2548"/>
      <c r="I2" s="2548"/>
      <c r="J2" s="2548"/>
      <c r="K2" s="2548"/>
      <c r="L2" s="2548"/>
    </row>
    <row r="3" spans="1:29" ht="13.5" customHeight="1" x14ac:dyDescent="0.2">
      <c r="A3" s="2534" t="s">
        <v>1180</v>
      </c>
      <c r="B3" s="2534"/>
      <c r="C3" s="2534"/>
      <c r="D3" s="2534"/>
      <c r="E3" s="2534"/>
      <c r="F3" s="2534"/>
      <c r="G3" s="2534"/>
      <c r="H3" s="2534"/>
      <c r="I3" s="2534"/>
      <c r="J3" s="2534"/>
      <c r="K3" s="2534"/>
      <c r="L3" s="2534"/>
    </row>
    <row r="4" spans="1:29" ht="13.5" customHeight="1" x14ac:dyDescent="0.2">
      <c r="A4" s="2565" t="str">
        <f>"Year Ending June 30, "&amp;'AFR20'!E2</f>
        <v>Year Ending June 30, 2020</v>
      </c>
      <c r="B4" s="2566"/>
      <c r="C4" s="2566"/>
      <c r="D4" s="2566"/>
      <c r="E4" s="2566"/>
      <c r="F4" s="2566"/>
      <c r="G4" s="2566"/>
      <c r="H4" s="2566"/>
      <c r="I4" s="2566"/>
      <c r="J4" s="2566"/>
      <c r="K4" s="2566"/>
      <c r="L4" s="256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8" t="str">
        <f>COVER!A17</f>
        <v xml:space="preserve">  Franklin-Jefferson Co Sp Ed Dist</v>
      </c>
      <c r="B7" s="2529"/>
      <c r="C7" s="2529"/>
      <c r="D7" s="2567"/>
      <c r="E7" s="2568">
        <f>COVER!A13</f>
        <v>13041801060</v>
      </c>
      <c r="F7" s="2569"/>
      <c r="G7" s="2535" t="str">
        <f>COVER!T23</f>
        <v>060-004252</v>
      </c>
      <c r="H7" s="2536"/>
      <c r="I7" s="2536"/>
      <c r="J7" s="2536"/>
      <c r="K7" s="2536"/>
      <c r="L7" s="253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8"/>
      <c r="B9" s="2539"/>
      <c r="C9" s="2539"/>
      <c r="D9" s="2539"/>
      <c r="E9" s="2539"/>
      <c r="F9" s="2540"/>
      <c r="G9" s="2541" t="str">
        <f>COVER!T13</f>
        <v>Emling &amp; Hoffman, PC</v>
      </c>
      <c r="H9" s="2542"/>
      <c r="I9" s="2542"/>
      <c r="J9" s="2542"/>
      <c r="K9" s="2542"/>
      <c r="L9" s="2543"/>
    </row>
    <row r="10" spans="1:29" ht="13.5" customHeight="1" x14ac:dyDescent="0.2">
      <c r="A10" s="2525" t="str">
        <f>COVER!A38</f>
        <v>Jera Pieper</v>
      </c>
      <c r="B10" s="2526"/>
      <c r="C10" s="2526"/>
      <c r="D10" s="2526"/>
      <c r="E10" s="2526"/>
      <c r="F10" s="2527"/>
      <c r="G10" s="2541" t="str">
        <f>COVER!T17</f>
        <v>1191 West Saint Louis Street</v>
      </c>
      <c r="H10" s="2554"/>
      <c r="I10" s="2554"/>
      <c r="J10" s="2554"/>
      <c r="K10" s="2554"/>
      <c r="L10" s="2555"/>
    </row>
    <row r="11" spans="1:29" ht="13.5" customHeight="1" x14ac:dyDescent="0.2">
      <c r="A11" s="963" t="s">
        <v>1502</v>
      </c>
      <c r="B11" s="964"/>
      <c r="C11" s="965"/>
      <c r="D11" s="970"/>
      <c r="E11" s="965"/>
      <c r="F11" s="969"/>
      <c r="G11" s="2541" t="str">
        <f>COVER!T19</f>
        <v>Nashville</v>
      </c>
      <c r="H11" s="2554"/>
      <c r="I11" s="2554"/>
      <c r="J11" s="2554"/>
      <c r="K11" s="2554"/>
      <c r="L11" s="2555"/>
    </row>
    <row r="12" spans="1:29" ht="13.5" customHeight="1" x14ac:dyDescent="0.2">
      <c r="A12" s="2559" t="s">
        <v>1501</v>
      </c>
      <c r="B12" s="2560"/>
      <c r="C12" s="2560"/>
      <c r="D12" s="2560"/>
      <c r="E12" s="2560"/>
      <c r="F12" s="2561"/>
      <c r="G12" s="2556"/>
      <c r="H12" s="2557"/>
      <c r="I12" s="2557"/>
      <c r="J12" s="2557"/>
      <c r="K12" s="2557"/>
      <c r="L12" s="2558"/>
    </row>
    <row r="13" spans="1:29" ht="13.5" customHeight="1" x14ac:dyDescent="0.2">
      <c r="A13" s="2541"/>
      <c r="B13" s="2554"/>
      <c r="C13" s="2554"/>
      <c r="D13" s="2554"/>
      <c r="E13" s="2554"/>
      <c r="F13" s="2555"/>
      <c r="G13" s="2549" t="s">
        <v>1503</v>
      </c>
      <c r="H13" s="2550"/>
      <c r="I13" s="2562" t="str">
        <f>COVER!T25</f>
        <v>donhoffman@emlingcpa.com</v>
      </c>
      <c r="J13" s="2563"/>
      <c r="K13" s="2563"/>
      <c r="L13" s="2564"/>
    </row>
    <row r="14" spans="1:29" ht="13.5" customHeight="1" x14ac:dyDescent="0.2">
      <c r="A14" s="2541" t="str">
        <f>COVER!A19</f>
        <v>409 East Park</v>
      </c>
      <c r="B14" s="2554"/>
      <c r="C14" s="2554"/>
      <c r="D14" s="2554"/>
      <c r="E14" s="2554"/>
      <c r="F14" s="2555"/>
      <c r="G14" s="974" t="s">
        <v>1175</v>
      </c>
      <c r="H14" s="972"/>
      <c r="I14" s="972"/>
      <c r="J14" s="972"/>
      <c r="K14" s="972"/>
      <c r="L14" s="973"/>
    </row>
    <row r="15" spans="1:29" ht="13.5" customHeight="1" x14ac:dyDescent="0.2">
      <c r="A15" s="2541" t="str">
        <f>COVER!A21</f>
        <v>Benton</v>
      </c>
      <c r="B15" s="2554"/>
      <c r="C15" s="2554"/>
      <c r="D15" s="2554"/>
      <c r="E15" s="2554"/>
      <c r="F15" s="2555"/>
      <c r="G15" s="2551" t="str">
        <f>COVER!T15</f>
        <v>Donald L Hoffman</v>
      </c>
      <c r="H15" s="2552"/>
      <c r="I15" s="2552"/>
      <c r="J15" s="2552"/>
      <c r="K15" s="2552"/>
      <c r="L15" s="2553"/>
    </row>
    <row r="16" spans="1:29" ht="12.2" customHeight="1" x14ac:dyDescent="0.2">
      <c r="A16" s="2531">
        <f>COVER!A25</f>
        <v>62812</v>
      </c>
      <c r="B16" s="2532"/>
      <c r="C16" s="2532"/>
      <c r="D16" s="2532"/>
      <c r="E16" s="2532"/>
      <c r="F16" s="2533"/>
      <c r="G16" s="2544"/>
      <c r="H16" s="2545"/>
      <c r="I16" s="2545"/>
      <c r="J16" s="2545"/>
      <c r="K16" s="2545"/>
      <c r="L16" s="2546"/>
    </row>
    <row r="17" spans="1:13" ht="12.2" customHeight="1" x14ac:dyDescent="0.2">
      <c r="A17" s="2547"/>
      <c r="B17" s="2532"/>
      <c r="C17" s="2532"/>
      <c r="D17" s="2532"/>
      <c r="E17" s="2532"/>
      <c r="F17" s="2533"/>
      <c r="G17" s="974" t="s">
        <v>1174</v>
      </c>
      <c r="H17" s="972"/>
      <c r="I17" s="972"/>
      <c r="J17" s="972"/>
      <c r="K17" s="976" t="s">
        <v>1173</v>
      </c>
      <c r="L17" s="969"/>
      <c r="M17" s="962"/>
    </row>
    <row r="18" spans="1:13" ht="12.2" customHeight="1" x14ac:dyDescent="0.2">
      <c r="A18" s="2525"/>
      <c r="B18" s="2526"/>
      <c r="C18" s="2526"/>
      <c r="D18" s="2526"/>
      <c r="E18" s="2526"/>
      <c r="F18" s="2527"/>
      <c r="G18" s="2528" t="str">
        <f>COVER!T21</f>
        <v>618-327-4375</v>
      </c>
      <c r="H18" s="2529"/>
      <c r="I18" s="2529"/>
      <c r="J18" s="2529"/>
      <c r="K18" s="2528" t="str">
        <f>COVER!X21</f>
        <v>618-327-4376</v>
      </c>
      <c r="L18" s="253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2047</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2047</v>
      </c>
      <c r="C26" s="981" t="s">
        <v>1677</v>
      </c>
    </row>
    <row r="27" spans="1:13" s="977" customFormat="1" ht="9" customHeight="1" x14ac:dyDescent="0.2">
      <c r="B27" s="982"/>
      <c r="C27" s="981"/>
    </row>
    <row r="28" spans="1:13" s="977" customFormat="1" ht="12.2" customHeight="1" x14ac:dyDescent="0.2">
      <c r="A28" s="984"/>
      <c r="B28" s="980" t="s">
        <v>2047</v>
      </c>
      <c r="C28" s="981" t="s">
        <v>1678</v>
      </c>
    </row>
    <row r="29" spans="1:13" s="977" customFormat="1" ht="9" customHeight="1" x14ac:dyDescent="0.2">
      <c r="A29" s="984"/>
      <c r="B29" s="982"/>
      <c r="C29" s="981"/>
    </row>
    <row r="30" spans="1:13" s="977" customFormat="1" ht="12.2" customHeight="1" x14ac:dyDescent="0.2">
      <c r="B30" s="980" t="s">
        <v>2047</v>
      </c>
      <c r="C30" s="981" t="s">
        <v>1545</v>
      </c>
      <c r="D30" s="975"/>
      <c r="E30" s="975"/>
    </row>
    <row r="31" spans="1:13" s="977" customFormat="1" ht="9" customHeight="1" x14ac:dyDescent="0.2">
      <c r="B31" s="982"/>
      <c r="C31" s="981"/>
      <c r="D31" s="975"/>
      <c r="E31" s="975"/>
    </row>
    <row r="32" spans="1:13" s="977" customFormat="1" ht="12.2" customHeight="1" x14ac:dyDescent="0.2">
      <c r="B32" s="980" t="s">
        <v>2047</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2047</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2047</v>
      </c>
      <c r="C38" s="981" t="s">
        <v>1549</v>
      </c>
    </row>
    <row r="39" spans="1:8" ht="9" customHeight="1" x14ac:dyDescent="0.2">
      <c r="B39" s="982"/>
      <c r="C39" s="985"/>
    </row>
    <row r="40" spans="1:8" s="977" customFormat="1" ht="13.5" customHeight="1" x14ac:dyDescent="0.2">
      <c r="B40" s="980" t="s">
        <v>2047</v>
      </c>
      <c r="C40" s="981" t="s">
        <v>1550</v>
      </c>
    </row>
    <row r="41" spans="1:8" ht="9" customHeight="1" x14ac:dyDescent="0.2">
      <c r="A41" s="986"/>
      <c r="B41" s="982"/>
      <c r="C41" s="985"/>
    </row>
    <row r="42" spans="1:8" s="977" customFormat="1" ht="13.5" customHeight="1" x14ac:dyDescent="0.2">
      <c r="B42" s="980" t="s">
        <v>2047</v>
      </c>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t="s">
        <v>2047</v>
      </c>
      <c r="C46" s="988" t="s">
        <v>1551</v>
      </c>
      <c r="D46" s="975"/>
      <c r="E46" s="975"/>
      <c r="F46" s="975"/>
      <c r="G46" s="975"/>
      <c r="H46" s="975"/>
    </row>
    <row r="47" spans="1:8" ht="9" customHeight="1" x14ac:dyDescent="0.2"/>
    <row r="48" spans="1:8" ht="12.2" customHeight="1" x14ac:dyDescent="0.2">
      <c r="B48" s="1541" t="s">
        <v>2047</v>
      </c>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0" fitToHeight="0" orientation="portrait" useFirstPageNumber="1" r:id="rId1"/>
  <headerFooter alignWithMargins="0">
    <oddHeader>&amp;L&amp;8Page 30&amp;R&amp;8Page 30</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0" zoomScale="125" zoomScaleNormal="125" workbookViewId="0">
      <selection activeCell="A19" sqref="A19:H1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70" t="str">
        <f>'Single Audit Cover'!A7</f>
        <v xml:space="preserve">  Franklin-Jefferson Co Sp Ed Dist</v>
      </c>
      <c r="B1" s="2571"/>
      <c r="C1" s="2571"/>
      <c r="D1" s="2571"/>
    </row>
    <row r="2" spans="1:11" s="991" customFormat="1" ht="12.75" x14ac:dyDescent="0.2">
      <c r="A2" s="2572">
        <f>'Single Audit Cover'!E7</f>
        <v>13041801060</v>
      </c>
      <c r="B2" s="2573"/>
      <c r="C2" s="2573"/>
      <c r="D2" s="2573"/>
    </row>
    <row r="3" spans="1:11" s="991" customFormat="1" ht="12.75" x14ac:dyDescent="0.2">
      <c r="A3" s="2570" t="s">
        <v>1496</v>
      </c>
      <c r="B3" s="2571"/>
      <c r="C3" s="2571"/>
      <c r="D3" s="257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1965</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B32" sqref="B32:K3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5" t="str">
        <f>'Single Audit Cover'!A7</f>
        <v xml:space="preserve">  Franklin-Jefferson Co Sp Ed Dist</v>
      </c>
      <c r="B1" s="2575"/>
      <c r="C1" s="2575"/>
      <c r="D1" s="2575"/>
      <c r="E1" s="2575"/>
    </row>
    <row r="2" spans="1:5" x14ac:dyDescent="0.2">
      <c r="A2" s="2576">
        <f>'Single Audit Cover'!E7</f>
        <v>13041801060</v>
      </c>
      <c r="B2" s="2576"/>
      <c r="C2" s="2576"/>
      <c r="D2" s="2576"/>
      <c r="E2" s="2576"/>
    </row>
    <row r="3" spans="1:5" ht="4.5" customHeight="1" x14ac:dyDescent="0.2"/>
    <row r="4" spans="1:5" x14ac:dyDescent="0.2">
      <c r="A4" s="2575" t="s">
        <v>1234</v>
      </c>
      <c r="B4" s="2575"/>
      <c r="C4" s="2575"/>
      <c r="D4" s="2575"/>
      <c r="E4" s="2575"/>
    </row>
    <row r="5" spans="1:5" x14ac:dyDescent="0.2">
      <c r="A5" s="2578" t="str">
        <f>'Single Audit Cover'!A4</f>
        <v>Year Ending June 30, 2020</v>
      </c>
      <c r="B5" s="2578"/>
      <c r="C5" s="2578"/>
      <c r="D5" s="2578"/>
      <c r="E5" s="2578"/>
    </row>
    <row r="6" spans="1:5" x14ac:dyDescent="0.2">
      <c r="A6" s="2575" t="s">
        <v>1233</v>
      </c>
      <c r="B6" s="2575"/>
      <c r="C6" s="2575"/>
      <c r="D6" s="2575"/>
      <c r="E6" s="2575"/>
    </row>
    <row r="8" spans="1:5" x14ac:dyDescent="0.2">
      <c r="A8" s="1036" t="s">
        <v>1232</v>
      </c>
    </row>
    <row r="10" spans="1:5" x14ac:dyDescent="0.2">
      <c r="A10" s="1037" t="s">
        <v>1231</v>
      </c>
      <c r="B10" s="1038" t="s">
        <v>1230</v>
      </c>
      <c r="C10" s="1038"/>
      <c r="D10" s="1039">
        <f>SUM('Acct Summary 7-8'!C7:K7)</f>
        <v>3496719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2000</v>
      </c>
      <c r="B14" s="1038"/>
      <c r="C14" s="1038"/>
      <c r="D14" s="1040">
        <f>'ICR Computation 30'!E11</f>
        <v>0</v>
      </c>
    </row>
    <row r="15" spans="1:5" x14ac:dyDescent="0.2">
      <c r="A15" s="1037"/>
      <c r="B15" s="1038"/>
      <c r="C15" s="1038"/>
    </row>
    <row r="16" spans="1:5" x14ac:dyDescent="0.2">
      <c r="A16" s="1037" t="s">
        <v>1811</v>
      </c>
      <c r="B16" s="1038"/>
      <c r="C16" s="1038"/>
    </row>
    <row r="17" spans="1:4" x14ac:dyDescent="0.2">
      <c r="A17" s="1037" t="s">
        <v>1960</v>
      </c>
      <c r="B17" s="1038" t="s">
        <v>1225</v>
      </c>
      <c r="C17" s="1038"/>
      <c r="D17" s="1040">
        <f>-SUM('Revenues 9-14'!C264:D264,'Revenues 9-14'!F264:G264)</f>
        <v>-461155</v>
      </c>
    </row>
    <row r="19" spans="1:4" ht="13.5" thickBot="1" x14ac:dyDescent="0.25">
      <c r="A19" s="1041" t="s">
        <v>1224</v>
      </c>
      <c r="D19" s="1042">
        <f>SUM(D10:D17)</f>
        <v>3035564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7"/>
      <c r="B24" s="2577"/>
      <c r="D24" s="1044"/>
    </row>
    <row r="25" spans="1:4" x14ac:dyDescent="0.2">
      <c r="A25" s="2574"/>
      <c r="B25" s="2574"/>
      <c r="D25" s="1044"/>
    </row>
    <row r="26" spans="1:4" x14ac:dyDescent="0.2">
      <c r="A26" s="2574"/>
      <c r="B26" s="2574"/>
      <c r="D26" s="1044"/>
    </row>
    <row r="27" spans="1:4" x14ac:dyDescent="0.2">
      <c r="A27" s="2574"/>
      <c r="B27" s="2574"/>
      <c r="D27" s="1044"/>
    </row>
    <row r="28" spans="1:4" x14ac:dyDescent="0.2">
      <c r="A28" s="2574"/>
      <c r="B28" s="2574"/>
      <c r="D28" s="1044"/>
    </row>
    <row r="29" spans="1:4" x14ac:dyDescent="0.2">
      <c r="A29" s="2574"/>
      <c r="B29" s="2574"/>
      <c r="D29" s="1044"/>
    </row>
    <row r="30" spans="1:4" x14ac:dyDescent="0.2">
      <c r="A30" s="2574"/>
      <c r="B30" s="2574"/>
      <c r="D30" s="1044"/>
    </row>
    <row r="32" spans="1:4" x14ac:dyDescent="0.2">
      <c r="A32" s="1036" t="s">
        <v>1222</v>
      </c>
      <c r="D32" s="1039">
        <f>SUM(D19:D30)</f>
        <v>3035564</v>
      </c>
    </row>
    <row r="33" spans="1:4" x14ac:dyDescent="0.2">
      <c r="D33" s="1045"/>
    </row>
    <row r="34" spans="1:4" x14ac:dyDescent="0.2">
      <c r="A34" s="295" t="s">
        <v>1221</v>
      </c>
    </row>
    <row r="35" spans="1:4" x14ac:dyDescent="0.2">
      <c r="A35" s="295" t="s">
        <v>1220</v>
      </c>
      <c r="B35" s="1034" t="s">
        <v>1219</v>
      </c>
      <c r="D35" s="1046">
        <v>3035565</v>
      </c>
    </row>
    <row r="37" spans="1:4" x14ac:dyDescent="0.2">
      <c r="A37" s="1036" t="s">
        <v>1218</v>
      </c>
    </row>
    <row r="39" spans="1:4" ht="13.35" customHeight="1" x14ac:dyDescent="0.2">
      <c r="A39" s="1043" t="s">
        <v>1217</v>
      </c>
    </row>
    <row r="40" spans="1:4" x14ac:dyDescent="0.2">
      <c r="A40" s="2574" t="s">
        <v>2139</v>
      </c>
      <c r="B40" s="2574"/>
      <c r="D40" s="1044">
        <v>-1</v>
      </c>
    </row>
    <row r="41" spans="1:4" x14ac:dyDescent="0.2">
      <c r="A41" s="2574"/>
      <c r="B41" s="2574"/>
      <c r="D41" s="1047"/>
    </row>
    <row r="42" spans="1:4" x14ac:dyDescent="0.2">
      <c r="A42" s="2574"/>
      <c r="B42" s="2574"/>
      <c r="D42" s="1047"/>
    </row>
    <row r="43" spans="1:4" x14ac:dyDescent="0.2">
      <c r="A43" s="2574"/>
      <c r="B43" s="2574"/>
      <c r="D43" s="1047"/>
    </row>
    <row r="44" spans="1:4" x14ac:dyDescent="0.2">
      <c r="A44" s="2574"/>
      <c r="B44" s="2574"/>
      <c r="D44" s="1047"/>
    </row>
    <row r="45" spans="1:4" x14ac:dyDescent="0.2">
      <c r="A45" s="2574"/>
      <c r="B45" s="2574"/>
      <c r="D45" s="1047"/>
    </row>
    <row r="47" spans="1:4" x14ac:dyDescent="0.2">
      <c r="B47" s="1048" t="s">
        <v>1216</v>
      </c>
      <c r="C47" s="1048"/>
      <c r="D47" s="1049">
        <f>SUM(D35:D45)</f>
        <v>3035564</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1" orientation="portrait" useFirstPageNumber="1" r:id="rId1"/>
  <headerFooter alignWithMargins="0">
    <oddHeader>&amp;L&amp;8Page 31&amp;R&amp;8Page 31</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91568-DCE1-437C-91F7-F0A23ED54838}">
  <dimension ref="B1:N152"/>
  <sheetViews>
    <sheetView showGridLines="0" topLeftCell="C10" zoomScaleNormal="100" workbookViewId="0">
      <selection activeCell="B32" sqref="B32:K3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4" t="str">
        <f>'Single Audit Cover'!A7</f>
        <v xml:space="preserve">  Franklin-Jefferson Co Sp Ed Dist</v>
      </c>
      <c r="C1" s="2579"/>
      <c r="D1" s="2579"/>
      <c r="E1" s="2579"/>
      <c r="F1" s="2579"/>
      <c r="G1" s="2579"/>
      <c r="H1" s="2579"/>
      <c r="I1" s="2579"/>
      <c r="J1" s="2579"/>
      <c r="K1" s="2579"/>
      <c r="L1" s="2579"/>
      <c r="M1" s="2579"/>
    </row>
    <row r="2" spans="2:14" ht="15" x14ac:dyDescent="0.2">
      <c r="B2" s="2580">
        <f>'Single Audit Cover'!E7</f>
        <v>13041801060</v>
      </c>
      <c r="C2" s="2580"/>
      <c r="D2" s="2580"/>
      <c r="E2" s="2580"/>
      <c r="F2" s="2580"/>
      <c r="G2" s="2580"/>
      <c r="H2" s="2580"/>
      <c r="I2" s="2580"/>
      <c r="J2" s="2580"/>
      <c r="K2" s="2580"/>
      <c r="L2" s="2580"/>
      <c r="M2" s="2580"/>
      <c r="N2" s="1078"/>
    </row>
    <row r="3" spans="2:14" ht="15" x14ac:dyDescent="0.2">
      <c r="B3" s="2581" t="s">
        <v>1208</v>
      </c>
      <c r="C3" s="2581"/>
      <c r="D3" s="2581"/>
      <c r="E3" s="2581"/>
      <c r="F3" s="2581"/>
      <c r="G3" s="2581"/>
      <c r="H3" s="2581"/>
      <c r="I3" s="2581"/>
      <c r="J3" s="2581"/>
      <c r="K3" s="2581"/>
      <c r="L3" s="2581"/>
      <c r="M3" s="2581"/>
      <c r="N3" s="1078"/>
    </row>
    <row r="4" spans="2:14" ht="15" x14ac:dyDescent="0.2">
      <c r="B4" s="2582" t="str">
        <f>'Single Audit Cover'!A4</f>
        <v>Year Ending June 30, 2020</v>
      </c>
      <c r="C4" s="2582"/>
      <c r="D4" s="2582"/>
      <c r="E4" s="2582"/>
      <c r="F4" s="2582"/>
      <c r="G4" s="2582"/>
      <c r="H4" s="2582"/>
      <c r="I4" s="2582"/>
      <c r="J4" s="2582"/>
      <c r="K4" s="2582"/>
      <c r="L4" s="2582"/>
      <c r="M4" s="2582"/>
      <c r="N4" s="1078"/>
    </row>
    <row r="5" spans="2:14" x14ac:dyDescent="0.2">
      <c r="H5" s="1913"/>
      <c r="J5" s="1913"/>
    </row>
    <row r="6" spans="2:14" x14ac:dyDescent="0.2">
      <c r="B6" s="1079"/>
      <c r="C6" s="1080"/>
      <c r="D6" s="1081" t="s">
        <v>1254</v>
      </c>
      <c r="E6" s="1082" t="s">
        <v>524</v>
      </c>
      <c r="F6" s="1083"/>
      <c r="G6" s="1084" t="s">
        <v>1708</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6" t="s">
        <v>2070</v>
      </c>
      <c r="C11" s="1821"/>
      <c r="D11" s="1822"/>
      <c r="E11" s="1823"/>
      <c r="F11" s="1823"/>
      <c r="G11" s="1823"/>
      <c r="H11" s="1823"/>
      <c r="I11" s="1823"/>
      <c r="J11" s="1823"/>
      <c r="K11" s="1823"/>
      <c r="L11" s="1823"/>
      <c r="M11" s="1823"/>
    </row>
    <row r="12" spans="2:14" ht="20.100000000000001" customHeight="1" x14ac:dyDescent="0.2">
      <c r="B12" s="2036" t="s">
        <v>2071</v>
      </c>
      <c r="C12" s="1824"/>
      <c r="D12" s="1825"/>
      <c r="E12" s="1826"/>
      <c r="F12" s="1826"/>
      <c r="G12" s="1826"/>
      <c r="H12" s="1826"/>
      <c r="I12" s="1826"/>
      <c r="J12" s="1826"/>
      <c r="K12" s="1826"/>
      <c r="L12" s="1823"/>
      <c r="M12" s="1826"/>
    </row>
    <row r="13" spans="2:14" ht="20.100000000000001" customHeight="1" x14ac:dyDescent="0.2">
      <c r="B13" s="1113" t="s">
        <v>2072</v>
      </c>
      <c r="C13" s="1824" t="s">
        <v>2073</v>
      </c>
      <c r="D13" s="1825" t="s">
        <v>2074</v>
      </c>
      <c r="E13" s="1826">
        <v>1562378</v>
      </c>
      <c r="F13" s="1826">
        <v>483621</v>
      </c>
      <c r="G13" s="1826">
        <v>1740204</v>
      </c>
      <c r="H13" s="1826">
        <v>0</v>
      </c>
      <c r="I13" s="1826">
        <v>305795</v>
      </c>
      <c r="J13" s="1826">
        <v>0</v>
      </c>
      <c r="K13" s="1826">
        <v>0</v>
      </c>
      <c r="L13" s="1823">
        <f t="shared" ref="L13:L27" si="0">+G13+I13+K13</f>
        <v>2045999</v>
      </c>
      <c r="M13" s="1826">
        <v>0</v>
      </c>
    </row>
    <row r="14" spans="2:14" ht="20.100000000000001" customHeight="1" x14ac:dyDescent="0.2">
      <c r="B14" s="1113" t="s">
        <v>2072</v>
      </c>
      <c r="C14" s="1824" t="s">
        <v>2073</v>
      </c>
      <c r="D14" s="1825" t="s">
        <v>2074</v>
      </c>
      <c r="E14" s="2037">
        <v>635092</v>
      </c>
      <c r="F14" s="2037">
        <v>0</v>
      </c>
      <c r="G14" s="2037">
        <v>0</v>
      </c>
      <c r="H14" s="2037">
        <v>635092</v>
      </c>
      <c r="I14" s="2037">
        <v>0</v>
      </c>
      <c r="J14" s="2037">
        <v>0</v>
      </c>
      <c r="K14" s="2037">
        <v>0</v>
      </c>
      <c r="L14" s="2038">
        <f t="shared" si="0"/>
        <v>0</v>
      </c>
      <c r="M14" s="2037">
        <v>0</v>
      </c>
    </row>
    <row r="15" spans="2:14" ht="20.100000000000001" customHeight="1" x14ac:dyDescent="0.2">
      <c r="B15" s="1113" t="s">
        <v>2075</v>
      </c>
      <c r="C15" s="1824"/>
      <c r="D15" s="1825"/>
      <c r="E15" s="2039">
        <f>SUM(E13:E14)</f>
        <v>2197470</v>
      </c>
      <c r="F15" s="2039">
        <f t="shared" ref="F15:K15" si="1">SUM(F13:F14)</f>
        <v>483621</v>
      </c>
      <c r="G15" s="2039">
        <f t="shared" si="1"/>
        <v>1740204</v>
      </c>
      <c r="H15" s="2039">
        <f t="shared" si="1"/>
        <v>635092</v>
      </c>
      <c r="I15" s="2039">
        <f t="shared" si="1"/>
        <v>305795</v>
      </c>
      <c r="J15" s="2039">
        <f t="shared" si="1"/>
        <v>0</v>
      </c>
      <c r="K15" s="2039">
        <f t="shared" si="1"/>
        <v>0</v>
      </c>
      <c r="L15" s="2039">
        <f t="shared" si="0"/>
        <v>2045999</v>
      </c>
      <c r="M15" s="2039"/>
    </row>
    <row r="16" spans="2:14" ht="20.100000000000001" customHeight="1" x14ac:dyDescent="0.2">
      <c r="B16" s="1113"/>
      <c r="C16" s="1824"/>
      <c r="D16" s="1825"/>
      <c r="E16" s="1823"/>
      <c r="F16" s="1823"/>
      <c r="G16" s="1823"/>
      <c r="H16" s="1823"/>
      <c r="I16" s="1823"/>
      <c r="J16" s="1823"/>
      <c r="K16" s="1823"/>
      <c r="L16" s="1823"/>
      <c r="M16" s="1823"/>
    </row>
    <row r="17" spans="2:14" ht="20.100000000000001" customHeight="1" x14ac:dyDescent="0.2">
      <c r="B17" s="1113" t="s">
        <v>2076</v>
      </c>
      <c r="C17" s="1824" t="s">
        <v>2073</v>
      </c>
      <c r="D17" s="1825" t="s">
        <v>2078</v>
      </c>
      <c r="E17" s="1826">
        <v>0</v>
      </c>
      <c r="F17" s="1826">
        <v>1596222</v>
      </c>
      <c r="G17" s="1826">
        <v>0</v>
      </c>
      <c r="H17" s="1826">
        <v>0</v>
      </c>
      <c r="I17" s="1826">
        <v>1755632</v>
      </c>
      <c r="J17" s="1826">
        <v>0</v>
      </c>
      <c r="K17" s="1826">
        <v>340106</v>
      </c>
      <c r="L17" s="1823">
        <f t="shared" si="0"/>
        <v>2095738</v>
      </c>
      <c r="M17" s="1826">
        <v>0</v>
      </c>
    </row>
    <row r="18" spans="2:14" ht="20.100000000000001" customHeight="1" x14ac:dyDescent="0.2">
      <c r="B18" s="1113" t="s">
        <v>2076</v>
      </c>
      <c r="C18" s="1824" t="s">
        <v>2073</v>
      </c>
      <c r="D18" s="1825" t="s">
        <v>2078</v>
      </c>
      <c r="E18" s="2037">
        <v>0</v>
      </c>
      <c r="F18" s="2037">
        <v>736451</v>
      </c>
      <c r="G18" s="2037">
        <v>0</v>
      </c>
      <c r="H18" s="2037">
        <v>0</v>
      </c>
      <c r="I18" s="2037">
        <v>0</v>
      </c>
      <c r="J18" s="2037">
        <v>736451</v>
      </c>
      <c r="K18" s="2037">
        <v>0</v>
      </c>
      <c r="L18" s="2038">
        <f>+G18+I18+K18</f>
        <v>0</v>
      </c>
      <c r="M18" s="2037">
        <v>0</v>
      </c>
    </row>
    <row r="19" spans="2:14" ht="20.100000000000001" customHeight="1" x14ac:dyDescent="0.2">
      <c r="B19" s="1113" t="s">
        <v>2077</v>
      </c>
      <c r="C19" s="1824"/>
      <c r="D19" s="1825"/>
      <c r="E19" s="2039">
        <f>SUM(E17:E18)</f>
        <v>0</v>
      </c>
      <c r="F19" s="2039">
        <f>SUM(F17:F18)</f>
        <v>2332673</v>
      </c>
      <c r="G19" s="2039">
        <f t="shared" ref="G19:K19" si="2">SUM(G17:G18)</f>
        <v>0</v>
      </c>
      <c r="H19" s="2039">
        <f t="shared" si="2"/>
        <v>0</v>
      </c>
      <c r="I19" s="2039">
        <f t="shared" si="2"/>
        <v>1755632</v>
      </c>
      <c r="J19" s="2039">
        <f t="shared" si="2"/>
        <v>736451</v>
      </c>
      <c r="K19" s="2039">
        <f t="shared" si="2"/>
        <v>340106</v>
      </c>
      <c r="L19" s="2039">
        <f>+G19+I19+K19</f>
        <v>2095738</v>
      </c>
      <c r="M19" s="2039">
        <v>0</v>
      </c>
    </row>
    <row r="20" spans="2:14" ht="20.100000000000001" customHeight="1" x14ac:dyDescent="0.2">
      <c r="B20" s="1113"/>
      <c r="C20" s="1824"/>
      <c r="D20" s="1825"/>
      <c r="E20" s="1823"/>
      <c r="F20" s="1823"/>
      <c r="G20" s="1823"/>
      <c r="H20" s="1823"/>
      <c r="I20" s="1823"/>
      <c r="J20" s="1823"/>
      <c r="K20" s="1823"/>
      <c r="L20" s="1823"/>
      <c r="M20" s="1823"/>
    </row>
    <row r="21" spans="2:14" ht="20.100000000000001" customHeight="1" x14ac:dyDescent="0.2">
      <c r="B21" s="1113" t="s">
        <v>2080</v>
      </c>
      <c r="C21" s="1824" t="s">
        <v>2081</v>
      </c>
      <c r="D21" s="1825" t="s">
        <v>2082</v>
      </c>
      <c r="E21" s="1826">
        <v>86699</v>
      </c>
      <c r="F21" s="1826">
        <v>2190</v>
      </c>
      <c r="G21" s="1826">
        <v>87781</v>
      </c>
      <c r="H21" s="1826">
        <v>0</v>
      </c>
      <c r="I21" s="1826">
        <v>1108</v>
      </c>
      <c r="J21" s="1826">
        <v>0</v>
      </c>
      <c r="K21" s="1826">
        <v>0</v>
      </c>
      <c r="L21" s="1823">
        <f t="shared" si="0"/>
        <v>88889</v>
      </c>
      <c r="M21" s="1826">
        <v>118627</v>
      </c>
    </row>
    <row r="22" spans="2:14" ht="20.100000000000001" customHeight="1" x14ac:dyDescent="0.2">
      <c r="B22" s="1113" t="s">
        <v>2079</v>
      </c>
      <c r="C22" s="1824" t="s">
        <v>2081</v>
      </c>
      <c r="D22" s="1825" t="s">
        <v>2083</v>
      </c>
      <c r="E22" s="2037">
        <v>0</v>
      </c>
      <c r="F22" s="2037">
        <v>103894</v>
      </c>
      <c r="G22" s="2037">
        <v>0</v>
      </c>
      <c r="H22" s="2037">
        <v>0</v>
      </c>
      <c r="I22" s="2037">
        <v>104375</v>
      </c>
      <c r="J22" s="2037">
        <v>0</v>
      </c>
      <c r="K22" s="2037">
        <v>6279</v>
      </c>
      <c r="L22" s="2038">
        <f t="shared" si="0"/>
        <v>110654</v>
      </c>
      <c r="M22" s="2037">
        <v>114374</v>
      </c>
    </row>
    <row r="23" spans="2:14" ht="20.100000000000001" customHeight="1" x14ac:dyDescent="0.2">
      <c r="B23" s="1113"/>
      <c r="C23" s="1824"/>
      <c r="D23" s="1825"/>
      <c r="E23" s="2039">
        <f>SUM(E21:E22)</f>
        <v>86699</v>
      </c>
      <c r="F23" s="2039">
        <f t="shared" ref="F23:K23" si="3">SUM(F21:F22)</f>
        <v>106084</v>
      </c>
      <c r="G23" s="2039">
        <f t="shared" si="3"/>
        <v>87781</v>
      </c>
      <c r="H23" s="2039">
        <f t="shared" si="3"/>
        <v>0</v>
      </c>
      <c r="I23" s="2039">
        <f t="shared" si="3"/>
        <v>105483</v>
      </c>
      <c r="J23" s="2039">
        <f t="shared" si="3"/>
        <v>0</v>
      </c>
      <c r="K23" s="2039">
        <f t="shared" si="3"/>
        <v>6279</v>
      </c>
      <c r="L23" s="2039">
        <f t="shared" si="0"/>
        <v>199543</v>
      </c>
      <c r="M23" s="2039">
        <v>0</v>
      </c>
    </row>
    <row r="24" spans="2:14" ht="20.100000000000001" customHeight="1" x14ac:dyDescent="0.2">
      <c r="B24" s="2036"/>
      <c r="C24" s="1824"/>
      <c r="D24" s="1825"/>
      <c r="E24" s="1823"/>
      <c r="F24" s="1823"/>
      <c r="G24" s="1823"/>
      <c r="H24" s="1823"/>
      <c r="I24" s="1823"/>
      <c r="J24" s="1823"/>
      <c r="K24" s="1823"/>
      <c r="L24" s="1823"/>
      <c r="M24" s="1823"/>
    </row>
    <row r="25" spans="2:14" ht="20.100000000000001" customHeight="1" x14ac:dyDescent="0.2">
      <c r="B25" s="1113"/>
      <c r="C25" s="1824"/>
      <c r="D25" s="1825"/>
      <c r="E25" s="1826"/>
      <c r="F25" s="1826"/>
      <c r="G25" s="1826"/>
      <c r="H25" s="1826"/>
      <c r="I25" s="1826"/>
      <c r="J25" s="1826"/>
      <c r="K25" s="1826"/>
      <c r="L25" s="1823"/>
      <c r="M25" s="1826"/>
    </row>
    <row r="26" spans="2:14" ht="20.100000000000001" customHeight="1" x14ac:dyDescent="0.2">
      <c r="B26" s="1113"/>
      <c r="C26" s="1824"/>
      <c r="D26" s="1825"/>
      <c r="E26" s="1826"/>
      <c r="F26" s="1826"/>
      <c r="G26" s="1826"/>
      <c r="H26" s="1826"/>
      <c r="I26" s="1826"/>
      <c r="J26" s="1826"/>
      <c r="K26" s="1826"/>
      <c r="L26" s="1823"/>
      <c r="M26" s="1826"/>
    </row>
    <row r="27" spans="2:14" ht="20.100000000000001" customHeight="1" x14ac:dyDescent="0.2">
      <c r="B27" s="2036" t="s">
        <v>2105</v>
      </c>
      <c r="C27" s="1824"/>
      <c r="D27" s="1825"/>
      <c r="E27" s="2041">
        <f>SUM(E23+E19+E15)</f>
        <v>2284169</v>
      </c>
      <c r="F27" s="2041">
        <f t="shared" ref="F27:K27" si="4">SUM(F23+F19+F15)</f>
        <v>2922378</v>
      </c>
      <c r="G27" s="2041">
        <f t="shared" si="4"/>
        <v>1827985</v>
      </c>
      <c r="H27" s="2041">
        <f>SUM(H23+H19+H15)</f>
        <v>635092</v>
      </c>
      <c r="I27" s="2041">
        <f t="shared" si="4"/>
        <v>2166910</v>
      </c>
      <c r="J27" s="2041">
        <f t="shared" si="4"/>
        <v>736451</v>
      </c>
      <c r="K27" s="2041">
        <f t="shared" si="4"/>
        <v>346385</v>
      </c>
      <c r="L27" s="2042">
        <f t="shared" si="0"/>
        <v>4341280</v>
      </c>
      <c r="M27" s="2041">
        <v>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2" orientation="landscape" useFirstPageNumber="1" r:id="rId1"/>
  <headerFooter alignWithMargins="0">
    <oddHeader>&amp;L&amp;8Page 32&amp;R&amp;8Page 32</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D1" zoomScaleNormal="100" workbookViewId="0">
      <selection activeCell="B32" sqref="B32:K3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4" t="str">
        <f>'Single Audit Cover'!A7</f>
        <v xml:space="preserve">  Franklin-Jefferson Co Sp Ed Dist</v>
      </c>
      <c r="C1" s="2579"/>
      <c r="D1" s="2579"/>
      <c r="E1" s="2579"/>
      <c r="F1" s="2579"/>
      <c r="G1" s="2579"/>
      <c r="H1" s="2579"/>
      <c r="I1" s="2579"/>
      <c r="J1" s="2579"/>
      <c r="K1" s="2579"/>
      <c r="L1" s="2579"/>
      <c r="M1" s="2579"/>
    </row>
    <row r="2" spans="2:14" ht="15" x14ac:dyDescent="0.2">
      <c r="B2" s="2580">
        <f>'Single Audit Cover'!E7</f>
        <v>13041801060</v>
      </c>
      <c r="C2" s="2580"/>
      <c r="D2" s="2580"/>
      <c r="E2" s="2580"/>
      <c r="F2" s="2580"/>
      <c r="G2" s="2580"/>
      <c r="H2" s="2580"/>
      <c r="I2" s="2580"/>
      <c r="J2" s="2580"/>
      <c r="K2" s="2580"/>
      <c r="L2" s="2580"/>
      <c r="M2" s="2580"/>
      <c r="N2" s="1078"/>
    </row>
    <row r="3" spans="2:14" ht="15" x14ac:dyDescent="0.2">
      <c r="B3" s="2581" t="s">
        <v>1208</v>
      </c>
      <c r="C3" s="2581"/>
      <c r="D3" s="2581"/>
      <c r="E3" s="2581"/>
      <c r="F3" s="2581"/>
      <c r="G3" s="2581"/>
      <c r="H3" s="2581"/>
      <c r="I3" s="2581"/>
      <c r="J3" s="2581"/>
      <c r="K3" s="2581"/>
      <c r="L3" s="2581"/>
      <c r="M3" s="2581"/>
      <c r="N3" s="1078"/>
    </row>
    <row r="4" spans="2:14" ht="15" x14ac:dyDescent="0.2">
      <c r="B4" s="2582" t="str">
        <f>'Single Audit Cover'!A4</f>
        <v>Year Ending June 30, 2020</v>
      </c>
      <c r="C4" s="2582"/>
      <c r="D4" s="2582"/>
      <c r="E4" s="2582"/>
      <c r="F4" s="2582"/>
      <c r="G4" s="2582"/>
      <c r="H4" s="2582"/>
      <c r="I4" s="2582"/>
      <c r="J4" s="2582"/>
      <c r="K4" s="2582"/>
      <c r="L4" s="2582"/>
      <c r="M4" s="2582"/>
      <c r="N4" s="1078"/>
    </row>
    <row r="5" spans="2:14" x14ac:dyDescent="0.2">
      <c r="H5" s="1913"/>
      <c r="J5" s="1913"/>
    </row>
    <row r="6" spans="2:14" x14ac:dyDescent="0.2">
      <c r="B6" s="1079"/>
      <c r="C6" s="1080"/>
      <c r="D6" s="1081" t="s">
        <v>1254</v>
      </c>
      <c r="E6" s="1082" t="s">
        <v>524</v>
      </c>
      <c r="F6" s="1083"/>
      <c r="G6" s="1084" t="s">
        <v>1708</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6" t="s">
        <v>2070</v>
      </c>
      <c r="C11" s="1821"/>
      <c r="D11" s="1822"/>
      <c r="E11" s="1823"/>
      <c r="F11" s="1823"/>
      <c r="G11" s="1823"/>
      <c r="H11" s="1823"/>
      <c r="I11" s="1823"/>
      <c r="J11" s="1823"/>
      <c r="K11" s="1823"/>
      <c r="L11" s="1823"/>
      <c r="M11" s="1823"/>
    </row>
    <row r="12" spans="2:14" ht="20.100000000000001" customHeight="1" x14ac:dyDescent="0.2">
      <c r="B12" s="2036" t="s">
        <v>2099</v>
      </c>
      <c r="C12" s="1824"/>
      <c r="D12" s="1825"/>
      <c r="E12" s="1826"/>
      <c r="F12" s="1826"/>
      <c r="G12" s="1826"/>
      <c r="H12" s="1826"/>
      <c r="I12" s="1826"/>
      <c r="J12" s="1826"/>
      <c r="K12" s="1826"/>
      <c r="L12" s="1823"/>
      <c r="M12" s="1826"/>
    </row>
    <row r="13" spans="2:14" ht="20.100000000000001" customHeight="1" x14ac:dyDescent="0.2">
      <c r="B13" s="1113" t="s">
        <v>2101</v>
      </c>
      <c r="C13" s="1824"/>
      <c r="D13" s="1825"/>
      <c r="E13" s="1826"/>
      <c r="F13" s="1826"/>
      <c r="G13" s="1826"/>
      <c r="H13" s="1826"/>
      <c r="I13" s="1826"/>
      <c r="J13" s="1826"/>
      <c r="K13" s="1826"/>
      <c r="L13" s="1823"/>
      <c r="M13" s="1826"/>
    </row>
    <row r="14" spans="2:14" ht="20.100000000000001" customHeight="1" x14ac:dyDescent="0.2">
      <c r="B14" s="1113" t="s">
        <v>2102</v>
      </c>
      <c r="C14" s="1824" t="s">
        <v>2081</v>
      </c>
      <c r="D14" s="1825" t="s">
        <v>2100</v>
      </c>
      <c r="E14" s="1826">
        <v>0</v>
      </c>
      <c r="F14" s="1826">
        <v>355</v>
      </c>
      <c r="G14" s="1826">
        <v>0</v>
      </c>
      <c r="H14" s="1826">
        <v>0</v>
      </c>
      <c r="I14" s="1826">
        <v>0</v>
      </c>
      <c r="J14" s="1826">
        <v>0</v>
      </c>
      <c r="K14" s="1826">
        <v>0</v>
      </c>
      <c r="L14" s="1823">
        <f t="shared" ref="L14:L27" si="0">+G14+I14+K14</f>
        <v>0</v>
      </c>
      <c r="M14" s="1826">
        <v>0</v>
      </c>
    </row>
    <row r="15" spans="2:14" ht="20.100000000000001" customHeight="1" x14ac:dyDescent="0.2">
      <c r="B15" s="1113" t="s">
        <v>2137</v>
      </c>
      <c r="C15" s="1824" t="s">
        <v>2073</v>
      </c>
      <c r="D15" s="1825" t="s">
        <v>2138</v>
      </c>
      <c r="E15" s="1826">
        <v>0</v>
      </c>
      <c r="F15" s="1826">
        <v>5192.5600000000004</v>
      </c>
      <c r="G15" s="1826">
        <v>0</v>
      </c>
      <c r="H15" s="1826">
        <v>0</v>
      </c>
      <c r="I15" s="1826">
        <v>0</v>
      </c>
      <c r="J15" s="1826">
        <v>0</v>
      </c>
      <c r="K15" s="1826">
        <v>0</v>
      </c>
      <c r="L15" s="1823">
        <f t="shared" si="0"/>
        <v>0</v>
      </c>
      <c r="M15" s="1826">
        <v>0</v>
      </c>
    </row>
    <row r="16" spans="2:14" ht="20.100000000000001" customHeight="1" x14ac:dyDescent="0.2">
      <c r="B16" s="1113" t="s">
        <v>2103</v>
      </c>
      <c r="C16" s="1824"/>
      <c r="D16" s="1825"/>
      <c r="E16" s="1826"/>
      <c r="F16" s="1826"/>
      <c r="G16" s="1826"/>
      <c r="H16" s="1826"/>
      <c r="I16" s="1826"/>
      <c r="J16" s="1826"/>
      <c r="K16" s="1826"/>
      <c r="L16" s="1823"/>
      <c r="M16" s="1826"/>
    </row>
    <row r="17" spans="2:14" ht="20.100000000000001" customHeight="1" x14ac:dyDescent="0.2">
      <c r="B17" s="1113" t="s">
        <v>2102</v>
      </c>
      <c r="C17" s="1824" t="s">
        <v>2081</v>
      </c>
      <c r="D17" s="1825" t="s">
        <v>2100</v>
      </c>
      <c r="E17" s="1826">
        <v>0</v>
      </c>
      <c r="F17" s="1826">
        <v>11</v>
      </c>
      <c r="G17" s="1826">
        <v>0</v>
      </c>
      <c r="H17" s="1826">
        <v>0</v>
      </c>
      <c r="I17" s="1826">
        <v>0</v>
      </c>
      <c r="J17" s="1826">
        <v>0</v>
      </c>
      <c r="K17" s="1826">
        <v>0</v>
      </c>
      <c r="L17" s="1823">
        <f t="shared" si="0"/>
        <v>0</v>
      </c>
      <c r="M17" s="1826">
        <v>0</v>
      </c>
    </row>
    <row r="18" spans="2:14" ht="20.100000000000001" customHeight="1" x14ac:dyDescent="0.2">
      <c r="B18" s="1113" t="s">
        <v>2137</v>
      </c>
      <c r="C18" s="1824" t="s">
        <v>2073</v>
      </c>
      <c r="D18" s="1825" t="s">
        <v>2138</v>
      </c>
      <c r="E18" s="1826">
        <v>0</v>
      </c>
      <c r="F18" s="1826">
        <v>5162.01</v>
      </c>
      <c r="G18" s="1826">
        <v>0</v>
      </c>
      <c r="H18" s="1826">
        <v>0</v>
      </c>
      <c r="I18" s="1826">
        <v>0</v>
      </c>
      <c r="J18" s="1826">
        <v>0</v>
      </c>
      <c r="K18" s="1826">
        <v>0</v>
      </c>
      <c r="L18" s="1823">
        <v>0</v>
      </c>
      <c r="M18" s="1826">
        <v>0</v>
      </c>
    </row>
    <row r="19" spans="2:14" ht="20.100000000000001" customHeight="1" x14ac:dyDescent="0.2">
      <c r="B19" s="1113" t="s">
        <v>2104</v>
      </c>
      <c r="C19" s="1824"/>
      <c r="D19" s="1825"/>
      <c r="E19" s="1826"/>
      <c r="F19" s="1826"/>
      <c r="G19" s="1826"/>
      <c r="H19" s="1826"/>
      <c r="I19" s="1826"/>
      <c r="J19" s="1826"/>
      <c r="K19" s="1826"/>
      <c r="L19" s="1823"/>
      <c r="M19" s="1826"/>
    </row>
    <row r="20" spans="2:14" ht="20.100000000000001" customHeight="1" x14ac:dyDescent="0.2">
      <c r="B20" s="1113" t="s">
        <v>2102</v>
      </c>
      <c r="C20" s="1824" t="s">
        <v>2081</v>
      </c>
      <c r="D20" s="1825" t="s">
        <v>2100</v>
      </c>
      <c r="E20" s="1826">
        <v>0</v>
      </c>
      <c r="F20" s="1826">
        <v>317</v>
      </c>
      <c r="G20" s="1826">
        <v>0</v>
      </c>
      <c r="H20" s="1826">
        <v>0</v>
      </c>
      <c r="I20" s="1826">
        <v>0</v>
      </c>
      <c r="J20" s="1826">
        <v>0</v>
      </c>
      <c r="K20" s="1826">
        <v>0</v>
      </c>
      <c r="L20" s="1823">
        <f t="shared" si="0"/>
        <v>0</v>
      </c>
      <c r="M20" s="1826">
        <v>0</v>
      </c>
    </row>
    <row r="21" spans="2:14" ht="20.100000000000001" customHeight="1" x14ac:dyDescent="0.2">
      <c r="B21" s="1113" t="s">
        <v>2137</v>
      </c>
      <c r="C21" s="1824" t="s">
        <v>2073</v>
      </c>
      <c r="D21" s="1825" t="s">
        <v>2138</v>
      </c>
      <c r="E21" s="2037">
        <v>0</v>
      </c>
      <c r="F21" s="2037">
        <v>4834.3599999999997</v>
      </c>
      <c r="G21" s="2037">
        <v>0</v>
      </c>
      <c r="H21" s="2037">
        <v>0</v>
      </c>
      <c r="I21" s="2037">
        <v>0</v>
      </c>
      <c r="J21" s="2037">
        <v>0</v>
      </c>
      <c r="K21" s="2037">
        <v>0</v>
      </c>
      <c r="L21" s="2038">
        <f t="shared" si="0"/>
        <v>0</v>
      </c>
      <c r="M21" s="2037">
        <v>0</v>
      </c>
    </row>
    <row r="22" spans="2:14" ht="20.100000000000001" customHeight="1" x14ac:dyDescent="0.2">
      <c r="B22" s="1113"/>
      <c r="C22" s="1824"/>
      <c r="D22" s="1825"/>
      <c r="E22" s="2039">
        <f t="shared" ref="E22:K22" si="1">SUM(E14:E21)</f>
        <v>0</v>
      </c>
      <c r="F22" s="2039">
        <f t="shared" si="1"/>
        <v>15871.93</v>
      </c>
      <c r="G22" s="2039">
        <f t="shared" si="1"/>
        <v>0</v>
      </c>
      <c r="H22" s="2039">
        <f t="shared" si="1"/>
        <v>0</v>
      </c>
      <c r="I22" s="2039">
        <f t="shared" si="1"/>
        <v>0</v>
      </c>
      <c r="J22" s="2039">
        <f t="shared" si="1"/>
        <v>0</v>
      </c>
      <c r="K22" s="2039">
        <f t="shared" si="1"/>
        <v>0</v>
      </c>
      <c r="L22" s="2039">
        <f t="shared" si="0"/>
        <v>0</v>
      </c>
      <c r="M22" s="2039"/>
    </row>
    <row r="23" spans="2:14" ht="20.100000000000001" customHeight="1" x14ac:dyDescent="0.2">
      <c r="B23" s="1113"/>
      <c r="C23" s="1824"/>
      <c r="D23" s="1825"/>
      <c r="E23" s="2038"/>
      <c r="F23" s="2038"/>
      <c r="G23" s="2038"/>
      <c r="H23" s="2038"/>
      <c r="I23" s="2038"/>
      <c r="J23" s="2038"/>
      <c r="K23" s="2038"/>
      <c r="L23" s="2038"/>
      <c r="M23" s="2038"/>
    </row>
    <row r="24" spans="2:14" ht="20.100000000000001" customHeight="1" x14ac:dyDescent="0.2">
      <c r="B24" s="1113"/>
      <c r="C24" s="1824"/>
      <c r="D24" s="1825"/>
      <c r="E24" s="2039"/>
      <c r="F24" s="2039"/>
      <c r="G24" s="2039"/>
      <c r="H24" s="2039"/>
      <c r="I24" s="2039"/>
      <c r="J24" s="2039"/>
      <c r="K24" s="2039"/>
      <c r="L24" s="2039"/>
      <c r="M24" s="2039"/>
    </row>
    <row r="25" spans="2:14" ht="20.100000000000001" customHeight="1" x14ac:dyDescent="0.2">
      <c r="B25" s="1113"/>
      <c r="C25" s="1824"/>
      <c r="D25" s="1825"/>
      <c r="E25" s="1823"/>
      <c r="F25" s="1823"/>
      <c r="G25" s="1823"/>
      <c r="H25" s="1823"/>
      <c r="I25" s="1823"/>
      <c r="J25" s="1823"/>
      <c r="K25" s="1823"/>
      <c r="L25" s="1823"/>
      <c r="M25" s="1823"/>
    </row>
    <row r="26" spans="2:14" ht="20.100000000000001" customHeight="1" x14ac:dyDescent="0.2">
      <c r="B26" s="1113"/>
      <c r="C26" s="1824"/>
      <c r="D26" s="1825"/>
      <c r="E26" s="2037"/>
      <c r="F26" s="2037"/>
      <c r="G26" s="2037"/>
      <c r="H26" s="2037"/>
      <c r="I26" s="2037"/>
      <c r="J26" s="2037"/>
      <c r="K26" s="2037"/>
      <c r="L26" s="2038"/>
      <c r="M26" s="1826"/>
    </row>
    <row r="27" spans="2:14" ht="20.100000000000001" customHeight="1" thickBot="1" x14ac:dyDescent="0.25">
      <c r="B27" s="2036" t="s">
        <v>2106</v>
      </c>
      <c r="C27" s="1824"/>
      <c r="D27" s="1825"/>
      <c r="E27" s="2043">
        <f>SUM(E22+' SEFA '!E23+' SEFA '!E19+' SEFA '!E15)</f>
        <v>2284169</v>
      </c>
      <c r="F27" s="2043">
        <f>SUM(F22+' SEFA '!F23+' SEFA '!F19+' SEFA '!F15)</f>
        <v>2938249.93</v>
      </c>
      <c r="G27" s="2043">
        <f>SUM(G22+' SEFA '!G23+' SEFA '!G19+' SEFA '!G15)</f>
        <v>1827985</v>
      </c>
      <c r="H27" s="2043">
        <f>SUM(H22+' SEFA '!H23+' SEFA '!H19+' SEFA '!H15)</f>
        <v>635092</v>
      </c>
      <c r="I27" s="2043">
        <f>SUM(I22+' SEFA '!I23+' SEFA '!I19+' SEFA '!I15)</f>
        <v>2166910</v>
      </c>
      <c r="J27" s="2043">
        <f>SUM(J22+' SEFA '!J23+' SEFA '!J19+' SEFA '!J15)</f>
        <v>736451</v>
      </c>
      <c r="K27" s="2043">
        <f>SUM(K22+' SEFA '!K23+' SEFA '!K19+' SEFA '!K15)</f>
        <v>346385</v>
      </c>
      <c r="L27" s="2043">
        <f t="shared" si="0"/>
        <v>4341280</v>
      </c>
      <c r="M27" s="1826">
        <v>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3" orientation="landscape" useFirstPageNumber="1" r:id="rId1"/>
  <headerFooter alignWithMargins="0">
    <oddHeader>&amp;L&amp;8Page 33&amp;R&amp;8Page 33</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86" zoomScaleNormal="86" workbookViewId="0">
      <selection activeCell="A19" sqref="A19:H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7" t="s">
        <v>1158</v>
      </c>
      <c r="B2" s="2167"/>
      <c r="C2" s="2167"/>
      <c r="D2" s="2167"/>
      <c r="E2" s="2167"/>
      <c r="F2" s="2167"/>
      <c r="G2" s="2167"/>
      <c r="H2" s="2167"/>
      <c r="I2" s="2167"/>
      <c r="J2" s="216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1766</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81" t="s">
        <v>1616</v>
      </c>
      <c r="B35" s="2182"/>
      <c r="C35" s="2182"/>
      <c r="D35" s="2182"/>
      <c r="E35" s="2183"/>
      <c r="F35" s="2183"/>
      <c r="G35" s="2183"/>
      <c r="H35" s="2183"/>
      <c r="I35" s="218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1" t="s">
        <v>310</v>
      </c>
      <c r="B47" s="2184"/>
      <c r="C47" s="2184"/>
      <c r="D47" s="2184"/>
      <c r="E47" s="2185"/>
      <c r="F47" s="2185"/>
      <c r="G47" s="2185"/>
      <c r="H47" s="2185"/>
      <c r="I47" s="218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2047</v>
      </c>
      <c r="C54" s="174">
        <v>23</v>
      </c>
      <c r="D54" s="238" t="s">
        <v>1346</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8" t="s">
        <v>2068</v>
      </c>
      <c r="C57" s="2189"/>
      <c r="D57" s="2189"/>
      <c r="E57" s="2189"/>
      <c r="F57" s="2189"/>
      <c r="G57" s="2189"/>
      <c r="H57" s="2189"/>
      <c r="I57" s="2189"/>
      <c r="J57" s="2190"/>
    </row>
    <row r="58" spans="1:10" s="176" customFormat="1" x14ac:dyDescent="0.2">
      <c r="A58" s="248"/>
      <c r="B58" s="2191"/>
      <c r="C58" s="2192"/>
      <c r="D58" s="2192"/>
      <c r="E58" s="2192"/>
      <c r="F58" s="2192"/>
      <c r="G58" s="2192"/>
      <c r="H58" s="2192"/>
      <c r="I58" s="2192"/>
      <c r="J58" s="2193"/>
    </row>
    <row r="59" spans="1:10" s="176" customFormat="1" x14ac:dyDescent="0.2">
      <c r="A59" s="248"/>
      <c r="B59" s="2191"/>
      <c r="C59" s="2192"/>
      <c r="D59" s="2192"/>
      <c r="E59" s="2192"/>
      <c r="F59" s="2192"/>
      <c r="G59" s="2192"/>
      <c r="H59" s="2192"/>
      <c r="I59" s="2192"/>
      <c r="J59" s="2193"/>
    </row>
    <row r="60" spans="1:10" s="176" customFormat="1" x14ac:dyDescent="0.2">
      <c r="A60" s="248"/>
      <c r="B60" s="2191"/>
      <c r="C60" s="2192"/>
      <c r="D60" s="2192"/>
      <c r="E60" s="2192"/>
      <c r="F60" s="2192"/>
      <c r="G60" s="2192"/>
      <c r="H60" s="2192"/>
      <c r="I60" s="2192"/>
      <c r="J60" s="2193"/>
    </row>
    <row r="61" spans="1:10" s="176" customFormat="1" x14ac:dyDescent="0.2">
      <c r="A61" s="248"/>
      <c r="B61" s="2191"/>
      <c r="C61" s="2192"/>
      <c r="D61" s="2192"/>
      <c r="E61" s="2192"/>
      <c r="F61" s="2192"/>
      <c r="G61" s="2192"/>
      <c r="H61" s="2192"/>
      <c r="I61" s="2192"/>
      <c r="J61" s="2193"/>
    </row>
    <row r="62" spans="1:10" s="176" customFormat="1" x14ac:dyDescent="0.2">
      <c r="A62" s="248"/>
      <c r="B62" s="2191"/>
      <c r="C62" s="2192"/>
      <c r="D62" s="2192"/>
      <c r="E62" s="2192"/>
      <c r="F62" s="2192"/>
      <c r="G62" s="2192"/>
      <c r="H62" s="2192"/>
      <c r="I62" s="2192"/>
      <c r="J62" s="2193"/>
    </row>
    <row r="63" spans="1:10" s="176" customFormat="1" x14ac:dyDescent="0.2">
      <c r="A63" s="248"/>
      <c r="B63" s="2191"/>
      <c r="C63" s="2192"/>
      <c r="D63" s="2192"/>
      <c r="E63" s="2192"/>
      <c r="F63" s="2192"/>
      <c r="G63" s="2192"/>
      <c r="H63" s="2192"/>
      <c r="I63" s="2192"/>
      <c r="J63" s="2193"/>
    </row>
    <row r="64" spans="1:10" s="176" customFormat="1" x14ac:dyDescent="0.2">
      <c r="A64" s="248"/>
      <c r="B64" s="2191"/>
      <c r="C64" s="2192"/>
      <c r="D64" s="2192"/>
      <c r="E64" s="2192"/>
      <c r="F64" s="2192"/>
      <c r="G64" s="2192"/>
      <c r="H64" s="2192"/>
      <c r="I64" s="2192"/>
      <c r="J64" s="2193"/>
    </row>
    <row r="65" spans="1:11" s="176" customFormat="1" x14ac:dyDescent="0.2">
      <c r="A65" s="248"/>
      <c r="B65" s="2191"/>
      <c r="C65" s="2192"/>
      <c r="D65" s="2192"/>
      <c r="E65" s="2192"/>
      <c r="F65" s="2192"/>
      <c r="G65" s="2192"/>
      <c r="H65" s="2192"/>
      <c r="I65" s="2192"/>
      <c r="J65" s="2193"/>
    </row>
    <row r="66" spans="1:11" s="176" customFormat="1" x14ac:dyDescent="0.2">
      <c r="A66" s="248"/>
      <c r="B66" s="2191"/>
      <c r="C66" s="2192"/>
      <c r="D66" s="2192"/>
      <c r="E66" s="2192"/>
      <c r="F66" s="2192"/>
      <c r="G66" s="2192"/>
      <c r="H66" s="2192"/>
      <c r="I66" s="2192"/>
      <c r="J66" s="2193"/>
    </row>
    <row r="67" spans="1:11" s="176" customFormat="1" ht="9" customHeight="1" x14ac:dyDescent="0.2">
      <c r="A67" s="249"/>
      <c r="B67" s="2194"/>
      <c r="C67" s="2195"/>
      <c r="D67" s="2195"/>
      <c r="E67" s="2195"/>
      <c r="F67" s="2195"/>
      <c r="G67" s="2195"/>
      <c r="H67" s="2195"/>
      <c r="I67" s="2195"/>
      <c r="J67" s="219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1" t="s">
        <v>1312</v>
      </c>
      <c r="B70" s="2184"/>
      <c r="C70" s="2184"/>
      <c r="D70" s="2184"/>
      <c r="E70" s="2185"/>
      <c r="F70" s="2185"/>
      <c r="G70" s="2185"/>
      <c r="H70" s="2185"/>
      <c r="I70" s="218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1868</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6" t="s">
        <v>1309</v>
      </c>
      <c r="B83" s="2186"/>
      <c r="C83" s="2186"/>
      <c r="D83" s="218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7" t="s">
        <v>1985</v>
      </c>
      <c r="B85" s="2197"/>
      <c r="C85" s="2197"/>
      <c r="D85" s="2198"/>
      <c r="E85" s="1544"/>
      <c r="F85" s="1544"/>
      <c r="G85" s="1544"/>
      <c r="H85" s="1544"/>
      <c r="I85" s="1902"/>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9" t="s">
        <v>1985</v>
      </c>
      <c r="B88" s="2200"/>
      <c r="C88" s="2200"/>
      <c r="D88" s="2201"/>
      <c r="E88" s="1544"/>
      <c r="F88" s="1544"/>
      <c r="G88" s="1544"/>
      <c r="H88" s="1544"/>
      <c r="I88" s="1902"/>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3"/>
      <c r="J90" s="1729">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8" t="s">
        <v>2069</v>
      </c>
      <c r="C102" s="2169"/>
      <c r="D102" s="2169"/>
      <c r="E102" s="2169"/>
      <c r="F102" s="2169"/>
      <c r="G102" s="2169"/>
      <c r="H102" s="2169"/>
      <c r="I102" s="2170"/>
    </row>
    <row r="103" spans="1:9" s="176" customFormat="1" ht="11.25" customHeight="1" x14ac:dyDescent="0.2">
      <c r="A103" s="294"/>
      <c r="B103" s="2171"/>
      <c r="C103" s="2172"/>
      <c r="D103" s="2172"/>
      <c r="E103" s="2172"/>
      <c r="F103" s="2172"/>
      <c r="G103" s="2172"/>
      <c r="H103" s="2172"/>
      <c r="I103" s="2173"/>
    </row>
    <row r="104" spans="1:9" s="176" customFormat="1" ht="11.25" customHeight="1" x14ac:dyDescent="0.2">
      <c r="A104" s="294"/>
      <c r="B104" s="2171"/>
      <c r="C104" s="2172"/>
      <c r="D104" s="2172"/>
      <c r="E104" s="2172"/>
      <c r="F104" s="2172"/>
      <c r="G104" s="2172"/>
      <c r="H104" s="2172"/>
      <c r="I104" s="2173"/>
    </row>
    <row r="105" spans="1:9" s="176" customFormat="1" x14ac:dyDescent="0.2">
      <c r="A105" s="294"/>
      <c r="B105" s="2171"/>
      <c r="C105" s="2172"/>
      <c r="D105" s="2172"/>
      <c r="E105" s="2172"/>
      <c r="F105" s="2172"/>
      <c r="G105" s="2172"/>
      <c r="H105" s="2172"/>
      <c r="I105" s="2173"/>
    </row>
    <row r="106" spans="1:9" s="176" customFormat="1" ht="11.25" customHeight="1" x14ac:dyDescent="0.2">
      <c r="A106" s="294"/>
      <c r="B106" s="2171"/>
      <c r="C106" s="2172"/>
      <c r="D106" s="2172"/>
      <c r="E106" s="2172"/>
      <c r="F106" s="2172"/>
      <c r="G106" s="2172"/>
      <c r="H106" s="2172"/>
      <c r="I106" s="2173"/>
    </row>
    <row r="107" spans="1:9" s="176" customFormat="1" ht="11.25" customHeight="1" x14ac:dyDescent="0.2">
      <c r="A107" s="294"/>
      <c r="B107" s="2171"/>
      <c r="C107" s="2172"/>
      <c r="D107" s="2172"/>
      <c r="E107" s="2172"/>
      <c r="F107" s="2172"/>
      <c r="G107" s="2172"/>
      <c r="H107" s="2172"/>
      <c r="I107" s="2173"/>
    </row>
    <row r="108" spans="1:9" s="176" customFormat="1" ht="11.25" customHeight="1" x14ac:dyDescent="0.2">
      <c r="A108" s="294"/>
      <c r="B108" s="2171"/>
      <c r="C108" s="2172"/>
      <c r="D108" s="2172"/>
      <c r="E108" s="2172"/>
      <c r="F108" s="2172"/>
      <c r="G108" s="2172"/>
      <c r="H108" s="2172"/>
      <c r="I108" s="2173"/>
    </row>
    <row r="109" spans="1:9" s="176" customFormat="1" ht="11.25" customHeight="1" x14ac:dyDescent="0.2">
      <c r="A109" s="294"/>
      <c r="B109" s="2171"/>
      <c r="C109" s="2172"/>
      <c r="D109" s="2172"/>
      <c r="E109" s="2172"/>
      <c r="F109" s="2172"/>
      <c r="G109" s="2172"/>
      <c r="H109" s="2172"/>
      <c r="I109" s="2173"/>
    </row>
    <row r="110" spans="1:9" s="176" customFormat="1" ht="11.25" customHeight="1" x14ac:dyDescent="0.2">
      <c r="A110" s="294"/>
      <c r="B110" s="2171"/>
      <c r="C110" s="2172"/>
      <c r="D110" s="2172"/>
      <c r="E110" s="2172"/>
      <c r="F110" s="2172"/>
      <c r="G110" s="2172"/>
      <c r="H110" s="2172"/>
      <c r="I110" s="2173"/>
    </row>
    <row r="111" spans="1:9" s="176" customFormat="1" ht="11.25" customHeight="1" x14ac:dyDescent="0.2">
      <c r="A111" s="294"/>
      <c r="B111" s="2171"/>
      <c r="C111" s="2172"/>
      <c r="D111" s="2172"/>
      <c r="E111" s="2172"/>
      <c r="F111" s="2172"/>
      <c r="G111" s="2172"/>
      <c r="H111" s="2172"/>
      <c r="I111" s="2173"/>
    </row>
    <row r="112" spans="1:9" s="176" customFormat="1" ht="11.25" customHeight="1" x14ac:dyDescent="0.2">
      <c r="A112" s="294"/>
      <c r="B112" s="2174"/>
      <c r="C112" s="2175"/>
      <c r="D112" s="2175"/>
      <c r="E112" s="2175"/>
      <c r="F112" s="2175"/>
      <c r="G112" s="2175"/>
      <c r="H112" s="2175"/>
      <c r="I112" s="217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7" t="s">
        <v>2055</v>
      </c>
      <c r="D114" s="217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8" t="s">
        <v>1319</v>
      </c>
      <c r="D117" s="2179"/>
      <c r="E117" s="2180"/>
      <c r="F117" s="2180"/>
      <c r="G117" s="2180"/>
      <c r="H117" s="218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horizontalDpi="4294967293" verticalDpi="4294967293" r:id="rId1"/>
  <headerFooter differentOddEven="1" differentFirst="1" alignWithMargins="0">
    <oddHeader>&amp;L&amp;8Page &amp;P&amp;C &amp;R&amp;8Page &amp;P</oddHeader>
    <oddFooter>&amp;L&amp;8Printed: &amp;D  &amp;F</oddFooter>
    <evenHeader>&amp;LPage 2a&amp;RPage 2a</evenHeader>
    <firstHeader>&amp;LPage 2&amp;RPage 2</first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C74BF-2F86-4442-B1DE-4F155B24704D}">
  <dimension ref="B1:N152"/>
  <sheetViews>
    <sheetView showGridLines="0" topLeftCell="D16" zoomScaleNormal="100" workbookViewId="0">
      <selection activeCell="B32" sqref="B32:K3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4" t="str">
        <f>'Single Audit Cover'!A7</f>
        <v xml:space="preserve">  Franklin-Jefferson Co Sp Ed Dist</v>
      </c>
      <c r="C1" s="2579"/>
      <c r="D1" s="2579"/>
      <c r="E1" s="2579"/>
      <c r="F1" s="2579"/>
      <c r="G1" s="2579"/>
      <c r="H1" s="2579"/>
      <c r="I1" s="2579"/>
      <c r="J1" s="2579"/>
      <c r="K1" s="2579"/>
      <c r="L1" s="2579"/>
      <c r="M1" s="2579"/>
    </row>
    <row r="2" spans="2:14" ht="15" x14ac:dyDescent="0.2">
      <c r="B2" s="2580">
        <f>'Single Audit Cover'!E7</f>
        <v>13041801060</v>
      </c>
      <c r="C2" s="2580"/>
      <c r="D2" s="2580"/>
      <c r="E2" s="2580"/>
      <c r="F2" s="2580"/>
      <c r="G2" s="2580"/>
      <c r="H2" s="2580"/>
      <c r="I2" s="2580"/>
      <c r="J2" s="2580"/>
      <c r="K2" s="2580"/>
      <c r="L2" s="2580"/>
      <c r="M2" s="2580"/>
      <c r="N2" s="1078"/>
    </row>
    <row r="3" spans="2:14" ht="15" x14ac:dyDescent="0.2">
      <c r="B3" s="2581" t="s">
        <v>1208</v>
      </c>
      <c r="C3" s="2581"/>
      <c r="D3" s="2581"/>
      <c r="E3" s="2581"/>
      <c r="F3" s="2581"/>
      <c r="G3" s="2581"/>
      <c r="H3" s="2581"/>
      <c r="I3" s="2581"/>
      <c r="J3" s="2581"/>
      <c r="K3" s="2581"/>
      <c r="L3" s="2581"/>
      <c r="M3" s="2581"/>
      <c r="N3" s="1078"/>
    </row>
    <row r="4" spans="2:14" ht="15" x14ac:dyDescent="0.2">
      <c r="B4" s="2582" t="str">
        <f>'Single Audit Cover'!A4</f>
        <v>Year Ending June 30, 2020</v>
      </c>
      <c r="C4" s="2582"/>
      <c r="D4" s="2582"/>
      <c r="E4" s="2582"/>
      <c r="F4" s="2582"/>
      <c r="G4" s="2582"/>
      <c r="H4" s="2582"/>
      <c r="I4" s="2582"/>
      <c r="J4" s="2582"/>
      <c r="K4" s="2582"/>
      <c r="L4" s="2582"/>
      <c r="M4" s="2582"/>
      <c r="N4" s="1078"/>
    </row>
    <row r="5" spans="2:14" x14ac:dyDescent="0.2">
      <c r="H5" s="1913"/>
      <c r="J5" s="1913"/>
    </row>
    <row r="6" spans="2:14" x14ac:dyDescent="0.2">
      <c r="B6" s="1079"/>
      <c r="C6" s="1080"/>
      <c r="D6" s="1081" t="s">
        <v>1254</v>
      </c>
      <c r="E6" s="1082" t="s">
        <v>524</v>
      </c>
      <c r="F6" s="1083"/>
      <c r="G6" s="1084" t="s">
        <v>1708</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6" t="s">
        <v>2084</v>
      </c>
      <c r="C11" s="1821"/>
      <c r="D11" s="1822"/>
      <c r="E11" s="1823"/>
      <c r="F11" s="1823"/>
      <c r="G11" s="1823"/>
      <c r="H11" s="1823"/>
      <c r="I11" s="1823"/>
      <c r="J11" s="1823"/>
      <c r="K11" s="1823"/>
      <c r="L11" s="1823"/>
      <c r="M11" s="1823"/>
    </row>
    <row r="12" spans="2:14" ht="20.100000000000001" customHeight="1" x14ac:dyDescent="0.2">
      <c r="B12" s="2036" t="s">
        <v>2071</v>
      </c>
      <c r="C12" s="1824"/>
      <c r="D12" s="1825"/>
      <c r="E12" s="1826"/>
      <c r="F12" s="1826"/>
      <c r="G12" s="1826"/>
      <c r="H12" s="1826"/>
      <c r="I12" s="1826"/>
      <c r="J12" s="1826"/>
      <c r="K12" s="1826"/>
      <c r="L12" s="1823"/>
      <c r="M12" s="1826"/>
    </row>
    <row r="13" spans="2:14" ht="20.100000000000001" customHeight="1" x14ac:dyDescent="0.2">
      <c r="B13" s="1113" t="s">
        <v>2085</v>
      </c>
      <c r="C13" s="1824"/>
      <c r="D13" s="1825"/>
      <c r="E13" s="1826"/>
      <c r="F13" s="1826"/>
      <c r="G13" s="1826"/>
      <c r="H13" s="1826"/>
      <c r="I13" s="1826"/>
      <c r="J13" s="1826"/>
      <c r="K13" s="1826"/>
      <c r="L13" s="1823"/>
      <c r="M13" s="1826"/>
    </row>
    <row r="14" spans="2:14" ht="20.100000000000001" customHeight="1" x14ac:dyDescent="0.2">
      <c r="B14" s="1113" t="s">
        <v>2086</v>
      </c>
      <c r="C14" s="1824">
        <v>10.555</v>
      </c>
      <c r="D14" s="1825" t="s">
        <v>2088</v>
      </c>
      <c r="E14" s="1826">
        <v>17303</v>
      </c>
      <c r="F14" s="1826">
        <v>4582</v>
      </c>
      <c r="G14" s="1826">
        <v>17303</v>
      </c>
      <c r="H14" s="1826">
        <v>0</v>
      </c>
      <c r="I14" s="1826">
        <v>4582</v>
      </c>
      <c r="J14" s="1826">
        <v>0</v>
      </c>
      <c r="K14" s="1826">
        <v>0</v>
      </c>
      <c r="L14" s="1823">
        <f t="shared" ref="L14:L27" si="0">+G14+I14+K14</f>
        <v>21885</v>
      </c>
      <c r="M14" s="1826">
        <v>21885</v>
      </c>
    </row>
    <row r="15" spans="2:14" ht="20.100000000000001" customHeight="1" x14ac:dyDescent="0.2">
      <c r="B15" s="1113" t="s">
        <v>2087</v>
      </c>
      <c r="C15" s="1824">
        <v>10.555</v>
      </c>
      <c r="D15" s="1825" t="s">
        <v>2089</v>
      </c>
      <c r="E15" s="2037">
        <v>0</v>
      </c>
      <c r="F15" s="2037">
        <v>14914</v>
      </c>
      <c r="G15" s="2037">
        <v>0</v>
      </c>
      <c r="H15" s="2037">
        <v>0</v>
      </c>
      <c r="I15" s="2037">
        <v>14914</v>
      </c>
      <c r="J15" s="2037">
        <v>0</v>
      </c>
      <c r="K15" s="2037">
        <v>0</v>
      </c>
      <c r="L15" s="2038">
        <f t="shared" si="0"/>
        <v>14914</v>
      </c>
      <c r="M15" s="2037">
        <v>0</v>
      </c>
    </row>
    <row r="16" spans="2:14" ht="20.100000000000001" customHeight="1" x14ac:dyDescent="0.2">
      <c r="B16" s="1113"/>
      <c r="C16" s="1824"/>
      <c r="D16" s="1825"/>
      <c r="E16" s="2039">
        <f>SUM(E14:E15)</f>
        <v>17303</v>
      </c>
      <c r="F16" s="2039">
        <f t="shared" ref="F16:K16" si="1">SUM(F14:F15)</f>
        <v>19496</v>
      </c>
      <c r="G16" s="2039">
        <f t="shared" si="1"/>
        <v>17303</v>
      </c>
      <c r="H16" s="2039">
        <f t="shared" si="1"/>
        <v>0</v>
      </c>
      <c r="I16" s="2039">
        <f t="shared" si="1"/>
        <v>19496</v>
      </c>
      <c r="J16" s="2039">
        <f t="shared" si="1"/>
        <v>0</v>
      </c>
      <c r="K16" s="2039">
        <f t="shared" si="1"/>
        <v>0</v>
      </c>
      <c r="L16" s="2039">
        <f t="shared" si="0"/>
        <v>36799</v>
      </c>
      <c r="M16" s="2039"/>
    </row>
    <row r="17" spans="2:14" ht="20.100000000000001" customHeight="1" x14ac:dyDescent="0.2">
      <c r="B17" s="1113"/>
      <c r="C17" s="1824"/>
      <c r="D17" s="1825"/>
      <c r="E17" s="1823"/>
      <c r="F17" s="1823"/>
      <c r="G17" s="1823"/>
      <c r="H17" s="1823"/>
      <c r="I17" s="1823"/>
      <c r="J17" s="1823"/>
      <c r="K17" s="1823"/>
      <c r="L17" s="1823"/>
      <c r="M17" s="1823"/>
    </row>
    <row r="18" spans="2:14" ht="20.100000000000001" customHeight="1" x14ac:dyDescent="0.2">
      <c r="B18" s="1113"/>
      <c r="C18" s="1824"/>
      <c r="D18" s="1825"/>
      <c r="E18" s="1826"/>
      <c r="F18" s="1826"/>
      <c r="G18" s="1826"/>
      <c r="H18" s="1826"/>
      <c r="I18" s="1826"/>
      <c r="J18" s="1826"/>
      <c r="K18" s="1826"/>
      <c r="L18" s="1823"/>
      <c r="M18" s="1826"/>
    </row>
    <row r="19" spans="2:14" ht="20.100000000000001" customHeight="1" x14ac:dyDescent="0.2">
      <c r="B19" s="1113" t="s">
        <v>2090</v>
      </c>
      <c r="C19" s="1824"/>
      <c r="D19" s="1825"/>
      <c r="E19" s="1826"/>
      <c r="F19" s="1826"/>
      <c r="G19" s="1826"/>
      <c r="H19" s="1826"/>
      <c r="I19" s="1826"/>
      <c r="J19" s="1826"/>
      <c r="K19" s="1826"/>
      <c r="L19" s="1823"/>
      <c r="M19" s="1826"/>
    </row>
    <row r="20" spans="2:14" ht="20.100000000000001" customHeight="1" x14ac:dyDescent="0.2">
      <c r="B20" s="1113" t="s">
        <v>2086</v>
      </c>
      <c r="C20" s="1824">
        <v>10.553000000000001</v>
      </c>
      <c r="D20" s="1825" t="s">
        <v>2091</v>
      </c>
      <c r="E20" s="1826">
        <v>12196</v>
      </c>
      <c r="F20" s="1826">
        <v>3003</v>
      </c>
      <c r="G20" s="1826">
        <v>12196</v>
      </c>
      <c r="H20" s="1826">
        <v>0</v>
      </c>
      <c r="I20" s="1826">
        <v>3003</v>
      </c>
      <c r="J20" s="1826">
        <v>0</v>
      </c>
      <c r="K20" s="1826">
        <v>0</v>
      </c>
      <c r="L20" s="1823">
        <f t="shared" si="0"/>
        <v>15199</v>
      </c>
      <c r="M20" s="1826">
        <v>15199</v>
      </c>
    </row>
    <row r="21" spans="2:14" ht="20.100000000000001" customHeight="1" x14ac:dyDescent="0.2">
      <c r="B21" s="1113" t="s">
        <v>2087</v>
      </c>
      <c r="C21" s="1824">
        <v>10.553000000000001</v>
      </c>
      <c r="D21" s="1825" t="s">
        <v>2092</v>
      </c>
      <c r="E21" s="2037">
        <v>0</v>
      </c>
      <c r="F21" s="2037">
        <v>9825</v>
      </c>
      <c r="G21" s="2037">
        <v>0</v>
      </c>
      <c r="H21" s="2037">
        <v>0</v>
      </c>
      <c r="I21" s="2037">
        <v>9825</v>
      </c>
      <c r="J21" s="2037">
        <v>0</v>
      </c>
      <c r="K21" s="2037">
        <v>0</v>
      </c>
      <c r="L21" s="2038">
        <f t="shared" si="0"/>
        <v>9825</v>
      </c>
      <c r="M21" s="2037">
        <v>0</v>
      </c>
    </row>
    <row r="22" spans="2:14" ht="20.100000000000001" customHeight="1" x14ac:dyDescent="0.2">
      <c r="B22" s="1113"/>
      <c r="C22" s="1824"/>
      <c r="D22" s="1825"/>
      <c r="E22" s="2039">
        <f>SUM(E20:E21)</f>
        <v>12196</v>
      </c>
      <c r="F22" s="2039">
        <f t="shared" ref="F22:K22" si="2">SUM(F20:F21)</f>
        <v>12828</v>
      </c>
      <c r="G22" s="2039">
        <f t="shared" si="2"/>
        <v>12196</v>
      </c>
      <c r="H22" s="2039">
        <f t="shared" si="2"/>
        <v>0</v>
      </c>
      <c r="I22" s="2039">
        <f t="shared" si="2"/>
        <v>12828</v>
      </c>
      <c r="J22" s="2039">
        <f t="shared" si="2"/>
        <v>0</v>
      </c>
      <c r="K22" s="2039">
        <f t="shared" si="2"/>
        <v>0</v>
      </c>
      <c r="L22" s="2039">
        <f t="shared" si="0"/>
        <v>25024</v>
      </c>
      <c r="M22" s="2039"/>
    </row>
    <row r="23" spans="2:14" ht="20.100000000000001" customHeight="1" x14ac:dyDescent="0.2">
      <c r="B23" s="1113"/>
      <c r="C23" s="1824"/>
      <c r="D23" s="1825"/>
      <c r="E23" s="1823"/>
      <c r="F23" s="1823"/>
      <c r="G23" s="1823"/>
      <c r="H23" s="1823"/>
      <c r="I23" s="1823"/>
      <c r="J23" s="1823"/>
      <c r="K23" s="1823"/>
      <c r="L23" s="1823"/>
      <c r="M23" s="1823"/>
    </row>
    <row r="24" spans="2:14" ht="20.100000000000001" customHeight="1" x14ac:dyDescent="0.2">
      <c r="B24" s="1113"/>
      <c r="C24" s="1824"/>
      <c r="D24" s="1825"/>
      <c r="E24" s="1826"/>
      <c r="F24" s="1826"/>
      <c r="G24" s="1826"/>
      <c r="H24" s="1826"/>
      <c r="I24" s="1826"/>
      <c r="J24" s="1826"/>
      <c r="K24" s="1826"/>
      <c r="L24" s="1823"/>
      <c r="M24" s="1826"/>
    </row>
    <row r="25" spans="2:14" ht="20.100000000000001" customHeight="1" x14ac:dyDescent="0.2">
      <c r="B25" s="1113"/>
      <c r="C25" s="1824"/>
      <c r="D25" s="1825"/>
      <c r="E25" s="1826"/>
      <c r="F25" s="1826"/>
      <c r="G25" s="1826"/>
      <c r="H25" s="1826"/>
      <c r="I25" s="1826"/>
      <c r="J25" s="1826"/>
      <c r="K25" s="1826"/>
      <c r="L25" s="1823"/>
      <c r="M25" s="1826"/>
    </row>
    <row r="26" spans="2:14" ht="20.100000000000001" customHeight="1" x14ac:dyDescent="0.2">
      <c r="B26" s="1113"/>
      <c r="C26" s="1824"/>
      <c r="D26" s="1825"/>
      <c r="E26" s="2037"/>
      <c r="F26" s="2037"/>
      <c r="G26" s="2037"/>
      <c r="H26" s="2037"/>
      <c r="I26" s="2037"/>
      <c r="J26" s="2037"/>
      <c r="K26" s="2037"/>
      <c r="L26" s="2038"/>
      <c r="M26" s="2037"/>
    </row>
    <row r="27" spans="2:14" ht="20.100000000000001" customHeight="1" x14ac:dyDescent="0.2">
      <c r="B27" s="2036" t="s">
        <v>2093</v>
      </c>
      <c r="C27" s="1824"/>
      <c r="D27" s="1825"/>
      <c r="E27" s="2040">
        <f>SUM(E22+E16)</f>
        <v>29499</v>
      </c>
      <c r="F27" s="2040">
        <f t="shared" ref="F27:K27" si="3">SUM(F22+F16)</f>
        <v>32324</v>
      </c>
      <c r="G27" s="2040">
        <f t="shared" si="3"/>
        <v>29499</v>
      </c>
      <c r="H27" s="2040">
        <f t="shared" si="3"/>
        <v>0</v>
      </c>
      <c r="I27" s="2040">
        <f t="shared" si="3"/>
        <v>32324</v>
      </c>
      <c r="J27" s="2040">
        <f t="shared" si="3"/>
        <v>0</v>
      </c>
      <c r="K27" s="2040">
        <f t="shared" si="3"/>
        <v>0</v>
      </c>
      <c r="L27" s="2040">
        <f t="shared" si="0"/>
        <v>61823</v>
      </c>
      <c r="M27" s="2040">
        <v>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4" orientation="landscape" useFirstPageNumber="1" r:id="rId1"/>
  <headerFooter alignWithMargins="0">
    <oddHeader>&amp;L&amp;8Page 34&amp;R&amp;8Page 34</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03DE6-AAE9-47E2-A87B-410E948BFD9A}">
  <dimension ref="B1:N152"/>
  <sheetViews>
    <sheetView showGridLines="0" topLeftCell="D12" zoomScaleNormal="100" workbookViewId="0">
      <selection activeCell="B32" sqref="B32:K3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4" t="str">
        <f>'Single Audit Cover'!A7</f>
        <v xml:space="preserve">  Franklin-Jefferson Co Sp Ed Dist</v>
      </c>
      <c r="C1" s="2579"/>
      <c r="D1" s="2579"/>
      <c r="E1" s="2579"/>
      <c r="F1" s="2579"/>
      <c r="G1" s="2579"/>
      <c r="H1" s="2579"/>
      <c r="I1" s="2579"/>
      <c r="J1" s="2579"/>
      <c r="K1" s="2579"/>
      <c r="L1" s="2579"/>
      <c r="M1" s="2579"/>
    </row>
    <row r="2" spans="2:14" ht="15" x14ac:dyDescent="0.2">
      <c r="B2" s="2580">
        <f>'Single Audit Cover'!E7</f>
        <v>13041801060</v>
      </c>
      <c r="C2" s="2580"/>
      <c r="D2" s="2580"/>
      <c r="E2" s="2580"/>
      <c r="F2" s="2580"/>
      <c r="G2" s="2580"/>
      <c r="H2" s="2580"/>
      <c r="I2" s="2580"/>
      <c r="J2" s="2580"/>
      <c r="K2" s="2580"/>
      <c r="L2" s="2580"/>
      <c r="M2" s="2580"/>
      <c r="N2" s="1078"/>
    </row>
    <row r="3" spans="2:14" ht="15" x14ac:dyDescent="0.2">
      <c r="B3" s="2581" t="s">
        <v>1208</v>
      </c>
      <c r="C3" s="2581"/>
      <c r="D3" s="2581"/>
      <c r="E3" s="2581"/>
      <c r="F3" s="2581"/>
      <c r="G3" s="2581"/>
      <c r="H3" s="2581"/>
      <c r="I3" s="2581"/>
      <c r="J3" s="2581"/>
      <c r="K3" s="2581"/>
      <c r="L3" s="2581"/>
      <c r="M3" s="2581"/>
      <c r="N3" s="1078"/>
    </row>
    <row r="4" spans="2:14" ht="15" x14ac:dyDescent="0.2">
      <c r="B4" s="2582" t="str">
        <f>'Single Audit Cover'!A4</f>
        <v>Year Ending June 30, 2020</v>
      </c>
      <c r="C4" s="2582"/>
      <c r="D4" s="2582"/>
      <c r="E4" s="2582"/>
      <c r="F4" s="2582"/>
      <c r="G4" s="2582"/>
      <c r="H4" s="2582"/>
      <c r="I4" s="2582"/>
      <c r="J4" s="2582"/>
      <c r="K4" s="2582"/>
      <c r="L4" s="2582"/>
      <c r="M4" s="2582"/>
      <c r="N4" s="1078"/>
    </row>
    <row r="5" spans="2:14" x14ac:dyDescent="0.2">
      <c r="H5" s="1913"/>
      <c r="J5" s="1913"/>
    </row>
    <row r="6" spans="2:14" x14ac:dyDescent="0.2">
      <c r="B6" s="1079"/>
      <c r="C6" s="1080"/>
      <c r="D6" s="1081" t="s">
        <v>1254</v>
      </c>
      <c r="E6" s="1082" t="s">
        <v>524</v>
      </c>
      <c r="F6" s="1083"/>
      <c r="G6" s="1084" t="s">
        <v>1708</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6" t="s">
        <v>2094</v>
      </c>
      <c r="C11" s="1821"/>
      <c r="D11" s="1822"/>
      <c r="E11" s="1823"/>
      <c r="F11" s="1823"/>
      <c r="G11" s="1823"/>
      <c r="H11" s="1823"/>
      <c r="I11" s="1823"/>
      <c r="J11" s="1823"/>
      <c r="K11" s="1823"/>
      <c r="L11" s="1823"/>
      <c r="M11" s="1823"/>
    </row>
    <row r="12" spans="2:14" ht="20.100000000000001" customHeight="1" x14ac:dyDescent="0.2">
      <c r="B12" s="2036" t="s">
        <v>2095</v>
      </c>
      <c r="C12" s="1824"/>
      <c r="D12" s="1825"/>
      <c r="E12" s="1826"/>
      <c r="F12" s="1826"/>
      <c r="G12" s="1826"/>
      <c r="H12" s="1826"/>
      <c r="I12" s="1826"/>
      <c r="J12" s="1826"/>
      <c r="K12" s="1826"/>
      <c r="L12" s="1823"/>
      <c r="M12" s="1826"/>
    </row>
    <row r="13" spans="2:14" ht="20.100000000000001" customHeight="1" x14ac:dyDescent="0.2">
      <c r="B13" s="1113" t="s">
        <v>2096</v>
      </c>
      <c r="C13" s="1824"/>
      <c r="D13" s="1825"/>
      <c r="E13" s="1826"/>
      <c r="F13" s="1826"/>
      <c r="G13" s="1826"/>
      <c r="H13" s="1826"/>
      <c r="I13" s="1826"/>
      <c r="J13" s="1826"/>
      <c r="K13" s="1826"/>
      <c r="L13" s="1823"/>
      <c r="M13" s="1826"/>
    </row>
    <row r="14" spans="2:14" ht="20.100000000000001" customHeight="1" x14ac:dyDescent="0.2">
      <c r="B14" s="1113" t="s">
        <v>2086</v>
      </c>
      <c r="C14" s="1824">
        <v>93.778000000000006</v>
      </c>
      <c r="D14" s="1825" t="s">
        <v>2097</v>
      </c>
      <c r="E14" s="1826">
        <v>73699</v>
      </c>
      <c r="F14" s="1826"/>
      <c r="G14" s="1826">
        <v>73699</v>
      </c>
      <c r="H14" s="1826"/>
      <c r="I14" s="1826"/>
      <c r="J14" s="1826"/>
      <c r="K14" s="1826"/>
      <c r="L14" s="1823">
        <f t="shared" ref="L14:L27" si="0">+G14+I14+K14</f>
        <v>73699</v>
      </c>
      <c r="M14" s="1826">
        <v>0</v>
      </c>
    </row>
    <row r="15" spans="2:14" ht="20.100000000000001" customHeight="1" x14ac:dyDescent="0.2">
      <c r="B15" s="1113" t="s">
        <v>2087</v>
      </c>
      <c r="C15" s="1824">
        <v>93.778000000000006</v>
      </c>
      <c r="D15" s="1825" t="s">
        <v>2098</v>
      </c>
      <c r="E15" s="2037">
        <v>0</v>
      </c>
      <c r="F15" s="2037">
        <v>64991</v>
      </c>
      <c r="G15" s="2037">
        <v>0</v>
      </c>
      <c r="H15" s="2037">
        <v>0</v>
      </c>
      <c r="I15" s="2037">
        <v>64991</v>
      </c>
      <c r="J15" s="2037">
        <v>0</v>
      </c>
      <c r="K15" s="2037">
        <v>0</v>
      </c>
      <c r="L15" s="2038">
        <f t="shared" si="0"/>
        <v>64991</v>
      </c>
      <c r="M15" s="2037">
        <v>0</v>
      </c>
    </row>
    <row r="16" spans="2:14" ht="20.100000000000001" customHeight="1" x14ac:dyDescent="0.2">
      <c r="B16" s="1113"/>
      <c r="C16" s="1824"/>
      <c r="D16" s="1825"/>
      <c r="E16" s="2039">
        <f>SUM(E14:E15)</f>
        <v>73699</v>
      </c>
      <c r="F16" s="2039">
        <f t="shared" ref="F16:K16" si="1">SUM(F14:F15)</f>
        <v>64991</v>
      </c>
      <c r="G16" s="2039">
        <f t="shared" si="1"/>
        <v>73699</v>
      </c>
      <c r="H16" s="2039">
        <f t="shared" si="1"/>
        <v>0</v>
      </c>
      <c r="I16" s="2039">
        <f t="shared" si="1"/>
        <v>64991</v>
      </c>
      <c r="J16" s="2039">
        <f t="shared" si="1"/>
        <v>0</v>
      </c>
      <c r="K16" s="2039">
        <f t="shared" si="1"/>
        <v>0</v>
      </c>
      <c r="L16" s="2039">
        <f t="shared" si="0"/>
        <v>138690</v>
      </c>
      <c r="M16" s="2039"/>
    </row>
    <row r="17" spans="2:14" ht="20.100000000000001" customHeight="1" x14ac:dyDescent="0.2">
      <c r="B17" s="1113"/>
      <c r="C17" s="1824"/>
      <c r="D17" s="1825"/>
      <c r="E17" s="1823"/>
      <c r="F17" s="1823"/>
      <c r="G17" s="1823"/>
      <c r="H17" s="1823"/>
      <c r="I17" s="1823"/>
      <c r="J17" s="1823"/>
      <c r="K17" s="1823"/>
      <c r="L17" s="1823"/>
      <c r="M17" s="1823"/>
    </row>
    <row r="18" spans="2:14" ht="20.100000000000001" customHeight="1" x14ac:dyDescent="0.2">
      <c r="B18" s="1113"/>
      <c r="C18" s="1824"/>
      <c r="D18" s="1825"/>
      <c r="E18" s="2037"/>
      <c r="F18" s="2037"/>
      <c r="G18" s="2037"/>
      <c r="H18" s="2037"/>
      <c r="I18" s="2037"/>
      <c r="J18" s="2037"/>
      <c r="K18" s="2037"/>
      <c r="L18" s="2038"/>
      <c r="M18" s="2037"/>
    </row>
    <row r="19" spans="2:14" ht="20.100000000000001" customHeight="1" x14ac:dyDescent="0.2">
      <c r="B19" s="2036" t="s">
        <v>2131</v>
      </c>
      <c r="C19" s="1824"/>
      <c r="D19" s="1825"/>
      <c r="E19" s="2040">
        <f>SUM(E16)</f>
        <v>73699</v>
      </c>
      <c r="F19" s="2040">
        <f t="shared" ref="F19:K19" si="2">SUM(F16)</f>
        <v>64991</v>
      </c>
      <c r="G19" s="2040">
        <f t="shared" si="2"/>
        <v>73699</v>
      </c>
      <c r="H19" s="2040">
        <f t="shared" si="2"/>
        <v>0</v>
      </c>
      <c r="I19" s="2040">
        <f t="shared" si="2"/>
        <v>64991</v>
      </c>
      <c r="J19" s="2040">
        <f t="shared" si="2"/>
        <v>0</v>
      </c>
      <c r="K19" s="2040">
        <f t="shared" si="2"/>
        <v>0</v>
      </c>
      <c r="L19" s="2040">
        <f t="shared" si="0"/>
        <v>138690</v>
      </c>
      <c r="M19" s="2040"/>
    </row>
    <row r="20" spans="2:14" ht="20.100000000000001" customHeight="1" x14ac:dyDescent="0.2">
      <c r="B20" s="1113"/>
      <c r="C20" s="1824"/>
      <c r="D20" s="1825"/>
      <c r="E20" s="1823"/>
      <c r="F20" s="1823"/>
      <c r="G20" s="1823"/>
      <c r="H20" s="1823"/>
      <c r="I20" s="1823"/>
      <c r="J20" s="1823"/>
      <c r="K20" s="1823"/>
      <c r="L20" s="1823"/>
      <c r="M20" s="1823"/>
    </row>
    <row r="21" spans="2:14" ht="20.100000000000001" customHeight="1" x14ac:dyDescent="0.2">
      <c r="B21" s="1113"/>
      <c r="C21" s="1824"/>
      <c r="D21" s="1825"/>
      <c r="E21" s="1826"/>
      <c r="F21" s="1826"/>
      <c r="G21" s="1826"/>
      <c r="H21" s="1826"/>
      <c r="I21" s="1826"/>
      <c r="J21" s="1826"/>
      <c r="K21" s="1826"/>
      <c r="L21" s="1823"/>
      <c r="M21" s="1826"/>
    </row>
    <row r="22" spans="2:14" ht="20.100000000000001" customHeight="1" x14ac:dyDescent="0.2">
      <c r="B22" s="1113"/>
      <c r="C22" s="1824"/>
      <c r="D22" s="1825"/>
      <c r="E22" s="1826"/>
      <c r="F22" s="1826"/>
      <c r="G22" s="1826"/>
      <c r="H22" s="1826"/>
      <c r="I22" s="1826"/>
      <c r="J22" s="1826"/>
      <c r="K22" s="1826"/>
      <c r="L22" s="1823"/>
      <c r="M22" s="1826"/>
    </row>
    <row r="23" spans="2:14" ht="20.100000000000001" customHeight="1" x14ac:dyDescent="0.2">
      <c r="B23" s="1113"/>
      <c r="C23" s="1824"/>
      <c r="D23" s="1825"/>
      <c r="E23" s="1826"/>
      <c r="F23" s="1826"/>
      <c r="G23" s="1826"/>
      <c r="H23" s="1826"/>
      <c r="I23" s="1826"/>
      <c r="J23" s="1826"/>
      <c r="K23" s="1826"/>
      <c r="L23" s="1823"/>
      <c r="M23" s="1826"/>
    </row>
    <row r="24" spans="2:14" ht="20.100000000000001" customHeight="1" x14ac:dyDescent="0.2">
      <c r="B24" s="1113"/>
      <c r="C24" s="1824"/>
      <c r="D24" s="1825"/>
      <c r="E24" s="1826"/>
      <c r="F24" s="1826"/>
      <c r="G24" s="1826"/>
      <c r="H24" s="1826"/>
      <c r="I24" s="1826"/>
      <c r="J24" s="1826"/>
      <c r="K24" s="1826"/>
      <c r="L24" s="1823"/>
      <c r="M24" s="1826"/>
    </row>
    <row r="25" spans="2:14" ht="20.100000000000001" customHeight="1" x14ac:dyDescent="0.2">
      <c r="B25" s="1113"/>
      <c r="C25" s="1824"/>
      <c r="D25" s="1825"/>
      <c r="E25" s="1826"/>
      <c r="F25" s="1826"/>
      <c r="G25" s="1826"/>
      <c r="H25" s="1826"/>
      <c r="I25" s="1826"/>
      <c r="J25" s="1826"/>
      <c r="K25" s="1826"/>
      <c r="L25" s="1823"/>
      <c r="M25" s="1826"/>
    </row>
    <row r="26" spans="2:14" ht="20.100000000000001" customHeight="1" x14ac:dyDescent="0.2">
      <c r="B26" s="1113"/>
      <c r="C26" s="1824"/>
      <c r="D26" s="1825"/>
      <c r="E26" s="2037"/>
      <c r="F26" s="2037"/>
      <c r="G26" s="2037"/>
      <c r="H26" s="2037"/>
      <c r="I26" s="2037"/>
      <c r="J26" s="2037"/>
      <c r="K26" s="2037"/>
      <c r="L26" s="2038"/>
      <c r="M26" s="2037"/>
    </row>
    <row r="27" spans="2:14" ht="20.100000000000001" customHeight="1" thickBot="1" x14ac:dyDescent="0.25">
      <c r="B27" s="2036" t="s">
        <v>2132</v>
      </c>
      <c r="C27" s="1824"/>
      <c r="D27" s="1825"/>
      <c r="E27" s="2043">
        <f>SUM(E19+' SEFA (2)'!E27+' SEFA'!E27)</f>
        <v>2387367</v>
      </c>
      <c r="F27" s="2043">
        <f>SUM(F19+' SEFA (2)'!F27+' SEFA'!F27)</f>
        <v>3035564.93</v>
      </c>
      <c r="G27" s="2043">
        <f>SUM(G19+' SEFA (2)'!G27+' SEFA'!G27)</f>
        <v>1931183</v>
      </c>
      <c r="H27" s="2043">
        <f>SUM(H19+' SEFA (2)'!H27+' SEFA'!H27)</f>
        <v>635092</v>
      </c>
      <c r="I27" s="2043">
        <f>SUM(I19+' SEFA (2)'!I27+' SEFA'!I27)</f>
        <v>2264225</v>
      </c>
      <c r="J27" s="2043">
        <f>SUM(J19+' SEFA (2)'!J27+' SEFA'!J27)</f>
        <v>736451</v>
      </c>
      <c r="K27" s="2043">
        <f>SUM(K19+' SEFA (2)'!K27+' SEFA'!K27)</f>
        <v>346385</v>
      </c>
      <c r="L27" s="2043">
        <f t="shared" si="0"/>
        <v>4541793</v>
      </c>
      <c r="M27" s="2043">
        <v>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5" orientation="landscape" useFirstPageNumber="1" r:id="rId1"/>
  <headerFooter alignWithMargins="0">
    <oddHeader>&amp;L&amp;8Page 35&amp;R&amp;8Page 35</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B32" sqref="B32:K3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4" t="str">
        <f>'Single Audit Cover'!A7</f>
        <v xml:space="preserve">  Franklin-Jefferson Co Sp Ed Dist</v>
      </c>
      <c r="B1" s="2584"/>
      <c r="C1" s="2584"/>
      <c r="D1" s="2584"/>
      <c r="E1" s="2584"/>
      <c r="F1" s="2584"/>
    </row>
    <row r="2" spans="1:7" ht="13.5" customHeight="1" x14ac:dyDescent="0.2">
      <c r="A2" s="2580">
        <f>'Single Audit Cover'!E7</f>
        <v>13041801060</v>
      </c>
      <c r="B2" s="2580"/>
      <c r="C2" s="2580"/>
      <c r="D2" s="2580"/>
      <c r="E2" s="2580"/>
      <c r="F2" s="2580"/>
      <c r="G2" s="1051"/>
    </row>
    <row r="3" spans="1:7" ht="15.75" customHeight="1" x14ac:dyDescent="0.2">
      <c r="A3" s="2585" t="s">
        <v>1260</v>
      </c>
      <c r="B3" s="2585"/>
      <c r="C3" s="2585"/>
      <c r="D3" s="2585"/>
      <c r="E3" s="2585"/>
      <c r="F3" s="2585"/>
    </row>
    <row r="4" spans="1:7" ht="13.5" customHeight="1" x14ac:dyDescent="0.2">
      <c r="A4" s="2586" t="str">
        <f>'Single Audit Cover'!A4</f>
        <v>Year Ending June 30, 2020</v>
      </c>
      <c r="B4" s="2586"/>
      <c r="C4" s="2586"/>
      <c r="D4" s="2586"/>
      <c r="E4" s="2586"/>
      <c r="F4" s="2586"/>
    </row>
    <row r="5" spans="1:7" ht="8.25" customHeight="1" x14ac:dyDescent="0.2">
      <c r="C5" s="295"/>
      <c r="D5" s="295"/>
    </row>
    <row r="6" spans="1:7" ht="13.5" customHeight="1" x14ac:dyDescent="0.2">
      <c r="A6" s="1052" t="s">
        <v>1705</v>
      </c>
      <c r="C6" s="295"/>
      <c r="D6" s="295"/>
    </row>
    <row r="7" spans="1:7" ht="60.95" customHeight="1" x14ac:dyDescent="0.2">
      <c r="A7" s="2583" t="s">
        <v>2179</v>
      </c>
      <c r="B7" s="2583"/>
      <c r="C7" s="2583"/>
      <c r="D7" s="2583"/>
      <c r="E7" s="2583"/>
      <c r="F7" s="2583"/>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2047</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24" customHeight="1" x14ac:dyDescent="0.2">
      <c r="A13" s="2583" t="s">
        <v>2133</v>
      </c>
      <c r="B13" s="2583"/>
      <c r="C13" s="2583"/>
      <c r="D13" s="2583"/>
      <c r="E13" s="2583"/>
      <c r="F13" s="2583"/>
    </row>
    <row r="14" spans="1:7" ht="9.75" customHeight="1" x14ac:dyDescent="0.2">
      <c r="C14" s="1036"/>
      <c r="D14" s="1036"/>
    </row>
    <row r="15" spans="1:7" ht="13.5" customHeight="1" x14ac:dyDescent="0.2">
      <c r="C15" s="1476" t="s">
        <v>1259</v>
      </c>
      <c r="D15" s="2588" t="s">
        <v>1258</v>
      </c>
      <c r="E15" s="2588"/>
      <c r="F15" s="2588"/>
    </row>
    <row r="16" spans="1:7" ht="13.5" customHeight="1" x14ac:dyDescent="0.2">
      <c r="A16" s="1058"/>
      <c r="B16" s="1052" t="s">
        <v>1257</v>
      </c>
      <c r="C16" s="1476" t="s">
        <v>1256</v>
      </c>
      <c r="D16" s="2589" t="s">
        <v>1571</v>
      </c>
      <c r="E16" s="2589"/>
      <c r="F16" s="2589"/>
    </row>
    <row r="17" spans="1:6" ht="20.45" customHeight="1" x14ac:dyDescent="0.2">
      <c r="A17" s="1059"/>
      <c r="B17" s="1060" t="s">
        <v>2144</v>
      </c>
      <c r="C17" s="1061" t="s">
        <v>2073</v>
      </c>
      <c r="D17" s="2587"/>
      <c r="E17" s="2587"/>
      <c r="F17" s="2587"/>
    </row>
    <row r="18" spans="1:6" ht="20.65" customHeight="1" x14ac:dyDescent="0.2">
      <c r="A18" s="1059"/>
      <c r="B18" s="1060" t="s">
        <v>2145</v>
      </c>
      <c r="C18" s="1061"/>
      <c r="D18" s="2587">
        <v>43583</v>
      </c>
      <c r="E18" s="2587"/>
      <c r="F18" s="2587"/>
    </row>
    <row r="19" spans="1:6" ht="20.65" customHeight="1" x14ac:dyDescent="0.2">
      <c r="A19" s="1059"/>
      <c r="B19" s="1060" t="s">
        <v>2146</v>
      </c>
      <c r="C19" s="1061"/>
      <c r="D19" s="2587">
        <v>18897</v>
      </c>
      <c r="E19" s="2587"/>
      <c r="F19" s="2587"/>
    </row>
    <row r="20" spans="1:6" ht="20.65" customHeight="1" x14ac:dyDescent="0.2">
      <c r="A20" s="1059"/>
      <c r="B20" s="1060" t="s">
        <v>2147</v>
      </c>
      <c r="C20" s="1061"/>
      <c r="D20" s="2587">
        <v>37038</v>
      </c>
      <c r="E20" s="2587"/>
      <c r="F20" s="2587"/>
    </row>
    <row r="21" spans="1:6" ht="20.65" customHeight="1" x14ac:dyDescent="0.2">
      <c r="A21" s="1059"/>
      <c r="B21" s="1060" t="s">
        <v>2148</v>
      </c>
      <c r="C21" s="1061"/>
      <c r="D21" s="2587">
        <v>14586</v>
      </c>
      <c r="E21" s="2587"/>
      <c r="F21" s="2587"/>
    </row>
    <row r="22" spans="1:6" ht="20.65" customHeight="1" x14ac:dyDescent="0.2">
      <c r="A22" s="1059"/>
      <c r="B22" s="1060" t="s">
        <v>2150</v>
      </c>
      <c r="C22" s="1061"/>
      <c r="D22" s="2587">
        <v>13228</v>
      </c>
      <c r="E22" s="2587"/>
      <c r="F22" s="2587"/>
    </row>
    <row r="23" spans="1:6" ht="20.65" customHeight="1" x14ac:dyDescent="0.2">
      <c r="A23" s="1059"/>
      <c r="B23" s="1060" t="s">
        <v>2149</v>
      </c>
      <c r="C23" s="1061"/>
      <c r="D23" s="2587">
        <v>61226</v>
      </c>
      <c r="E23" s="2587"/>
      <c r="F23" s="2587"/>
    </row>
    <row r="24" spans="1:6" ht="20.65" customHeight="1" x14ac:dyDescent="0.2">
      <c r="A24" s="1059"/>
      <c r="B24" s="1060" t="s">
        <v>2154</v>
      </c>
      <c r="C24" s="1061"/>
      <c r="D24" s="2587">
        <v>14362</v>
      </c>
      <c r="E24" s="2587"/>
      <c r="F24" s="2587"/>
    </row>
    <row r="25" spans="1:6" ht="20.65" customHeight="1" x14ac:dyDescent="0.2">
      <c r="A25" s="1059"/>
      <c r="B25" s="1060" t="s">
        <v>2153</v>
      </c>
      <c r="C25" s="1061"/>
      <c r="D25" s="2587">
        <v>5291</v>
      </c>
      <c r="E25" s="2587"/>
      <c r="F25" s="2587"/>
    </row>
    <row r="26" spans="1:6" ht="20.65" customHeight="1" x14ac:dyDescent="0.2">
      <c r="A26" s="1059"/>
      <c r="B26" s="1060" t="s">
        <v>2152</v>
      </c>
      <c r="C26" s="1061"/>
      <c r="D26" s="2587">
        <v>25322</v>
      </c>
      <c r="E26" s="2587"/>
      <c r="F26" s="2587"/>
    </row>
    <row r="27" spans="1:6" ht="20.65" customHeight="1" x14ac:dyDescent="0.2">
      <c r="A27" s="1059"/>
      <c r="B27" s="1060" t="s">
        <v>2151</v>
      </c>
      <c r="C27" s="1061"/>
      <c r="D27" s="2587">
        <v>17007</v>
      </c>
      <c r="E27" s="2587"/>
      <c r="F27" s="2587"/>
    </row>
    <row r="28" spans="1:6" ht="20.65" customHeight="1" x14ac:dyDescent="0.2">
      <c r="A28" s="1059"/>
      <c r="B28" s="1060" t="s">
        <v>2155</v>
      </c>
      <c r="C28" s="1061"/>
      <c r="D28" s="2587">
        <v>28025</v>
      </c>
      <c r="E28" s="2587"/>
      <c r="F28" s="2587"/>
    </row>
    <row r="29" spans="1:6" ht="20.65" customHeight="1" x14ac:dyDescent="0.2">
      <c r="A29" s="1059"/>
      <c r="B29" s="1060" t="s">
        <v>2156</v>
      </c>
      <c r="C29" s="1061"/>
      <c r="D29" s="2587">
        <v>23810</v>
      </c>
      <c r="E29" s="2587"/>
      <c r="F29" s="258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91" t="s">
        <v>2134</v>
      </c>
      <c r="B32" s="2591"/>
      <c r="C32" s="2591"/>
      <c r="D32" s="2591"/>
      <c r="E32" s="2591"/>
      <c r="F32" s="2591"/>
    </row>
    <row r="33" spans="1:6" ht="13.5" customHeight="1" x14ac:dyDescent="0.2">
      <c r="A33" s="306" t="s">
        <v>1417</v>
      </c>
      <c r="B33" s="306"/>
      <c r="C33" s="1064">
        <v>0</v>
      </c>
      <c r="D33" s="1526"/>
      <c r="E33" s="1062"/>
    </row>
    <row r="34" spans="1:6" ht="13.5" customHeight="1" x14ac:dyDescent="0.2">
      <c r="A34" s="306" t="s">
        <v>1807</v>
      </c>
      <c r="B34" s="306"/>
      <c r="C34" s="1065">
        <v>0</v>
      </c>
      <c r="D34" s="1526" t="s">
        <v>1572</v>
      </c>
      <c r="E34" s="2592">
        <f>+C33+C34</f>
        <v>0</v>
      </c>
      <c r="F34" s="259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4" t="s">
        <v>1573</v>
      </c>
      <c r="C49" s="2594"/>
      <c r="D49" s="2594"/>
      <c r="E49" s="1168"/>
    </row>
    <row r="50" spans="1:5" s="1076" customFormat="1" ht="3.75" customHeight="1" x14ac:dyDescent="0.2">
      <c r="A50" s="1075"/>
      <c r="B50" s="1475"/>
      <c r="C50" s="1475"/>
      <c r="D50" s="1475"/>
      <c r="E50" s="1168"/>
    </row>
    <row r="51" spans="1:5" s="1076" customFormat="1" ht="20.25" customHeight="1" x14ac:dyDescent="0.2">
      <c r="A51" s="1077">
        <v>6</v>
      </c>
      <c r="B51" s="2590" t="s">
        <v>1534</v>
      </c>
      <c r="C51" s="2590"/>
      <c r="D51" s="2590"/>
    </row>
    <row r="52" spans="1:5" ht="14.25" customHeight="1" x14ac:dyDescent="0.2">
      <c r="A52" s="1077"/>
      <c r="B52" s="2590"/>
      <c r="C52" s="2590"/>
      <c r="D52" s="259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6" orientation="portrait" useFirstPageNumber="1" r:id="rId1"/>
  <headerFooter alignWithMargins="0">
    <oddHeader xml:space="preserve">&amp;L&amp;8Page 36&amp;R&amp;8Page 36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AC20-B31D-4A21-8CDC-EE0DB2984C25}">
  <sheetPr>
    <pageSetUpPr fitToPage="1"/>
  </sheetPr>
  <dimension ref="A1:G52"/>
  <sheetViews>
    <sheetView showGridLines="0" zoomScale="120" zoomScaleNormal="120" workbookViewId="0">
      <selection activeCell="B32" sqref="B32:K3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4" t="str">
        <f>'Single Audit Cover'!A7</f>
        <v xml:space="preserve">  Franklin-Jefferson Co Sp Ed Dist</v>
      </c>
      <c r="B1" s="2584"/>
      <c r="C1" s="2584"/>
      <c r="D1" s="2584"/>
      <c r="E1" s="2584"/>
      <c r="F1" s="2584"/>
    </row>
    <row r="2" spans="1:7" ht="13.5" customHeight="1" x14ac:dyDescent="0.2">
      <c r="A2" s="2580">
        <f>'Single Audit Cover'!E7</f>
        <v>13041801060</v>
      </c>
      <c r="B2" s="2580"/>
      <c r="C2" s="2580"/>
      <c r="D2" s="2580"/>
      <c r="E2" s="2580"/>
      <c r="F2" s="2580"/>
      <c r="G2" s="1051"/>
    </row>
    <row r="3" spans="1:7" ht="15.75" customHeight="1" x14ac:dyDescent="0.2">
      <c r="A3" s="2585" t="s">
        <v>1260</v>
      </c>
      <c r="B3" s="2585"/>
      <c r="C3" s="2585"/>
      <c r="D3" s="2585"/>
      <c r="E3" s="2585"/>
      <c r="F3" s="2585"/>
    </row>
    <row r="4" spans="1:7" ht="13.5" customHeight="1" x14ac:dyDescent="0.2">
      <c r="A4" s="2586" t="str">
        <f>'Single Audit Cover'!A4</f>
        <v>Year Ending June 30, 2020</v>
      </c>
      <c r="B4" s="2586"/>
      <c r="C4" s="2586"/>
      <c r="D4" s="2586"/>
      <c r="E4" s="2586"/>
      <c r="F4" s="2586"/>
    </row>
    <row r="5" spans="1:7" ht="8.25" customHeight="1" x14ac:dyDescent="0.2">
      <c r="C5" s="295"/>
      <c r="D5" s="295"/>
    </row>
    <row r="6" spans="1:7" ht="13.5" customHeight="1" x14ac:dyDescent="0.2">
      <c r="A6" s="1052"/>
      <c r="C6" s="295"/>
      <c r="D6" s="295"/>
    </row>
    <row r="7" spans="1:7" ht="15" customHeight="1" x14ac:dyDescent="0.2">
      <c r="A7" s="2583"/>
      <c r="B7" s="2583"/>
      <c r="C7" s="2583"/>
      <c r="D7" s="2583"/>
      <c r="E7" s="2583"/>
      <c r="F7" s="2583"/>
    </row>
    <row r="8" spans="1:7" ht="12" hidden="1" customHeight="1" x14ac:dyDescent="0.2">
      <c r="A8" s="1052"/>
      <c r="B8" s="1058"/>
      <c r="C8" s="1058"/>
      <c r="D8" s="1058"/>
    </row>
    <row r="9" spans="1:7" ht="15" hidden="1" customHeight="1" x14ac:dyDescent="0.2">
      <c r="A9" s="1053"/>
      <c r="B9" s="1056"/>
      <c r="C9" s="1056"/>
      <c r="D9" s="1056"/>
      <c r="E9" s="1054"/>
      <c r="F9" s="1054"/>
      <c r="G9" s="1054"/>
    </row>
    <row r="10" spans="1:7" ht="15" hidden="1" customHeight="1" x14ac:dyDescent="0.2">
      <c r="A10" s="1055"/>
      <c r="B10" s="1056"/>
      <c r="C10" s="1057"/>
      <c r="D10" s="1056"/>
      <c r="E10" s="1057"/>
      <c r="F10" s="1056"/>
      <c r="G10" s="1054"/>
    </row>
    <row r="11" spans="1:7" ht="12" customHeight="1" x14ac:dyDescent="0.2">
      <c r="A11" s="1055"/>
      <c r="B11" s="1056"/>
      <c r="C11" s="1525"/>
      <c r="D11" s="1056"/>
      <c r="E11" s="1525"/>
      <c r="F11" s="1056"/>
      <c r="G11" s="1054"/>
    </row>
    <row r="12" spans="1:7" x14ac:dyDescent="0.2">
      <c r="A12" s="1052" t="s">
        <v>2143</v>
      </c>
      <c r="C12" s="1036"/>
      <c r="D12" s="1036"/>
    </row>
    <row r="13" spans="1:7" ht="24" customHeight="1" x14ac:dyDescent="0.2">
      <c r="A13" s="2583" t="s">
        <v>2133</v>
      </c>
      <c r="B13" s="2583"/>
      <c r="C13" s="2583"/>
      <c r="D13" s="2583"/>
      <c r="E13" s="2583"/>
      <c r="F13" s="2583"/>
    </row>
    <row r="14" spans="1:7" ht="9.75" customHeight="1" x14ac:dyDescent="0.2">
      <c r="C14" s="1036"/>
      <c r="D14" s="1036"/>
    </row>
    <row r="15" spans="1:7" ht="13.5" customHeight="1" x14ac:dyDescent="0.2">
      <c r="C15" s="2035" t="s">
        <v>1259</v>
      </c>
      <c r="D15" s="2588" t="s">
        <v>1258</v>
      </c>
      <c r="E15" s="2588"/>
      <c r="F15" s="2588"/>
    </row>
    <row r="16" spans="1:7" ht="13.5" customHeight="1" x14ac:dyDescent="0.2">
      <c r="A16" s="1058"/>
      <c r="B16" s="1052" t="s">
        <v>1257</v>
      </c>
      <c r="C16" s="2035" t="s">
        <v>1256</v>
      </c>
      <c r="D16" s="2589" t="s">
        <v>1571</v>
      </c>
      <c r="E16" s="2589"/>
      <c r="F16" s="2589"/>
    </row>
    <row r="17" spans="1:6" ht="20.45" customHeight="1" x14ac:dyDescent="0.2">
      <c r="A17" s="1059"/>
      <c r="B17" s="1060" t="s">
        <v>2144</v>
      </c>
      <c r="C17" s="1061"/>
      <c r="D17" s="2587"/>
      <c r="E17" s="2587"/>
      <c r="F17" s="2587"/>
    </row>
    <row r="18" spans="1:6" ht="20.65" customHeight="1" x14ac:dyDescent="0.2">
      <c r="A18" s="1059"/>
      <c r="B18" s="1060" t="s">
        <v>2157</v>
      </c>
      <c r="C18" s="1061"/>
      <c r="D18" s="2587">
        <v>48027</v>
      </c>
      <c r="E18" s="2587"/>
      <c r="F18" s="2587"/>
    </row>
    <row r="19" spans="1:6" ht="20.65" customHeight="1" x14ac:dyDescent="0.2">
      <c r="A19" s="1059"/>
      <c r="B19" s="1060" t="s">
        <v>2158</v>
      </c>
      <c r="C19" s="1061"/>
      <c r="D19" s="2587">
        <v>208375</v>
      </c>
      <c r="E19" s="2587"/>
      <c r="F19" s="2587"/>
    </row>
    <row r="20" spans="1:6" ht="20.65" customHeight="1" x14ac:dyDescent="0.2">
      <c r="A20" s="1059"/>
      <c r="B20" s="1060" t="s">
        <v>2159</v>
      </c>
      <c r="C20" s="1061"/>
      <c r="D20" s="2587">
        <v>10582</v>
      </c>
      <c r="E20" s="2587"/>
      <c r="F20" s="2587"/>
    </row>
    <row r="21" spans="1:6" ht="20.65" customHeight="1" x14ac:dyDescent="0.2">
      <c r="A21" s="1059"/>
      <c r="B21" s="1060" t="s">
        <v>2160</v>
      </c>
      <c r="C21" s="1061"/>
      <c r="D21" s="2587">
        <v>108990</v>
      </c>
      <c r="E21" s="2587"/>
      <c r="F21" s="2587"/>
    </row>
    <row r="22" spans="1:6" ht="20.65" customHeight="1" x14ac:dyDescent="0.2">
      <c r="A22" s="1059"/>
      <c r="B22" s="1060" t="s">
        <v>2161</v>
      </c>
      <c r="C22" s="1061"/>
      <c r="D22" s="2587">
        <v>41573</v>
      </c>
      <c r="E22" s="2587"/>
      <c r="F22" s="2587"/>
    </row>
    <row r="23" spans="1:6" ht="20.65" customHeight="1" x14ac:dyDescent="0.2">
      <c r="A23" s="1059"/>
      <c r="B23" s="1060" t="s">
        <v>2162</v>
      </c>
      <c r="C23" s="1061"/>
      <c r="D23" s="2587">
        <v>12493</v>
      </c>
      <c r="E23" s="2587"/>
      <c r="F23" s="2587"/>
    </row>
    <row r="24" spans="1:6" ht="20.65" customHeight="1" x14ac:dyDescent="0.2">
      <c r="A24" s="1059"/>
      <c r="B24" s="1060" t="s">
        <v>2163</v>
      </c>
      <c r="C24" s="1061"/>
      <c r="D24" s="2587">
        <v>3904</v>
      </c>
      <c r="E24" s="2587"/>
      <c r="F24" s="2587"/>
    </row>
    <row r="25" spans="1:6" ht="20.65" customHeight="1" x14ac:dyDescent="0.2">
      <c r="A25" s="1059"/>
      <c r="B25" s="1060" t="s">
        <v>2164</v>
      </c>
      <c r="C25" s="1061"/>
      <c r="D25" s="2587">
        <v>92</v>
      </c>
      <c r="E25" s="2587"/>
      <c r="F25" s="2587"/>
    </row>
    <row r="26" spans="1:6" ht="20.65" customHeight="1" x14ac:dyDescent="0.2">
      <c r="A26" s="1059"/>
      <c r="B26" s="1060" t="s">
        <v>2165</v>
      </c>
      <c r="C26" s="1061"/>
      <c r="D26" s="2587">
        <v>40</v>
      </c>
      <c r="E26" s="2587"/>
      <c r="F26" s="2587"/>
    </row>
    <row r="27" spans="1:6" ht="20.65" customHeight="1" x14ac:dyDescent="0.2">
      <c r="A27" s="1059"/>
      <c r="B27" s="1060"/>
      <c r="C27" s="1061"/>
      <c r="D27" s="2587"/>
      <c r="E27" s="2587"/>
      <c r="F27" s="2587"/>
    </row>
    <row r="28" spans="1:6" ht="20.65" customHeight="1" x14ac:dyDescent="0.2">
      <c r="A28" s="1059"/>
      <c r="B28" s="1060"/>
      <c r="C28" s="1061"/>
      <c r="D28" s="2587"/>
      <c r="E28" s="2587"/>
      <c r="F28" s="2587"/>
    </row>
    <row r="29" spans="1:6" ht="20.65" customHeight="1" x14ac:dyDescent="0.2">
      <c r="A29" s="1059"/>
      <c r="B29" s="1060"/>
      <c r="C29" s="1061"/>
      <c r="D29" s="2587">
        <f>SUM('SEFA NOTES'!D18:F18+'SEFA NOTES'!D19:F19+'SEFA NOTES'!D20:F20+'SEFA NOTES'!D21:F21+'SEFA NOTES'!D22:F22+'SEFA NOTES'!D23:F23+'SEFA NOTES'!D24:F24+'SEFA NOTES'!D25:F25+'SEFA NOTES'!D26:F26+'SEFA NOTES'!D27:F27+'SEFA NOTES'!D28:F28+'SEFA NOTES'!D29:F29+'SEFA NOTES (2)'!D18:F18+'SEFA NOTES (2)'!D19:F19+'SEFA NOTES (2)'!D20:F20+'SEFA NOTES (2)'!D21:F21+'SEFA NOTES (2)'!D22:F22+'SEFA NOTES (2)'!D23:F23+'SEFA NOTES (2)'!D24:F24+'SEFA NOTES (2)'!D25:F25+'SEFA NOTES (2)'!D26:F26)</f>
        <v>736451</v>
      </c>
      <c r="E29" s="2587"/>
      <c r="F29" s="2587"/>
    </row>
    <row r="30" spans="1:6" ht="12" customHeight="1" x14ac:dyDescent="0.2">
      <c r="A30" s="306"/>
      <c r="B30" s="306"/>
      <c r="C30" s="1233"/>
      <c r="D30" s="1526"/>
      <c r="E30" s="1062"/>
    </row>
    <row r="31" spans="1:6" ht="12" customHeight="1" x14ac:dyDescent="0.2">
      <c r="A31" s="1063"/>
      <c r="B31" s="306"/>
      <c r="C31" s="1233"/>
      <c r="D31" s="1526"/>
      <c r="E31" s="1062"/>
    </row>
    <row r="32" spans="1:6" ht="30" customHeight="1" x14ac:dyDescent="0.2">
      <c r="A32" s="2591"/>
      <c r="B32" s="2591"/>
      <c r="C32" s="2591"/>
      <c r="D32" s="2591"/>
      <c r="E32" s="2591"/>
      <c r="F32" s="2591"/>
    </row>
    <row r="33" spans="1:6" ht="13.5" customHeight="1" x14ac:dyDescent="0.2">
      <c r="A33" s="306"/>
      <c r="B33" s="306"/>
      <c r="C33" s="2046"/>
      <c r="D33" s="1526"/>
      <c r="E33" s="1231"/>
      <c r="F33" s="300"/>
    </row>
    <row r="34" spans="1:6" ht="13.5" customHeight="1" x14ac:dyDescent="0.2">
      <c r="A34" s="306"/>
      <c r="B34" s="306"/>
      <c r="C34" s="2046"/>
      <c r="D34" s="1526"/>
      <c r="E34" s="2595"/>
      <c r="F34" s="2596"/>
    </row>
    <row r="35" spans="1:6" ht="12" customHeight="1" x14ac:dyDescent="0.2">
      <c r="A35" s="306"/>
      <c r="B35" s="306"/>
      <c r="C35" s="1527"/>
      <c r="D35" s="1526"/>
      <c r="E35" s="2047"/>
      <c r="F35" s="2033"/>
    </row>
    <row r="36" spans="1:6" ht="13.5" customHeight="1" x14ac:dyDescent="0.2">
      <c r="A36" s="1063"/>
      <c r="B36" s="306"/>
      <c r="C36" s="1233"/>
      <c r="D36" s="1526"/>
      <c r="E36" s="1231"/>
      <c r="F36" s="300"/>
    </row>
    <row r="37" spans="1:6" ht="14.25" customHeight="1" x14ac:dyDescent="0.2">
      <c r="A37" s="306"/>
      <c r="B37" s="306"/>
      <c r="C37" s="1528"/>
      <c r="D37" s="1526"/>
      <c r="E37" s="1231"/>
      <c r="F37" s="300"/>
    </row>
    <row r="38" spans="1:6" ht="14.25" customHeight="1" x14ac:dyDescent="0.2">
      <c r="A38" s="306"/>
      <c r="B38" s="306"/>
      <c r="C38" s="2048"/>
      <c r="D38" s="1526"/>
      <c r="E38" s="1231"/>
      <c r="F38" s="300"/>
    </row>
    <row r="39" spans="1:6" ht="14.25" customHeight="1" x14ac:dyDescent="0.2">
      <c r="A39" s="306"/>
      <c r="B39" s="306"/>
      <c r="C39" s="2048"/>
      <c r="D39" s="1526"/>
      <c r="E39" s="1231"/>
      <c r="F39" s="300"/>
    </row>
    <row r="40" spans="1:6" ht="14.25" customHeight="1" x14ac:dyDescent="0.2">
      <c r="A40" s="306"/>
      <c r="B40" s="306"/>
      <c r="C40" s="2048"/>
      <c r="D40" s="1526"/>
      <c r="E40" s="1231"/>
      <c r="F40" s="300"/>
    </row>
    <row r="41" spans="1:6" ht="14.25" customHeight="1" x14ac:dyDescent="0.2">
      <c r="A41" s="306"/>
      <c r="B41" s="306"/>
      <c r="C41" s="2048"/>
      <c r="D41" s="1526"/>
      <c r="E41" s="1231"/>
      <c r="F41" s="300"/>
    </row>
    <row r="42" spans="1:6" ht="14.25" customHeight="1" x14ac:dyDescent="0.2">
      <c r="A42" s="306"/>
      <c r="B42" s="306"/>
      <c r="C42" s="2049"/>
      <c r="D42" s="1526"/>
      <c r="E42" s="1231"/>
      <c r="F42" s="300"/>
    </row>
    <row r="43" spans="1:6" ht="14.25" customHeight="1" x14ac:dyDescent="0.2">
      <c r="A43" s="306"/>
      <c r="B43" s="306"/>
      <c r="C43" s="2048"/>
      <c r="D43" s="1526"/>
      <c r="E43" s="1231"/>
      <c r="F43" s="300"/>
    </row>
    <row r="44" spans="1:6" ht="14.25" customHeight="1" x14ac:dyDescent="0.2">
      <c r="A44" s="306"/>
      <c r="B44" s="306"/>
      <c r="C44" s="1528"/>
      <c r="D44" s="1526"/>
      <c r="E44" s="1231"/>
      <c r="F44" s="300"/>
    </row>
    <row r="45" spans="1:6" ht="13.5" customHeight="1" x14ac:dyDescent="0.2">
      <c r="A45" s="300"/>
      <c r="B45" s="300"/>
      <c r="C45" s="1070"/>
      <c r="D45" s="1070"/>
      <c r="E45" s="300"/>
      <c r="F45" s="300"/>
    </row>
    <row r="46" spans="1:6" x14ac:dyDescent="0.2">
      <c r="A46" s="1074"/>
      <c r="B46" s="300"/>
      <c r="C46" s="300"/>
      <c r="D46" s="300"/>
      <c r="E46" s="300"/>
      <c r="F46" s="300"/>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4" t="s">
        <v>1573</v>
      </c>
      <c r="C49" s="2594"/>
      <c r="D49" s="2594"/>
      <c r="E49" s="1168"/>
    </row>
    <row r="50" spans="1:5" s="1076" customFormat="1" ht="3.75" customHeight="1" x14ac:dyDescent="0.2">
      <c r="A50" s="1075"/>
      <c r="B50" s="2034"/>
      <c r="C50" s="2034"/>
      <c r="D50" s="2034"/>
      <c r="E50" s="1168"/>
    </row>
    <row r="51" spans="1:5" s="1076" customFormat="1" ht="20.25" customHeight="1" x14ac:dyDescent="0.2">
      <c r="A51" s="1077">
        <v>6</v>
      </c>
      <c r="B51" s="2590" t="s">
        <v>1534</v>
      </c>
      <c r="C51" s="2590"/>
      <c r="D51" s="2590"/>
    </row>
    <row r="52" spans="1:5" ht="14.25" customHeight="1" x14ac:dyDescent="0.2">
      <c r="A52" s="1077"/>
      <c r="B52" s="2590"/>
      <c r="C52" s="2590"/>
      <c r="D52" s="259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9" right="0.27" top="0.43" bottom="0" header="0.26" footer="0.5"/>
  <pageSetup scale="99" firstPageNumber="37" orientation="portrait" useFirstPageNumber="1" r:id="rId1"/>
  <headerFooter alignWithMargins="0">
    <oddHeader>&amp;L&amp;8Page 37&amp;R&amp;8Page 37</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B32" sqref="B32:K32"/>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1" t="str">
        <f>'Single Audit Cover'!A7</f>
        <v xml:space="preserve">  Franklin-Jefferson Co Sp Ed Dist</v>
      </c>
      <c r="C1" s="2602"/>
      <c r="D1" s="2602"/>
      <c r="E1" s="2602"/>
      <c r="F1" s="2602"/>
      <c r="G1" s="2602"/>
      <c r="H1" s="2602"/>
      <c r="I1" s="2602"/>
      <c r="J1" s="1178"/>
    </row>
    <row r="2" spans="2:10" s="295" customFormat="1" ht="12.75" customHeight="1" x14ac:dyDescent="0.2">
      <c r="B2" s="2603">
        <f>'Single Audit Cover'!E7</f>
        <v>13041801060</v>
      </c>
      <c r="C2" s="2604"/>
      <c r="D2" s="2604"/>
      <c r="E2" s="2604"/>
      <c r="F2" s="2604"/>
      <c r="G2" s="2604"/>
      <c r="H2" s="2604"/>
      <c r="I2" s="2604"/>
      <c r="J2" s="1178"/>
    </row>
    <row r="3" spans="2:10" s="295" customFormat="1" ht="12.75" customHeight="1" x14ac:dyDescent="0.2">
      <c r="B3" s="2605" t="s">
        <v>1274</v>
      </c>
      <c r="C3" s="2606"/>
      <c r="D3" s="2606"/>
      <c r="E3" s="2606"/>
      <c r="F3" s="2606"/>
      <c r="G3" s="2606"/>
      <c r="H3" s="2606"/>
      <c r="I3" s="2606"/>
      <c r="J3" s="1179"/>
    </row>
    <row r="4" spans="2:10" s="295" customFormat="1" ht="12.75" customHeight="1" x14ac:dyDescent="0.2">
      <c r="B4" s="2605" t="str">
        <f>'Single Audit Cover'!A4</f>
        <v>Year Ending June 30, 2020</v>
      </c>
      <c r="C4" s="2606"/>
      <c r="D4" s="2606"/>
      <c r="E4" s="2606"/>
      <c r="F4" s="2606"/>
      <c r="G4" s="2606"/>
      <c r="H4" s="2606"/>
      <c r="I4" s="2606"/>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5" t="s">
        <v>1273</v>
      </c>
      <c r="C7" s="2606"/>
      <c r="D7" s="2606"/>
      <c r="E7" s="2606"/>
      <c r="F7" s="2606"/>
      <c r="G7" s="2606"/>
      <c r="H7" s="2606"/>
      <c r="I7" s="2606"/>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7" t="s">
        <v>1154</v>
      </c>
      <c r="D11" s="2607"/>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2047</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t="s">
        <v>2047</v>
      </c>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2047</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2047</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2047</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8" t="s">
        <v>2135</v>
      </c>
      <c r="E29" s="2608"/>
      <c r="F29" s="2608"/>
      <c r="G29" s="2608"/>
      <c r="H29" s="2608"/>
      <c r="I29" s="2608"/>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2047</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09" t="s">
        <v>1725</v>
      </c>
      <c r="D37" s="2610"/>
      <c r="E37" s="2610"/>
      <c r="F37" s="2611"/>
      <c r="G37" s="2609" t="s">
        <v>1575</v>
      </c>
      <c r="H37" s="2610"/>
      <c r="I37" s="2611"/>
    </row>
    <row r="38" spans="2:9" ht="16.5" customHeight="1" x14ac:dyDescent="0.2">
      <c r="B38" s="1200" t="s">
        <v>2166</v>
      </c>
      <c r="C38" s="2597" t="s">
        <v>2167</v>
      </c>
      <c r="D38" s="2598"/>
      <c r="E38" s="2598"/>
      <c r="F38" s="2599"/>
      <c r="G38" s="2612">
        <v>2473813</v>
      </c>
      <c r="H38" s="2613"/>
      <c r="I38" s="2614"/>
    </row>
    <row r="39" spans="2:9" ht="16.5" customHeight="1" x14ac:dyDescent="0.2">
      <c r="B39" s="1200"/>
      <c r="C39" s="2597"/>
      <c r="D39" s="2598"/>
      <c r="E39" s="2598"/>
      <c r="F39" s="2599"/>
      <c r="G39" s="2600"/>
      <c r="H39" s="2600"/>
      <c r="I39" s="2600"/>
    </row>
    <row r="40" spans="2:9" ht="16.5" customHeight="1" x14ac:dyDescent="0.2">
      <c r="B40" s="1200"/>
      <c r="C40" s="2597"/>
      <c r="D40" s="2598"/>
      <c r="E40" s="2598"/>
      <c r="F40" s="2599"/>
      <c r="G40" s="2600"/>
      <c r="H40" s="2600"/>
      <c r="I40" s="2600"/>
    </row>
    <row r="41" spans="2:9" ht="16.5" customHeight="1" x14ac:dyDescent="0.2">
      <c r="B41" s="1200"/>
      <c r="C41" s="2597"/>
      <c r="D41" s="2598"/>
      <c r="E41" s="2598"/>
      <c r="F41" s="2599"/>
      <c r="G41" s="2600"/>
      <c r="H41" s="2600"/>
      <c r="I41" s="2600"/>
    </row>
    <row r="42" spans="2:9" ht="16.5" customHeight="1" x14ac:dyDescent="0.2">
      <c r="B42" s="1200"/>
      <c r="C42" s="2597"/>
      <c r="D42" s="2598"/>
      <c r="E42" s="2598"/>
      <c r="F42" s="2599"/>
      <c r="G42" s="2600"/>
      <c r="H42" s="2600"/>
      <c r="I42" s="2600"/>
    </row>
    <row r="43" spans="2:9" ht="16.5" customHeight="1" x14ac:dyDescent="0.2">
      <c r="B43" s="1200"/>
      <c r="C43" s="2615" t="s">
        <v>1576</v>
      </c>
      <c r="D43" s="2616"/>
      <c r="E43" s="2616"/>
      <c r="F43" s="2617"/>
      <c r="G43" s="2618">
        <f>SUM(G38:I42)</f>
        <v>2473813</v>
      </c>
      <c r="H43" s="2618"/>
      <c r="I43" s="2618"/>
    </row>
    <row r="44" spans="2:9" ht="12.75" customHeight="1" x14ac:dyDescent="0.2"/>
    <row r="45" spans="2:9" ht="12.75" customHeight="1" x14ac:dyDescent="0.2">
      <c r="B45" s="1915" t="str">
        <f>"Total Federal Expenditures for 7/1/"&amp;MID('AFR20'!E2,3,2)-1&amp;"-6/30/"&amp;MID('AFR20'!E2,3,2)</f>
        <v>Total Federal Expenditures for 7/1/19-6/30/20</v>
      </c>
      <c r="C45" s="1916"/>
      <c r="D45" s="2619">
        <v>2571128</v>
      </c>
      <c r="E45" s="2620"/>
    </row>
    <row r="46" spans="2:9" ht="5.25" customHeight="1" x14ac:dyDescent="0.2">
      <c r="B46" s="1201"/>
      <c r="D46" s="1202"/>
      <c r="E46" s="1203"/>
    </row>
    <row r="47" spans="2:9" ht="12.75" customHeight="1" x14ac:dyDescent="0.2">
      <c r="B47" s="1076" t="s">
        <v>1577</v>
      </c>
      <c r="C47" s="1076"/>
      <c r="D47" s="1204">
        <f>+G43/D45</f>
        <v>0.96215085363311359</v>
      </c>
      <c r="E47" s="1205"/>
      <c r="F47" s="1206"/>
      <c r="I47" s="1207"/>
    </row>
    <row r="48" spans="2:9" ht="9.9499999999999993" customHeight="1" x14ac:dyDescent="0.2"/>
    <row r="49" spans="1:9" x14ac:dyDescent="0.2">
      <c r="B49" s="1138" t="s">
        <v>1262</v>
      </c>
      <c r="C49" s="1058"/>
      <c r="D49" s="1058"/>
      <c r="E49" s="2621">
        <v>750000</v>
      </c>
      <c r="F49" s="2621"/>
      <c r="G49" s="2621"/>
      <c r="H49" s="300"/>
    </row>
    <row r="51" spans="1:9" ht="13.5" customHeight="1" x14ac:dyDescent="0.2">
      <c r="B51" s="1138" t="s">
        <v>1261</v>
      </c>
      <c r="C51" s="1058"/>
      <c r="E51" s="1194" t="s">
        <v>2047</v>
      </c>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38" orientation="portrait" useFirstPageNumber="1" r:id="rId1"/>
  <headerFooter alignWithMargins="0">
    <oddHeader>&amp;L&amp;8Page 38&amp;R&amp;8Page 38</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5"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1" t="str">
        <f>'Single Audit Cover'!A7</f>
        <v xml:space="preserve">  Franklin-Jefferson Co Sp Ed Dist</v>
      </c>
      <c r="C1" s="2601"/>
      <c r="D1" s="2601"/>
      <c r="E1" s="2601"/>
      <c r="F1" s="2601"/>
      <c r="G1" s="2601"/>
      <c r="H1" s="2601"/>
      <c r="I1" s="2601"/>
      <c r="J1" s="2601"/>
      <c r="K1" s="2601"/>
      <c r="L1" s="1144"/>
      <c r="M1" s="1144"/>
    </row>
    <row r="2" spans="1:13" ht="12" customHeight="1" x14ac:dyDescent="0.2">
      <c r="B2" s="2603">
        <f>'Single Audit Cover'!E7</f>
        <v>13041801060</v>
      </c>
      <c r="C2" s="2603"/>
      <c r="D2" s="2603"/>
      <c r="E2" s="2603"/>
      <c r="F2" s="2603"/>
      <c r="G2" s="2603"/>
      <c r="H2" s="2603"/>
      <c r="I2" s="2603"/>
      <c r="J2" s="2603"/>
      <c r="K2" s="2603"/>
      <c r="L2" s="1145"/>
      <c r="M2" s="1146"/>
    </row>
    <row r="3" spans="1:13" ht="10.35" customHeight="1" x14ac:dyDescent="0.2">
      <c r="B3" s="2624" t="s">
        <v>1274</v>
      </c>
      <c r="C3" s="2624"/>
      <c r="D3" s="2624"/>
      <c r="E3" s="2624"/>
      <c r="F3" s="2624"/>
      <c r="G3" s="2624"/>
      <c r="H3" s="2624"/>
      <c r="I3" s="2624"/>
      <c r="J3" s="2624"/>
      <c r="K3" s="2624"/>
      <c r="L3" s="1147"/>
      <c r="M3" s="1147"/>
    </row>
    <row r="4" spans="1:13" ht="14.25" customHeight="1" x14ac:dyDescent="0.2">
      <c r="B4" s="2625" t="str">
        <f>'Single Audit Cover'!A4</f>
        <v>Year Ending June 30, 2020</v>
      </c>
      <c r="C4" s="2625"/>
      <c r="D4" s="2625"/>
      <c r="E4" s="2625"/>
      <c r="F4" s="2625"/>
      <c r="G4" s="2625"/>
      <c r="H4" s="2625"/>
      <c r="I4" s="2625"/>
      <c r="J4" s="2625"/>
      <c r="K4" s="2625"/>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5" t="s">
        <v>1285</v>
      </c>
      <c r="C7" s="2625"/>
      <c r="D7" s="2626"/>
      <c r="E7" s="2626"/>
      <c r="F7" s="2626"/>
      <c r="G7" s="2626"/>
      <c r="H7" s="2626"/>
      <c r="I7" s="2626"/>
      <c r="J7" s="2626"/>
      <c r="K7" s="2626"/>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7" t="str">
        <f>'AFR20'!$E$2&amp;"-"</f>
        <v>2020-</v>
      </c>
      <c r="D10" s="1155">
        <v>1</v>
      </c>
      <c r="E10" s="300"/>
      <c r="F10" s="1156" t="s">
        <v>1284</v>
      </c>
      <c r="G10" s="1157"/>
      <c r="H10" s="1158" t="s">
        <v>1283</v>
      </c>
      <c r="I10" s="1157" t="s">
        <v>2047</v>
      </c>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23" t="s">
        <v>2168</v>
      </c>
      <c r="C14" s="2623"/>
      <c r="D14" s="2623"/>
      <c r="E14" s="2623"/>
      <c r="F14" s="2623"/>
      <c r="G14" s="2623"/>
      <c r="H14" s="2623"/>
      <c r="I14" s="2623"/>
      <c r="J14" s="2623"/>
      <c r="K14" s="2623"/>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23" t="s">
        <v>2169</v>
      </c>
      <c r="C17" s="2623"/>
      <c r="D17" s="2623"/>
      <c r="E17" s="2623"/>
      <c r="F17" s="2623"/>
      <c r="G17" s="2623"/>
      <c r="H17" s="2623"/>
      <c r="I17" s="2623"/>
      <c r="J17" s="2623"/>
      <c r="K17" s="2623"/>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27" t="s">
        <v>2170</v>
      </c>
      <c r="C20" s="2627"/>
      <c r="D20" s="2623"/>
      <c r="E20" s="2623"/>
      <c r="F20" s="2623"/>
      <c r="G20" s="2623"/>
      <c r="H20" s="2623"/>
      <c r="I20" s="2623"/>
      <c r="J20" s="2623"/>
      <c r="K20" s="2623"/>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23" t="s">
        <v>2171</v>
      </c>
      <c r="C23" s="2623"/>
      <c r="D23" s="2623"/>
      <c r="E23" s="2623"/>
      <c r="F23" s="2623"/>
      <c r="G23" s="2623"/>
      <c r="H23" s="2623"/>
      <c r="I23" s="2623"/>
      <c r="J23" s="2623"/>
      <c r="K23" s="2623"/>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23" t="s">
        <v>2172</v>
      </c>
      <c r="C26" s="2623"/>
      <c r="D26" s="2623"/>
      <c r="E26" s="2623"/>
      <c r="F26" s="2623"/>
      <c r="G26" s="2623"/>
      <c r="H26" s="2623"/>
      <c r="I26" s="2623"/>
      <c r="J26" s="2623"/>
      <c r="K26" s="2623"/>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57.75" customHeight="1" x14ac:dyDescent="0.2">
      <c r="B29" s="2622" t="s">
        <v>2173</v>
      </c>
      <c r="C29" s="2622"/>
      <c r="D29" s="2623"/>
      <c r="E29" s="2623"/>
      <c r="F29" s="2623"/>
      <c r="G29" s="2623"/>
      <c r="H29" s="2623"/>
      <c r="I29" s="2623"/>
      <c r="J29" s="2623"/>
      <c r="K29" s="2623"/>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22" t="s">
        <v>2174</v>
      </c>
      <c r="C32" s="2622"/>
      <c r="D32" s="2623"/>
      <c r="E32" s="2623"/>
      <c r="F32" s="2623"/>
      <c r="G32" s="2623"/>
      <c r="H32" s="2623"/>
      <c r="I32" s="2623"/>
      <c r="J32" s="2623"/>
      <c r="K32" s="2623"/>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39" orientation="portrait" useFirstPageNumber="1" r:id="rId1"/>
  <headerFooter alignWithMargins="0">
    <oddHeader>&amp;L&amp;8Page 39&amp;R&amp;8Page 39</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10" zoomScale="110" zoomScaleNormal="110" workbookViewId="0">
      <selection activeCell="B32" sqref="B32:K32"/>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8" t="str">
        <f>'Single Audit Cover'!A7</f>
        <v xml:space="preserve">  Franklin-Jefferson Co Sp Ed Dist</v>
      </c>
      <c r="C1" s="2628"/>
      <c r="D1" s="2628"/>
      <c r="E1" s="2628"/>
      <c r="F1" s="2628"/>
      <c r="G1" s="2628"/>
      <c r="H1" s="2628"/>
      <c r="I1" s="2628"/>
      <c r="J1" s="2628"/>
      <c r="K1" s="2628"/>
      <c r="L1" s="1221"/>
    </row>
    <row r="2" spans="1:12" ht="12.75" customHeight="1" x14ac:dyDescent="0.2">
      <c r="B2" s="2629">
        <f>'Single Audit Cover'!E7</f>
        <v>13041801060</v>
      </c>
      <c r="C2" s="2629"/>
      <c r="D2" s="2629"/>
      <c r="E2" s="2629"/>
      <c r="F2" s="2629"/>
      <c r="G2" s="2629"/>
      <c r="H2" s="2629"/>
      <c r="I2" s="2629"/>
      <c r="J2" s="2629"/>
      <c r="K2" s="2629"/>
      <c r="L2" s="1222"/>
    </row>
    <row r="3" spans="1:12" ht="12.75" customHeight="1" x14ac:dyDescent="0.2">
      <c r="B3" s="2624" t="s">
        <v>1274</v>
      </c>
      <c r="C3" s="2624"/>
      <c r="D3" s="2624"/>
      <c r="E3" s="2624"/>
      <c r="F3" s="2624"/>
      <c r="G3" s="2624"/>
      <c r="H3" s="2624"/>
      <c r="I3" s="2624"/>
      <c r="J3" s="2624"/>
      <c r="K3" s="2624"/>
      <c r="L3" s="1147"/>
    </row>
    <row r="4" spans="1:12" ht="12.75" customHeight="1" x14ac:dyDescent="0.2">
      <c r="B4" s="2624" t="str">
        <f>'Single Audit Cover'!A4</f>
        <v>Year Ending June 30, 2020</v>
      </c>
      <c r="C4" s="2624"/>
      <c r="D4" s="2624"/>
      <c r="E4" s="2624"/>
      <c r="F4" s="2624"/>
      <c r="G4" s="2624"/>
      <c r="H4" s="2624"/>
      <c r="I4" s="2624"/>
      <c r="J4" s="2624"/>
      <c r="K4" s="2624"/>
      <c r="L4" s="1147"/>
    </row>
    <row r="5" spans="1:12" ht="5.25" customHeight="1" x14ac:dyDescent="0.2">
      <c r="B5" s="1036" t="s">
        <v>1159</v>
      </c>
      <c r="C5" s="1036"/>
      <c r="L5" s="300"/>
    </row>
    <row r="6" spans="1:12" ht="30.75" customHeight="1" x14ac:dyDescent="0.2">
      <c r="A6" s="300"/>
      <c r="B6" s="2630" t="s">
        <v>1297</v>
      </c>
      <c r="C6" s="2630"/>
      <c r="D6" s="2630"/>
      <c r="E6" s="2630"/>
      <c r="F6" s="2630"/>
      <c r="G6" s="2630"/>
      <c r="H6" s="2630"/>
      <c r="I6" s="2630"/>
      <c r="J6" s="2630"/>
      <c r="K6" s="2630"/>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7" t="str">
        <f>'AFR20'!$E$2&amp;"-"</f>
        <v>2020-</v>
      </c>
      <c r="D8" s="1223" t="s">
        <v>2140</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8"/>
      <c r="G12" s="2608"/>
      <c r="H12" s="2608"/>
      <c r="I12" s="2608"/>
      <c r="J12" s="2608"/>
      <c r="K12" s="2608"/>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31"/>
      <c r="E14" s="2631"/>
      <c r="F14" s="2631"/>
      <c r="H14" s="1230" t="s">
        <v>1292</v>
      </c>
      <c r="I14" s="2632"/>
      <c r="J14" s="2632"/>
      <c r="K14" s="2632"/>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32"/>
      <c r="E16" s="2632"/>
      <c r="F16" s="2632"/>
      <c r="G16" s="2632"/>
      <c r="H16" s="2632"/>
      <c r="I16" s="2632"/>
      <c r="J16" s="2632"/>
      <c r="K16" s="2632"/>
      <c r="L16" s="300"/>
    </row>
    <row r="17" spans="2:12" ht="13.5" customHeight="1" x14ac:dyDescent="0.2">
      <c r="B17" s="1156" t="s">
        <v>1290</v>
      </c>
      <c r="C17" s="1156"/>
      <c r="D17" s="2633"/>
      <c r="E17" s="2633"/>
      <c r="F17" s="2633"/>
      <c r="G17" s="2633"/>
      <c r="H17" s="2633"/>
      <c r="I17" s="2633"/>
      <c r="J17" s="2633"/>
      <c r="K17" s="2633"/>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23"/>
      <c r="C20" s="2623"/>
      <c r="D20" s="2623"/>
      <c r="E20" s="2623"/>
      <c r="F20" s="2623"/>
      <c r="G20" s="2623"/>
      <c r="H20" s="2623"/>
      <c r="I20" s="2623"/>
      <c r="J20" s="2623"/>
      <c r="K20" s="2623"/>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23"/>
      <c r="C23" s="2623"/>
      <c r="D23" s="2623"/>
      <c r="E23" s="2623"/>
      <c r="F23" s="2623"/>
      <c r="G23" s="2623"/>
      <c r="H23" s="2623"/>
      <c r="I23" s="2623"/>
      <c r="J23" s="2623"/>
      <c r="K23" s="2623"/>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23"/>
      <c r="C26" s="2623"/>
      <c r="D26" s="2623"/>
      <c r="E26" s="2623"/>
      <c r="F26" s="2623"/>
      <c r="G26" s="2623"/>
      <c r="H26" s="2623"/>
      <c r="I26" s="2623"/>
      <c r="J26" s="2623"/>
      <c r="K26" s="2623"/>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23"/>
      <c r="C29" s="2623"/>
      <c r="D29" s="2623"/>
      <c r="E29" s="2623"/>
      <c r="F29" s="2623"/>
      <c r="G29" s="2623"/>
      <c r="H29" s="2623"/>
      <c r="I29" s="2623"/>
      <c r="J29" s="2623"/>
      <c r="K29" s="2623"/>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23"/>
      <c r="C32" s="2623"/>
      <c r="D32" s="2623"/>
      <c r="E32" s="2623"/>
      <c r="F32" s="2623"/>
      <c r="G32" s="2623"/>
      <c r="H32" s="2623"/>
      <c r="I32" s="2623"/>
      <c r="J32" s="2623"/>
      <c r="K32" s="2623"/>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23"/>
      <c r="C35" s="2623"/>
      <c r="D35" s="2623"/>
      <c r="E35" s="2623"/>
      <c r="F35" s="2623"/>
      <c r="G35" s="2623"/>
      <c r="H35" s="2623"/>
      <c r="I35" s="2623"/>
      <c r="J35" s="2623"/>
      <c r="K35" s="2623"/>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23"/>
      <c r="C38" s="2623"/>
      <c r="D38" s="2623"/>
      <c r="E38" s="2623"/>
      <c r="F38" s="2623"/>
      <c r="G38" s="2623"/>
      <c r="H38" s="2623"/>
      <c r="I38" s="2623"/>
      <c r="J38" s="2623"/>
      <c r="K38" s="2623"/>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23"/>
      <c r="C41" s="2623"/>
      <c r="D41" s="2623"/>
      <c r="E41" s="2623"/>
      <c r="F41" s="2623"/>
      <c r="G41" s="2623"/>
      <c r="H41" s="2623"/>
      <c r="I41" s="2623"/>
      <c r="J41" s="2623"/>
      <c r="K41" s="2623"/>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0" orientation="portrait" useFirstPageNumber="1" r:id="rId1"/>
  <headerFooter alignWithMargins="0">
    <oddHeader>&amp;L&amp;8Page 40&amp;R&amp;8Page 40</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32" sqref="B32:K3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1" t="str">
        <f>'Single Audit Cover'!A7</f>
        <v xml:space="preserve">  Franklin-Jefferson Co Sp Ed Dist</v>
      </c>
      <c r="C1" s="2601"/>
      <c r="D1" s="2601"/>
      <c r="E1" s="1240"/>
    </row>
    <row r="2" spans="2:5" s="1058" customFormat="1" ht="12.75" customHeight="1" x14ac:dyDescent="0.2">
      <c r="B2" s="2603">
        <f>'Single Audit Cover'!E7</f>
        <v>13041801060</v>
      </c>
      <c r="C2" s="2603"/>
      <c r="D2" s="2603"/>
      <c r="E2" s="1241"/>
    </row>
    <row r="3" spans="2:5" ht="12.75" customHeight="1" x14ac:dyDescent="0.2">
      <c r="B3" s="2624" t="s">
        <v>1740</v>
      </c>
      <c r="C3" s="2624"/>
      <c r="D3" s="2624"/>
      <c r="E3" s="1050"/>
    </row>
    <row r="4" spans="2:5" s="1058" customFormat="1" ht="12.75" customHeight="1" x14ac:dyDescent="0.2">
      <c r="B4" s="2634" t="str">
        <f>'Single Audit Cover'!A4</f>
        <v>Year Ending June 30, 2020</v>
      </c>
      <c r="C4" s="2634"/>
      <c r="D4" s="2634"/>
      <c r="E4" s="1242"/>
    </row>
    <row r="5" spans="2:5" s="1058" customFormat="1" ht="40.15" customHeight="1" x14ac:dyDescent="0.2">
      <c r="B5" s="1243"/>
      <c r="C5" s="306"/>
      <c r="D5" s="306"/>
      <c r="E5" s="306"/>
    </row>
    <row r="6" spans="2:5" s="1058" customFormat="1" ht="13.5" customHeight="1" x14ac:dyDescent="0.2">
      <c r="B6" s="1244" t="s">
        <v>1304</v>
      </c>
      <c r="C6" s="1244" t="s">
        <v>1303</v>
      </c>
      <c r="D6" s="1244" t="s">
        <v>1741</v>
      </c>
    </row>
    <row r="7" spans="2:5" ht="13.5" customHeight="1" x14ac:dyDescent="0.2">
      <c r="B7" s="1245"/>
      <c r="C7" s="302"/>
      <c r="D7" s="302"/>
      <c r="E7" s="302"/>
    </row>
    <row r="8" spans="2:5" ht="13.5" customHeight="1" x14ac:dyDescent="0.2">
      <c r="B8" s="1245" t="s">
        <v>2141</v>
      </c>
      <c r="C8" s="302" t="s">
        <v>2175</v>
      </c>
      <c r="D8" s="302" t="s">
        <v>2176</v>
      </c>
      <c r="E8" s="302"/>
    </row>
    <row r="9" spans="2:5" ht="13.5" customHeight="1" x14ac:dyDescent="0.2">
      <c r="B9" s="1246"/>
      <c r="C9" s="301"/>
      <c r="D9" s="301"/>
      <c r="E9" s="301"/>
    </row>
    <row r="10" spans="2:5" ht="13.5" customHeight="1" x14ac:dyDescent="0.2">
      <c r="B10" s="1245" t="s">
        <v>2142</v>
      </c>
      <c r="C10" s="301" t="s">
        <v>2177</v>
      </c>
      <c r="D10" s="301" t="s">
        <v>2178</v>
      </c>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1742</v>
      </c>
    </row>
    <row r="46" spans="2:5" ht="12.2" customHeight="1" x14ac:dyDescent="0.2">
      <c r="B46" s="1254" t="s">
        <v>1743</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1" orientation="portrait" useFirstPageNumber="1" r:id="rId1"/>
  <headerFooter alignWithMargins="0">
    <oddHeader>&amp;L&amp;8Page 41&amp;R&amp;8Page 41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8" colorId="8" zoomScale="110" zoomScaleNormal="110" workbookViewId="0">
      <selection activeCell="A7" sqref="A7:F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2" t="s">
        <v>383</v>
      </c>
      <c r="B1" s="2202"/>
      <c r="C1" s="2202"/>
      <c r="D1" s="2202"/>
      <c r="E1" s="2202"/>
      <c r="F1" s="2202"/>
      <c r="G1" s="2202"/>
      <c r="H1" s="2202"/>
      <c r="I1" s="2202"/>
      <c r="J1" s="2202"/>
      <c r="K1" s="2202"/>
      <c r="L1" s="2202"/>
      <c r="M1" s="220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12" t="str">
        <f>IF(SUM(J10)&lt;=0.0999999,"","Enter the Tax Rates by moving the decimal two places to the left.")</f>
        <v/>
      </c>
      <c r="E11" s="2213"/>
      <c r="F11" s="2213"/>
      <c r="G11" s="2213"/>
      <c r="H11" s="2213"/>
      <c r="I11" s="2213"/>
      <c r="J11" s="221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7390300</v>
      </c>
      <c r="E16" s="1547"/>
      <c r="F16" s="1546">
        <f>SUM('Acct Summary 7-8'!C17,'Acct Summary 7-8'!D17,'Acct Summary 7-8'!F17)</f>
        <v>6390796</v>
      </c>
      <c r="G16" s="1547"/>
      <c r="H16" s="1546">
        <f>SUM(D16-F16)</f>
        <v>999504</v>
      </c>
      <c r="I16" s="1548"/>
      <c r="J16" s="1546">
        <f>SUM('Acct Summary 7-8'!C81,'Acct Summary 7-8'!D81,'Acct Summary 7-8'!F81,'Acct Summary 7-8'!I81)</f>
        <v>2515284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2001</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3"/>
      <c r="C54" s="2204"/>
      <c r="D54" s="2204"/>
      <c r="E54" s="2204"/>
      <c r="F54" s="2204"/>
      <c r="G54" s="2204"/>
      <c r="H54" s="2204"/>
      <c r="I54" s="2204"/>
      <c r="J54" s="2204"/>
      <c r="K54" s="2204"/>
      <c r="L54" s="2205"/>
      <c r="M54" s="357"/>
    </row>
    <row r="55" spans="1:13" ht="12.75" customHeight="1" x14ac:dyDescent="0.2">
      <c r="B55" s="2206"/>
      <c r="C55" s="2207"/>
      <c r="D55" s="2207"/>
      <c r="E55" s="2207"/>
      <c r="F55" s="2207"/>
      <c r="G55" s="2207"/>
      <c r="H55" s="2207"/>
      <c r="I55" s="2207"/>
      <c r="J55" s="2207"/>
      <c r="K55" s="2207"/>
      <c r="L55" s="2208"/>
      <c r="M55" s="357"/>
    </row>
    <row r="56" spans="1:13" ht="12.75" customHeight="1" x14ac:dyDescent="0.2">
      <c r="B56" s="2206"/>
      <c r="C56" s="2207"/>
      <c r="D56" s="2207"/>
      <c r="E56" s="2207"/>
      <c r="F56" s="2207"/>
      <c r="G56" s="2207"/>
      <c r="H56" s="2207"/>
      <c r="I56" s="2207"/>
      <c r="J56" s="2207"/>
      <c r="K56" s="2207"/>
      <c r="L56" s="2208"/>
      <c r="M56" s="217"/>
    </row>
    <row r="57" spans="1:13" ht="12.75" customHeight="1" x14ac:dyDescent="0.2">
      <c r="B57" s="2206"/>
      <c r="C57" s="2207"/>
      <c r="D57" s="2207"/>
      <c r="E57" s="2207"/>
      <c r="F57" s="2207"/>
      <c r="G57" s="2207"/>
      <c r="H57" s="2207"/>
      <c r="I57" s="2207"/>
      <c r="J57" s="2207"/>
      <c r="K57" s="2207"/>
      <c r="L57" s="2208"/>
      <c r="M57" s="217"/>
    </row>
    <row r="58" spans="1:13" x14ac:dyDescent="0.2">
      <c r="B58" s="2209"/>
      <c r="C58" s="2210"/>
      <c r="D58" s="2210"/>
      <c r="E58" s="2210"/>
      <c r="F58" s="2210"/>
      <c r="G58" s="2210"/>
      <c r="H58" s="2210"/>
      <c r="I58" s="2210"/>
      <c r="J58" s="2210"/>
      <c r="K58" s="2210"/>
      <c r="L58" s="221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4"/>
      <c r="D61" s="221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19" sqref="A19:H1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7"/>
      <c r="B1" s="2218"/>
      <c r="C1" s="2218"/>
      <c r="D1" s="361"/>
      <c r="E1" s="361"/>
      <c r="F1" s="361"/>
      <c r="G1" s="361"/>
      <c r="H1" s="361"/>
      <c r="I1" s="361"/>
      <c r="J1" s="361"/>
      <c r="K1" s="361"/>
      <c r="L1" s="361"/>
      <c r="M1" s="361"/>
      <c r="N1" s="361"/>
      <c r="O1" s="2217"/>
      <c r="P1" s="2218"/>
      <c r="Q1" s="2218"/>
    </row>
    <row r="2" spans="1:18" ht="15" x14ac:dyDescent="0.2">
      <c r="A2" s="2221" t="s">
        <v>552</v>
      </c>
      <c r="B2" s="2221"/>
      <c r="C2" s="2221"/>
      <c r="D2" s="2221"/>
      <c r="E2" s="2221"/>
      <c r="F2" s="2221"/>
      <c r="G2" s="2221"/>
      <c r="H2" s="2221"/>
      <c r="I2" s="2221"/>
      <c r="J2" s="2221"/>
      <c r="K2" s="2221"/>
      <c r="L2" s="2221"/>
      <c r="M2" s="2221"/>
      <c r="N2" s="2221"/>
      <c r="O2" s="2221"/>
      <c r="P2" s="2221"/>
      <c r="Q2" s="2221"/>
      <c r="R2" s="2221"/>
    </row>
    <row r="3" spans="1:18" ht="12.75" x14ac:dyDescent="0.2">
      <c r="A3" s="2222" t="s">
        <v>1396</v>
      </c>
      <c r="B3" s="2222"/>
      <c r="C3" s="2222"/>
      <c r="D3" s="2222"/>
      <c r="E3" s="2222"/>
      <c r="F3" s="2222"/>
      <c r="G3" s="2222"/>
      <c r="H3" s="2222"/>
      <c r="I3" s="2222"/>
      <c r="J3" s="2222"/>
      <c r="K3" s="2222"/>
      <c r="L3" s="2222"/>
      <c r="M3" s="2222"/>
      <c r="N3" s="2222"/>
      <c r="O3" s="2222"/>
      <c r="P3" s="2222"/>
      <c r="Q3" s="2222"/>
      <c r="R3" s="2222"/>
    </row>
    <row r="4" spans="1:18" x14ac:dyDescent="0.2">
      <c r="A4" s="2223" t="s">
        <v>1537</v>
      </c>
      <c r="B4" s="2223"/>
      <c r="C4" s="2223"/>
      <c r="D4" s="2223"/>
      <c r="E4" s="2223"/>
      <c r="F4" s="2223"/>
      <c r="G4" s="2223"/>
      <c r="H4" s="2223"/>
      <c r="I4" s="2223"/>
      <c r="J4" s="2223"/>
      <c r="K4" s="2223"/>
      <c r="L4" s="2223"/>
      <c r="M4" s="2223"/>
      <c r="N4" s="2223"/>
      <c r="O4" s="2223"/>
      <c r="P4" s="2223"/>
      <c r="Q4" s="2223"/>
      <c r="R4" s="222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Franklin-Jefferson Co Sp Ed Dist</v>
      </c>
      <c r="E7" s="368"/>
      <c r="G7" s="247"/>
      <c r="H7" s="364"/>
      <c r="I7" s="364"/>
      <c r="J7" s="364"/>
      <c r="K7" s="364"/>
      <c r="L7" s="307"/>
      <c r="M7" s="307"/>
      <c r="N7" s="307"/>
      <c r="O7" s="307"/>
      <c r="P7" s="307"/>
    </row>
    <row r="8" spans="1:18" ht="12.75" x14ac:dyDescent="0.2">
      <c r="A8" s="307"/>
      <c r="B8" s="307"/>
      <c r="C8" s="366" t="s">
        <v>1115</v>
      </c>
      <c r="D8" s="369">
        <f>COVER!A13</f>
        <v>13041801060</v>
      </c>
      <c r="E8" s="370"/>
      <c r="G8" s="307"/>
      <c r="H8" s="307"/>
      <c r="I8" s="307"/>
      <c r="J8" s="307"/>
      <c r="K8" s="307"/>
      <c r="L8" s="307"/>
      <c r="M8" s="307"/>
      <c r="N8" s="307"/>
      <c r="O8" s="307"/>
      <c r="P8" s="307"/>
    </row>
    <row r="9" spans="1:18" ht="12.75" x14ac:dyDescent="0.2">
      <c r="A9" s="307"/>
      <c r="B9" s="307"/>
      <c r="C9" s="366" t="s">
        <v>708</v>
      </c>
      <c r="D9" s="371" t="str">
        <f>COVER!A15</f>
        <v>Franklin - Jefferson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2515284</v>
      </c>
      <c r="I12" s="380"/>
      <c r="J12" s="380"/>
      <c r="K12" s="1559">
        <f>TRUNC((H12/H13*100000),5)/100000</f>
        <v>0.34034937680000005</v>
      </c>
      <c r="L12" s="381"/>
      <c r="M12" s="337" t="s">
        <v>1134</v>
      </c>
      <c r="N12" s="337"/>
      <c r="O12" s="1562">
        <v>0.35</v>
      </c>
      <c r="P12" s="213"/>
      <c r="Q12" s="213"/>
    </row>
    <row r="13" spans="1:18" s="382" customFormat="1" ht="12.75" x14ac:dyDescent="0.2">
      <c r="A13" s="213"/>
      <c r="B13" s="377"/>
      <c r="C13" s="2219" t="s">
        <v>1313</v>
      </c>
      <c r="D13" s="2220"/>
      <c r="E13" s="213"/>
      <c r="F13" s="383" t="s">
        <v>788</v>
      </c>
      <c r="G13" s="378"/>
      <c r="H13" s="1551">
        <f>SUM('Acct Summary 7-8'!C8+'Acct Summary 7-8'!D8+'Acct Summary 7-8'!F8+'Acct Summary 7-8'!I8)+H14</f>
        <v>7390300</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6390796</v>
      </c>
      <c r="I17" s="380"/>
      <c r="J17" s="389"/>
      <c r="K17" s="1559">
        <f>TRUNC((H17/H18*100000),5)/100000</f>
        <v>0.86475461070000004</v>
      </c>
      <c r="L17" s="381"/>
      <c r="M17" s="390" t="s">
        <v>1161</v>
      </c>
      <c r="O17" s="1565" t="str">
        <f>IF(AND(O16="2", J20 &gt; 2),"1",IF(AND(O16 = "1", J20 &gt; 2),"2",IF(AND(O16="1", J20 &gt;1),"1","0")))</f>
        <v>0</v>
      </c>
      <c r="P17" s="213"/>
    </row>
    <row r="18" spans="1:18" s="382" customFormat="1" ht="11.25" x14ac:dyDescent="0.2">
      <c r="A18" s="213"/>
      <c r="B18" s="377"/>
      <c r="C18" s="2219" t="s">
        <v>1306</v>
      </c>
      <c r="D18" s="2220"/>
      <c r="E18" s="213"/>
      <c r="F18" s="391" t="s">
        <v>789</v>
      </c>
      <c r="G18" s="378"/>
      <c r="H18" s="1551">
        <f>SUM('Acct Summary 7-8'!C8+'Acct Summary 7-8'!D8+'Acct Summary 7-8'!F8+'Acct Summary 7-8'!I8)+H19</f>
        <v>7390300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16" t="s">
        <v>1395</v>
      </c>
      <c r="D24" s="2216"/>
      <c r="E24" s="213"/>
      <c r="F24" s="213" t="s">
        <v>442</v>
      </c>
      <c r="G24" s="378"/>
      <c r="H24" s="1551">
        <f>SUM('Assets-Liab 5-6'!C4+'Assets-Liab 5-6'!D4+'Assets-Liab 5-6'!F4+'Assets-Liab 5-6'!I4+'Assets-Liab 5-6'!C5+'Assets-Liab 5-6'!D5+'Assets-Liab 5-6'!F5+'Assets-Liab 5-6'!I5)</f>
        <v>2515284</v>
      </c>
      <c r="I24" s="394"/>
      <c r="J24" s="394"/>
      <c r="K24" s="1555">
        <f>TRUNC(((H24/H25*100000)/100000),2)</f>
        <v>141.68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17752.21111</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1889</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24" zoomScaleNormal="124" workbookViewId="0">
      <pane ySplit="2" topLeftCell="A12" activePane="bottomLeft" state="frozen"/>
      <selection activeCell="B32" sqref="B32:K32"/>
      <selection pane="bottomLeft" activeCell="B32" sqref="B32:K3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6" t="s">
        <v>967</v>
      </c>
      <c r="B3" s="2227"/>
      <c r="C3" s="1306"/>
      <c r="D3" s="1307"/>
      <c r="E3" s="1307"/>
      <c r="F3" s="1307"/>
      <c r="G3" s="1307"/>
      <c r="H3" s="1307"/>
      <c r="I3" s="1307"/>
      <c r="J3" s="1307"/>
      <c r="K3" s="1307"/>
      <c r="L3" s="1307"/>
      <c r="M3" s="1308"/>
      <c r="N3" s="1309"/>
    </row>
    <row r="4" spans="1:14" ht="13.5" customHeight="1" x14ac:dyDescent="0.2">
      <c r="A4" s="427" t="s">
        <v>1632</v>
      </c>
      <c r="B4" s="428"/>
      <c r="C4" s="1572">
        <v>2440160</v>
      </c>
      <c r="D4" s="1573">
        <v>75124</v>
      </c>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2440160</v>
      </c>
      <c r="D13" s="1587">
        <f t="shared" ref="D13:L13" si="0">SUM(D4:D12)</f>
        <v>75124</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28" t="s">
        <v>146</v>
      </c>
      <c r="B14" s="222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11850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165488</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17664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2238886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2433888</v>
      </c>
      <c r="N23" s="1594">
        <f>SUM(N21:N22)</f>
        <v>0</v>
      </c>
    </row>
    <row r="24" spans="1:14" ht="18" customHeight="1" thickTop="1" x14ac:dyDescent="0.2">
      <c r="A24" s="2230" t="s">
        <v>594</v>
      </c>
      <c r="B24" s="223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32" t="s">
        <v>526</v>
      </c>
      <c r="B35" s="223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2440160</v>
      </c>
      <c r="D39" s="1573">
        <v>75124</v>
      </c>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2433888</v>
      </c>
      <c r="N40" s="1604"/>
    </row>
    <row r="41" spans="1:14" ht="13.5" customHeight="1" thickBot="1" x14ac:dyDescent="0.25">
      <c r="A41" s="1426" t="s">
        <v>650</v>
      </c>
      <c r="B41" s="1405"/>
      <c r="C41" s="1594">
        <f>(SUM(C34,C37,C38,C39))</f>
        <v>2440160</v>
      </c>
      <c r="D41" s="1594">
        <f t="shared" ref="D41:L41" si="2">SUM(D34,D37,D38:D39)</f>
        <v>75124</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2433888</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3"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to the Basic Financial Statements are an integral part of this statement.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24" zoomScaleNormal="124" zoomScaleSheetLayoutView="100" workbookViewId="0">
      <pane ySplit="2" topLeftCell="A39" activePane="bottomLeft" state="frozen"/>
      <selection activeCell="B32" sqref="B32:K32"/>
      <selection pane="bottomLeft" activeCell="A32" sqref="A32:K3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4" t="s">
        <v>1165</v>
      </c>
      <c r="B3" s="2255"/>
      <c r="C3" s="1311"/>
      <c r="D3" s="1312"/>
      <c r="E3" s="1312"/>
      <c r="F3" s="1312"/>
      <c r="G3" s="1312"/>
      <c r="H3" s="1312"/>
      <c r="I3" s="1312"/>
      <c r="J3" s="1312"/>
      <c r="K3" s="1313"/>
      <c r="L3" s="446"/>
    </row>
    <row r="4" spans="1:13" ht="15.75" customHeight="1" x14ac:dyDescent="0.2">
      <c r="A4" s="1537" t="s">
        <v>1482</v>
      </c>
      <c r="B4" s="1538">
        <v>1000</v>
      </c>
      <c r="C4" s="1606">
        <f>'Revenues 9-14'!C109</f>
        <v>3502652</v>
      </c>
      <c r="D4" s="1606">
        <f>'Revenues 9-14'!D109</f>
        <v>9396</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381533</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3496719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7380904</v>
      </c>
      <c r="D8" s="1594">
        <f t="shared" ref="D8:K8" si="0">SUM(D4:D7)</f>
        <v>9396</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1664897</v>
      </c>
      <c r="D9" s="1613"/>
      <c r="E9" s="1586"/>
      <c r="F9" s="1586"/>
      <c r="G9" s="1614"/>
      <c r="H9" s="1586"/>
      <c r="I9" s="1609" t="s">
        <v>1159</v>
      </c>
      <c r="J9" s="1583"/>
      <c r="K9" s="1586"/>
      <c r="L9" s="325"/>
    </row>
    <row r="10" spans="1:13" s="452" customFormat="1" ht="13.5" thickBot="1" x14ac:dyDescent="0.25">
      <c r="A10" s="1426" t="s">
        <v>1163</v>
      </c>
      <c r="B10" s="1407"/>
      <c r="C10" s="1594">
        <f>SUM(C8:C9)</f>
        <v>9045801</v>
      </c>
      <c r="D10" s="1594">
        <f t="shared" ref="D10:K10" si="1">SUM(D8:D9)</f>
        <v>9396</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28" t="s">
        <v>1166</v>
      </c>
      <c r="B11" s="2229"/>
      <c r="C11" s="1602"/>
      <c r="D11" s="1603"/>
      <c r="E11" s="1603"/>
      <c r="F11" s="1603"/>
      <c r="G11" s="1603"/>
      <c r="H11" s="1603"/>
      <c r="I11" s="1603"/>
      <c r="J11" s="1603"/>
      <c r="K11" s="1615"/>
      <c r="L11" s="451"/>
    </row>
    <row r="12" spans="1:13" ht="15.75" customHeight="1" x14ac:dyDescent="0.2">
      <c r="A12" s="1314" t="s">
        <v>453</v>
      </c>
      <c r="B12" s="1316">
        <v>1000</v>
      </c>
      <c r="C12" s="1606">
        <f>'Expenditures 15-22'!K33</f>
        <v>1733044</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3910142</v>
      </c>
      <c r="D13" s="1607">
        <f>'Expenditures 15-22'!K129</f>
        <v>11158</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736452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6379638</v>
      </c>
      <c r="D17" s="1594">
        <f t="shared" si="2"/>
        <v>11158</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1664897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8044535</v>
      </c>
      <c r="D19" s="1594">
        <f t="shared" si="4"/>
        <v>11158</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44" t="s">
        <v>1636</v>
      </c>
      <c r="B20" s="2245"/>
      <c r="C20" s="1622">
        <f>C8-C17</f>
        <v>1001266</v>
      </c>
      <c r="D20" s="1622">
        <f t="shared" ref="D20:K20" si="5">D8-D17</f>
        <v>-1762</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56" t="s">
        <v>591</v>
      </c>
      <c r="B21" s="2257"/>
      <c r="C21" s="1602"/>
      <c r="D21" s="1603"/>
      <c r="E21" s="1603"/>
      <c r="F21" s="1603"/>
      <c r="G21" s="1603"/>
      <c r="H21" s="1603"/>
      <c r="I21" s="1603"/>
      <c r="J21" s="1603"/>
      <c r="K21" s="1615"/>
      <c r="L21" s="453"/>
    </row>
    <row r="22" spans="1:12" ht="15.75" customHeight="1" collapsed="1" x14ac:dyDescent="0.2">
      <c r="A22" s="2252" t="s">
        <v>592</v>
      </c>
      <c r="B22" s="2253"/>
      <c r="C22" s="1582"/>
      <c r="D22" s="1582"/>
      <c r="E22" s="1582"/>
      <c r="F22" s="1582"/>
      <c r="G22" s="1582"/>
      <c r="H22" s="1582"/>
      <c r="I22" s="1582"/>
      <c r="J22" s="1582"/>
      <c r="K22" s="1582"/>
      <c r="L22" s="325"/>
    </row>
    <row r="23" spans="1:12" s="433" customFormat="1" ht="15.75" customHeight="1" x14ac:dyDescent="0.2">
      <c r="A23" s="2248" t="s">
        <v>290</v>
      </c>
      <c r="B23" s="224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1767</v>
      </c>
      <c r="B30" s="455">
        <v>7160</v>
      </c>
      <c r="C30" s="1582"/>
      <c r="D30" s="1574"/>
      <c r="E30" s="1582"/>
      <c r="F30" s="1582"/>
      <c r="G30" s="1582"/>
      <c r="H30" s="1582"/>
      <c r="I30" s="1582"/>
      <c r="J30" s="1582"/>
      <c r="K30" s="1582"/>
      <c r="L30" s="453"/>
    </row>
    <row r="31" spans="1:12" s="433" customFormat="1" ht="26.25" x14ac:dyDescent="0.2">
      <c r="A31" s="1260" t="s">
        <v>1771</v>
      </c>
      <c r="B31" s="455">
        <v>7170</v>
      </c>
      <c r="C31" s="1582"/>
      <c r="D31" s="1582"/>
      <c r="E31" s="1579"/>
      <c r="F31" s="1582"/>
      <c r="G31" s="1582"/>
      <c r="H31" s="1582"/>
      <c r="I31" s="1582"/>
      <c r="J31" s="1582"/>
      <c r="K31" s="1582"/>
      <c r="L31" s="453"/>
    </row>
    <row r="32" spans="1:12" s="433" customFormat="1" ht="15.75" customHeight="1" x14ac:dyDescent="0.2">
      <c r="A32" s="2250" t="s">
        <v>974</v>
      </c>
      <c r="B32" s="2251"/>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58" t="s">
        <v>371</v>
      </c>
      <c r="B44" s="2259"/>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52" t="s">
        <v>108</v>
      </c>
      <c r="B45" s="2253"/>
      <c r="C45" s="1625"/>
      <c r="D45" s="1625"/>
      <c r="E45" s="1625"/>
      <c r="F45" s="1625"/>
      <c r="G45" s="1625"/>
      <c r="H45" s="1625"/>
      <c r="I45" s="1625"/>
      <c r="J45" s="1625"/>
      <c r="K45" s="1625"/>
      <c r="L45" s="325"/>
    </row>
    <row r="46" spans="1:12" s="433" customFormat="1" ht="15.75" customHeight="1" x14ac:dyDescent="0.2">
      <c r="A46" s="2260" t="s">
        <v>109</v>
      </c>
      <c r="B46" s="226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1770</v>
      </c>
      <c r="B52" s="432">
        <v>8160</v>
      </c>
      <c r="C52" s="1582"/>
      <c r="D52" s="1582"/>
      <c r="E52" s="1582"/>
      <c r="F52" s="1582"/>
      <c r="G52" s="1582"/>
      <c r="H52" s="1582"/>
      <c r="I52" s="1582"/>
      <c r="J52" s="1582"/>
      <c r="K52" s="1607">
        <f>D30</f>
        <v>0</v>
      </c>
      <c r="L52" s="453"/>
    </row>
    <row r="53" spans="1:12" s="433" customFormat="1" ht="26.25" x14ac:dyDescent="0.2">
      <c r="A53" s="1261" t="s">
        <v>1769</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34" t="s">
        <v>437</v>
      </c>
      <c r="B76" s="2235"/>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6" t="s">
        <v>1167</v>
      </c>
      <c r="B77" s="2237"/>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40" t="s">
        <v>593</v>
      </c>
      <c r="B78" s="2241"/>
      <c r="C78" s="1629">
        <f t="shared" ref="C78:K78" si="9">C20+C77</f>
        <v>1001266</v>
      </c>
      <c r="D78" s="1629">
        <f t="shared" si="9"/>
        <v>-1762</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1438894</v>
      </c>
      <c r="D79" s="1630">
        <v>76886</v>
      </c>
      <c r="E79" s="1630"/>
      <c r="F79" s="1630"/>
      <c r="G79" s="1630"/>
      <c r="H79" s="1630"/>
      <c r="I79" s="1630"/>
      <c r="J79" s="1630"/>
      <c r="K79" s="1630"/>
      <c r="L79" s="325"/>
    </row>
    <row r="80" spans="1:12" x14ac:dyDescent="0.2">
      <c r="A80" s="2246" t="s">
        <v>1768</v>
      </c>
      <c r="B80" s="2247"/>
      <c r="C80" s="1574"/>
      <c r="D80" s="1574"/>
      <c r="E80" s="1574"/>
      <c r="F80" s="1574"/>
      <c r="G80" s="1574"/>
      <c r="H80" s="1574"/>
      <c r="I80" s="1574"/>
      <c r="J80" s="1574"/>
      <c r="K80" s="1574"/>
      <c r="L80" s="325"/>
    </row>
    <row r="81" spans="1:12" ht="13.5" thickBot="1" x14ac:dyDescent="0.25">
      <c r="A81" s="2238" t="str">
        <f>"Fund Balances - June 30, "&amp;'AFR20'!E2</f>
        <v>Fund Balances - June 30, 2020</v>
      </c>
      <c r="B81" s="2239"/>
      <c r="C81" s="1594">
        <f>(SUM(C78:C80))</f>
        <v>2440160</v>
      </c>
      <c r="D81" s="1594">
        <f>SUM(D78:D80)</f>
        <v>75124</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1001266</v>
      </c>
      <c r="D82" s="461">
        <f t="shared" ref="D82:K82" si="11">(D81-D79)</f>
        <v>-1762</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0.41032801127794899</v>
      </c>
      <c r="D83" s="463">
        <f t="shared" ref="D83:K83" si="12">D82/D81</f>
        <v>-2.345455513550929E-2</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5"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 xml:space="preserve">&amp;L&amp;8Print Date: &amp;D
&amp;F&amp;CThe Notes to the Basic Financial Statements are an integral part of this statement.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24" zoomScaleNormal="124" zoomScaleSheetLayoutView="75" workbookViewId="0">
      <pane ySplit="2" topLeftCell="A51" activePane="bottomLeft" state="frozen"/>
      <selection activeCell="B32" sqref="B32:K32"/>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2" t="s">
        <v>1775</v>
      </c>
      <c r="B1" s="416"/>
      <c r="C1" s="417" t="s">
        <v>422</v>
      </c>
      <c r="D1" s="417" t="s">
        <v>423</v>
      </c>
      <c r="E1" s="417" t="s">
        <v>424</v>
      </c>
      <c r="F1" s="417" t="s">
        <v>425</v>
      </c>
      <c r="G1" s="417" t="s">
        <v>426</v>
      </c>
      <c r="H1" s="417" t="s">
        <v>427</v>
      </c>
      <c r="I1" s="417" t="s">
        <v>428</v>
      </c>
      <c r="J1" s="417" t="s">
        <v>429</v>
      </c>
      <c r="K1" s="417" t="s">
        <v>751</v>
      </c>
    </row>
    <row r="2" spans="1:12" ht="36" x14ac:dyDescent="0.2">
      <c r="A2" s="224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2136188</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2136188</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489</v>
      </c>
      <c r="D65" s="1573">
        <v>24</v>
      </c>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489</v>
      </c>
      <c r="D67" s="1594">
        <f t="shared" ref="D67:K67" si="2">SUM(D65:D66)</f>
        <v>24</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237</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237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91919</v>
      </c>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1248201</v>
      </c>
      <c r="D104" s="1573">
        <v>9372</v>
      </c>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25618</v>
      </c>
      <c r="D107" s="1573"/>
      <c r="E107" s="1573"/>
      <c r="F107" s="1573"/>
      <c r="G107" s="1573"/>
      <c r="H107" s="1573"/>
      <c r="I107" s="1573"/>
      <c r="J107" s="1574"/>
      <c r="K107" s="1573"/>
    </row>
    <row r="108" spans="1:12" ht="12.75" customHeight="1" thickBot="1" x14ac:dyDescent="0.25">
      <c r="A108" s="1406" t="s">
        <v>484</v>
      </c>
      <c r="B108" s="1408"/>
      <c r="C108" s="1633">
        <f>SUM(C95:C107)</f>
        <v>1365738</v>
      </c>
      <c r="D108" s="1633">
        <f t="shared" ref="D108:K108" si="3">SUM(D95:D107)</f>
        <v>9372</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3502652</v>
      </c>
      <c r="D109" s="1641">
        <f t="shared" si="4"/>
        <v>9396</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380946</v>
      </c>
      <c r="D117" s="1586"/>
      <c r="E117" s="1573"/>
      <c r="F117" s="1586"/>
      <c r="G117" s="1586"/>
      <c r="H117" s="1573"/>
      <c r="I117" s="1575"/>
      <c r="J117" s="1574"/>
      <c r="K117" s="1573"/>
    </row>
    <row r="118" spans="1:11" ht="12.75" customHeight="1" x14ac:dyDescent="0.2">
      <c r="A118" s="427" t="s">
        <v>1772</v>
      </c>
      <c r="B118" s="478">
        <v>3002</v>
      </c>
      <c r="C118" s="1632"/>
      <c r="D118" s="1573"/>
      <c r="E118" s="1573"/>
      <c r="F118" s="1573"/>
      <c r="G118" s="1573"/>
      <c r="H118" s="1573"/>
      <c r="I118" s="1575"/>
      <c r="J118" s="1574"/>
      <c r="K118" s="1573"/>
    </row>
    <row r="119" spans="1:11" ht="12.75" customHeight="1" x14ac:dyDescent="0.2">
      <c r="A119" s="427" t="s">
        <v>1773</v>
      </c>
      <c r="B119" s="478">
        <v>3005</v>
      </c>
      <c r="C119" s="1632"/>
      <c r="D119" s="1573"/>
      <c r="E119" s="1573"/>
      <c r="F119" s="1573"/>
      <c r="G119" s="1573"/>
      <c r="H119" s="1573"/>
      <c r="I119" s="1575"/>
      <c r="J119" s="1574"/>
      <c r="K119" s="1573"/>
    </row>
    <row r="120" spans="1:11" ht="12.75" customHeight="1" x14ac:dyDescent="0.2">
      <c r="A120" s="1539" t="s">
        <v>1891</v>
      </c>
      <c r="B120" s="478">
        <v>3030</v>
      </c>
      <c r="C120" s="1632"/>
      <c r="D120" s="1573"/>
      <c r="E120" s="1573"/>
      <c r="F120" s="1573"/>
      <c r="G120" s="1573"/>
      <c r="H120" s="1573"/>
      <c r="I120" s="1575"/>
      <c r="J120" s="1574"/>
      <c r="K120" s="1573"/>
    </row>
    <row r="121" spans="1:11" x14ac:dyDescent="0.2">
      <c r="A121" s="1266" t="s">
        <v>1774</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380946</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587</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62" t="s">
        <v>395</v>
      </c>
      <c r="B169" s="2263"/>
      <c r="C169" s="1658">
        <f t="shared" ref="C169:K169" si="6">SUM(C132,C141,C145,C146:C150,C155,C156:C167,C168)</f>
        <v>587</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381533</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4" t="s">
        <v>1475</v>
      </c>
      <c r="B172" s="226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8" t="s">
        <v>1646</v>
      </c>
      <c r="B175" s="226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72" t="s">
        <v>1645</v>
      </c>
      <c r="B176" s="227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70" t="s">
        <v>780</v>
      </c>
      <c r="B181" s="227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6" t="s">
        <v>1776</v>
      </c>
      <c r="B182" s="226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19495</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12828</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32323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106767</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2831483</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2938250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1892</v>
      </c>
      <c r="B261" s="429">
        <v>4981</v>
      </c>
      <c r="C261" s="1650"/>
      <c r="D261" s="1651"/>
      <c r="E261" s="1575"/>
      <c r="F261" s="1651"/>
      <c r="G261" s="1651"/>
      <c r="H261" s="1575"/>
      <c r="I261" s="1575"/>
      <c r="J261" s="1575"/>
      <c r="K261" s="1575"/>
    </row>
    <row r="262" spans="1:11" ht="12.75" customHeight="1" thickTop="1" thickBot="1" x14ac:dyDescent="0.25">
      <c r="A262" s="1540" t="s">
        <v>1893</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64991</v>
      </c>
      <c r="D263" s="1651"/>
      <c r="E263" s="1575"/>
      <c r="F263" s="1651"/>
      <c r="G263" s="1651"/>
      <c r="H263" s="1575"/>
      <c r="I263" s="1575"/>
      <c r="J263" s="1575"/>
      <c r="K263" s="1575"/>
    </row>
    <row r="264" spans="1:11" ht="12.75" customHeight="1" thickTop="1" thickBot="1" x14ac:dyDescent="0.25">
      <c r="A264" s="427" t="s">
        <v>374</v>
      </c>
      <c r="B264" s="429">
        <v>4992</v>
      </c>
      <c r="C264" s="1650">
        <v>461155</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3496719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3496719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7380904</v>
      </c>
      <c r="D268" s="1641">
        <f t="shared" si="12"/>
        <v>9396</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7" orientation="landscape" useFirstPageNumber="1" r:id="rId1"/>
  <headerFooter alignWithMargins="0">
    <oddHeader>&amp;L&amp;8Page &amp;P&amp;C&amp;"Arial,Bold"&amp;9STATEMENT OF REVENUES RECEIVED/REVENUES
FOR THE YEAR ENDING JUNE 30, 2020&amp;R&amp;8Page &amp;P</oddHeader>
    <oddFooter xml:space="preserve">&amp;L&amp;8Printed Date: &amp;D
&amp;F&amp;CThe Notes to the Basic Financial Statements are an integral part of this statement.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24" zoomScaleNormal="124" workbookViewId="0">
      <pane ySplit="2" topLeftCell="A12" activePane="bottomLeft" state="frozen"/>
      <selection activeCell="B32" sqref="B32:K32"/>
      <selection pane="bottomLeft" activeCell="B32" sqref="B32:K3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2" t="s">
        <v>1775</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82" t="s">
        <v>294</v>
      </c>
      <c r="B3" s="228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v>0</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v>933754</v>
      </c>
      <c r="D8" s="1573">
        <v>277821</v>
      </c>
      <c r="E8" s="1573">
        <f>99306+216774-3</f>
        <v>316077</v>
      </c>
      <c r="F8" s="1573">
        <f>9532+35684</f>
        <v>45216</v>
      </c>
      <c r="G8" s="1573">
        <f>29715+18443</f>
        <v>48158</v>
      </c>
      <c r="H8" s="1573"/>
      <c r="I8" s="1574"/>
      <c r="J8" s="1574"/>
      <c r="K8" s="1672">
        <f t="shared" si="0"/>
        <v>1621026</v>
      </c>
      <c r="L8" s="1573">
        <v>2029400</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c r="D10" s="1573"/>
      <c r="E10" s="1573"/>
      <c r="F10" s="1573"/>
      <c r="G10" s="1573"/>
      <c r="H10" s="1573"/>
      <c r="I10" s="1574"/>
      <c r="J10" s="1574"/>
      <c r="K10" s="1672">
        <f t="shared" si="0"/>
        <v>0</v>
      </c>
      <c r="L10" s="1573">
        <v>0</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c r="D13" s="1573"/>
      <c r="E13" s="1573"/>
      <c r="F13" s="1573"/>
      <c r="G13" s="1573"/>
      <c r="H13" s="1573"/>
      <c r="I13" s="1574"/>
      <c r="J13" s="1574"/>
      <c r="K13" s="1672">
        <f t="shared" si="0"/>
        <v>0</v>
      </c>
      <c r="L13" s="1573">
        <v>0</v>
      </c>
    </row>
    <row r="14" spans="1:14" x14ac:dyDescent="0.2">
      <c r="A14" s="1274" t="s">
        <v>957</v>
      </c>
      <c r="B14" s="503">
        <v>1500</v>
      </c>
      <c r="C14" s="1573"/>
      <c r="D14" s="1573"/>
      <c r="E14" s="1573"/>
      <c r="F14" s="1573"/>
      <c r="G14" s="1573"/>
      <c r="H14" s="1573"/>
      <c r="I14" s="1574"/>
      <c r="J14" s="1574"/>
      <c r="K14" s="1672">
        <f t="shared" si="0"/>
        <v>0</v>
      </c>
      <c r="L14" s="1573">
        <v>0</v>
      </c>
    </row>
    <row r="15" spans="1:14" x14ac:dyDescent="0.2">
      <c r="A15" s="1274" t="s">
        <v>958</v>
      </c>
      <c r="B15" s="503">
        <v>1600</v>
      </c>
      <c r="C15" s="1573">
        <v>99738</v>
      </c>
      <c r="D15" s="1573">
        <v>10794</v>
      </c>
      <c r="E15" s="1573">
        <v>357</v>
      </c>
      <c r="F15" s="1573">
        <v>1129</v>
      </c>
      <c r="G15" s="1573"/>
      <c r="H15" s="1573"/>
      <c r="I15" s="1574"/>
      <c r="J15" s="1574"/>
      <c r="K15" s="1672">
        <f t="shared" si="0"/>
        <v>112018</v>
      </c>
      <c r="L15" s="1573">
        <v>121394</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c r="D17" s="1574"/>
      <c r="E17" s="1574"/>
      <c r="F17" s="1574"/>
      <c r="G17" s="1574"/>
      <c r="H17" s="1574"/>
      <c r="I17" s="1574"/>
      <c r="J17" s="1574"/>
      <c r="K17" s="1672">
        <f t="shared" si="0"/>
        <v>0</v>
      </c>
      <c r="L17" s="1573">
        <v>0</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1033492</v>
      </c>
      <c r="D33" s="1674">
        <f t="shared" ref="D33:L33" si="1">SUM(D5:D32)</f>
        <v>288615</v>
      </c>
      <c r="E33" s="1674">
        <f t="shared" si="1"/>
        <v>316434</v>
      </c>
      <c r="F33" s="1674">
        <f t="shared" si="1"/>
        <v>46345</v>
      </c>
      <c r="G33" s="1674">
        <f t="shared" si="1"/>
        <v>48158</v>
      </c>
      <c r="H33" s="1674">
        <f t="shared" si="1"/>
        <v>0</v>
      </c>
      <c r="I33" s="1674">
        <f t="shared" si="1"/>
        <v>0</v>
      </c>
      <c r="J33" s="1674">
        <f t="shared" si="1"/>
        <v>0</v>
      </c>
      <c r="K33" s="1674">
        <f t="shared" si="1"/>
        <v>1733044</v>
      </c>
      <c r="L33" s="1674">
        <f t="shared" si="1"/>
        <v>2150794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158367</v>
      </c>
      <c r="D36" s="1586">
        <v>19818</v>
      </c>
      <c r="E36" s="1586">
        <v>4160</v>
      </c>
      <c r="F36" s="1586">
        <v>1126</v>
      </c>
      <c r="G36" s="1586"/>
      <c r="H36" s="1586"/>
      <c r="I36" s="1574"/>
      <c r="J36" s="1574"/>
      <c r="K36" s="1672">
        <f t="shared" ref="K36:K41" si="2">SUM(C36:J36)</f>
        <v>183471</v>
      </c>
      <c r="L36" s="1573">
        <v>181666</v>
      </c>
    </row>
    <row r="37" spans="1:14" x14ac:dyDescent="0.2">
      <c r="A37" s="1274" t="s">
        <v>1081</v>
      </c>
      <c r="B37" s="503">
        <v>2120</v>
      </c>
      <c r="C37" s="1573">
        <v>53796</v>
      </c>
      <c r="D37" s="1573">
        <v>6742</v>
      </c>
      <c r="E37" s="1573">
        <v>3159</v>
      </c>
      <c r="F37" s="1573"/>
      <c r="G37" s="1573"/>
      <c r="H37" s="1573"/>
      <c r="I37" s="1574"/>
      <c r="J37" s="1574"/>
      <c r="K37" s="1672">
        <f t="shared" si="2"/>
        <v>63697</v>
      </c>
      <c r="L37" s="1573">
        <v>80175</v>
      </c>
    </row>
    <row r="38" spans="1:14" x14ac:dyDescent="0.2">
      <c r="A38" s="1274" t="s">
        <v>196</v>
      </c>
      <c r="B38" s="503">
        <v>2130</v>
      </c>
      <c r="C38" s="1573">
        <v>360464</v>
      </c>
      <c r="D38" s="1573">
        <v>109227</v>
      </c>
      <c r="E38" s="1573">
        <v>18607</v>
      </c>
      <c r="F38" s="1573">
        <v>6377</v>
      </c>
      <c r="G38" s="1573">
        <v>13078</v>
      </c>
      <c r="H38" s="1573"/>
      <c r="I38" s="1574"/>
      <c r="J38" s="1574"/>
      <c r="K38" s="1672">
        <f t="shared" si="2"/>
        <v>507753</v>
      </c>
      <c r="L38" s="1573">
        <v>544607</v>
      </c>
    </row>
    <row r="39" spans="1:14" x14ac:dyDescent="0.2">
      <c r="A39" s="1274" t="s">
        <v>197</v>
      </c>
      <c r="B39" s="503">
        <v>2140</v>
      </c>
      <c r="C39" s="1573">
        <v>364457</v>
      </c>
      <c r="D39" s="1573">
        <v>53363</v>
      </c>
      <c r="E39" s="1573">
        <v>16865</v>
      </c>
      <c r="F39" s="1573">
        <v>35614</v>
      </c>
      <c r="G39" s="1573"/>
      <c r="H39" s="1573"/>
      <c r="I39" s="1574">
        <v>375</v>
      </c>
      <c r="J39" s="1574"/>
      <c r="K39" s="1672">
        <f t="shared" si="2"/>
        <v>470674</v>
      </c>
      <c r="L39" s="1573">
        <v>542543</v>
      </c>
    </row>
    <row r="40" spans="1:14" x14ac:dyDescent="0.2">
      <c r="A40" s="1274" t="s">
        <v>198</v>
      </c>
      <c r="B40" s="503">
        <v>2150</v>
      </c>
      <c r="C40" s="1573">
        <v>586099</v>
      </c>
      <c r="D40" s="1573">
        <v>88695</v>
      </c>
      <c r="E40" s="1573">
        <v>9056</v>
      </c>
      <c r="F40" s="1573">
        <v>17401</v>
      </c>
      <c r="G40" s="1573"/>
      <c r="H40" s="1573"/>
      <c r="I40" s="1574"/>
      <c r="J40" s="1574"/>
      <c r="K40" s="1672">
        <f t="shared" si="2"/>
        <v>701251</v>
      </c>
      <c r="L40" s="1573">
        <v>749971</v>
      </c>
    </row>
    <row r="41" spans="1:14" x14ac:dyDescent="0.2">
      <c r="A41" s="1274" t="s">
        <v>1650</v>
      </c>
      <c r="B41" s="503">
        <v>2190</v>
      </c>
      <c r="C41" s="1573"/>
      <c r="D41" s="1573"/>
      <c r="E41" s="1573"/>
      <c r="F41" s="1573"/>
      <c r="G41" s="1573"/>
      <c r="H41" s="1573"/>
      <c r="I41" s="1574"/>
      <c r="J41" s="1574"/>
      <c r="K41" s="1672">
        <f t="shared" si="2"/>
        <v>0</v>
      </c>
      <c r="L41" s="1573">
        <v>0</v>
      </c>
    </row>
    <row r="42" spans="1:14" ht="12.75" customHeight="1" thickBot="1" x14ac:dyDescent="0.25">
      <c r="A42" s="1380" t="s">
        <v>556</v>
      </c>
      <c r="B42" s="1381" t="s">
        <v>711</v>
      </c>
      <c r="C42" s="1674">
        <f>SUM(C36:C41)</f>
        <v>1523183</v>
      </c>
      <c r="D42" s="1674">
        <f t="shared" ref="D42:L42" si="3">SUM(D36:D41)</f>
        <v>277845</v>
      </c>
      <c r="E42" s="1674">
        <f t="shared" si="3"/>
        <v>51847</v>
      </c>
      <c r="F42" s="1674">
        <f t="shared" si="3"/>
        <v>60518</v>
      </c>
      <c r="G42" s="1674">
        <f t="shared" si="3"/>
        <v>13078</v>
      </c>
      <c r="H42" s="1674">
        <f t="shared" si="3"/>
        <v>0</v>
      </c>
      <c r="I42" s="1674">
        <f t="shared" si="3"/>
        <v>375</v>
      </c>
      <c r="J42" s="1674">
        <f t="shared" si="3"/>
        <v>0</v>
      </c>
      <c r="K42" s="1674">
        <f t="shared" si="3"/>
        <v>1926846</v>
      </c>
      <c r="L42" s="1674">
        <f t="shared" si="3"/>
        <v>2098962</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89622</v>
      </c>
      <c r="D44" s="1586">
        <v>30457</v>
      </c>
      <c r="E44" s="1586">
        <v>127697</v>
      </c>
      <c r="F44" s="1586">
        <v>137</v>
      </c>
      <c r="G44" s="1586"/>
      <c r="H44" s="1586"/>
      <c r="I44" s="1574"/>
      <c r="J44" s="1574"/>
      <c r="K44" s="1678">
        <f>SUM(C44:J44)</f>
        <v>247913</v>
      </c>
      <c r="L44" s="1586">
        <v>278916</v>
      </c>
    </row>
    <row r="45" spans="1:14" x14ac:dyDescent="0.2">
      <c r="A45" s="1274" t="s">
        <v>810</v>
      </c>
      <c r="B45" s="503">
        <v>2220</v>
      </c>
      <c r="C45" s="1573"/>
      <c r="D45" s="1573"/>
      <c r="E45" s="1573"/>
      <c r="F45" s="1573"/>
      <c r="G45" s="1573"/>
      <c r="H45" s="1573"/>
      <c r="I45" s="1574"/>
      <c r="J45" s="1574"/>
      <c r="K45" s="1678">
        <f>SUM(C45:J45)</f>
        <v>0</v>
      </c>
      <c r="L45" s="1573">
        <v>0</v>
      </c>
    </row>
    <row r="46" spans="1:14" x14ac:dyDescent="0.2">
      <c r="A46" s="1274" t="s">
        <v>811</v>
      </c>
      <c r="B46" s="503">
        <v>2230</v>
      </c>
      <c r="C46" s="1573"/>
      <c r="D46" s="1573"/>
      <c r="E46" s="1573">
        <v>55315</v>
      </c>
      <c r="F46" s="1573"/>
      <c r="G46" s="1573"/>
      <c r="H46" s="1573"/>
      <c r="I46" s="1574"/>
      <c r="J46" s="1574"/>
      <c r="K46" s="1678">
        <f>SUM(C46:J46)</f>
        <v>55315</v>
      </c>
      <c r="L46" s="1573">
        <v>50000</v>
      </c>
    </row>
    <row r="47" spans="1:14" ht="12.75" customHeight="1" thickBot="1" x14ac:dyDescent="0.25">
      <c r="A47" s="1380" t="s">
        <v>557</v>
      </c>
      <c r="B47" s="1381" t="s">
        <v>32</v>
      </c>
      <c r="C47" s="1674">
        <f>SUM(C44:C46)</f>
        <v>89622</v>
      </c>
      <c r="D47" s="1674">
        <f t="shared" ref="D47:K47" si="4">SUM(D44:D46)</f>
        <v>30457</v>
      </c>
      <c r="E47" s="1674">
        <f t="shared" si="4"/>
        <v>183012</v>
      </c>
      <c r="F47" s="1674">
        <f t="shared" si="4"/>
        <v>137</v>
      </c>
      <c r="G47" s="1674">
        <f t="shared" si="4"/>
        <v>0</v>
      </c>
      <c r="H47" s="1674">
        <f t="shared" si="4"/>
        <v>0</v>
      </c>
      <c r="I47" s="1674">
        <f t="shared" si="4"/>
        <v>0</v>
      </c>
      <c r="J47" s="1674">
        <f t="shared" si="4"/>
        <v>0</v>
      </c>
      <c r="K47" s="1674">
        <f t="shared" si="4"/>
        <v>303228</v>
      </c>
      <c r="L47" s="1674">
        <f>SUM(L44:L46)</f>
        <v>328916</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47359</v>
      </c>
      <c r="F49" s="1586"/>
      <c r="G49" s="1586"/>
      <c r="H49" s="1586"/>
      <c r="I49" s="1574"/>
      <c r="J49" s="1574"/>
      <c r="K49" s="1678">
        <f>SUM(C49:J49)</f>
        <v>47359</v>
      </c>
      <c r="L49" s="1586">
        <v>20912</v>
      </c>
    </row>
    <row r="50" spans="1:14" x14ac:dyDescent="0.2">
      <c r="A50" s="1274" t="s">
        <v>813</v>
      </c>
      <c r="B50" s="503">
        <v>2320</v>
      </c>
      <c r="C50" s="1573">
        <v>857005</v>
      </c>
      <c r="D50" s="1573">
        <v>210450</v>
      </c>
      <c r="E50" s="1573">
        <v>196891</v>
      </c>
      <c r="F50" s="1573">
        <v>67203</v>
      </c>
      <c r="G50" s="1573">
        <v>33191</v>
      </c>
      <c r="H50" s="1573">
        <v>5521</v>
      </c>
      <c r="I50" s="1574"/>
      <c r="J50" s="1574"/>
      <c r="K50" s="1678">
        <f>SUM(C50:J50)</f>
        <v>1370261</v>
      </c>
      <c r="L50" s="1573">
        <v>1332189</v>
      </c>
    </row>
    <row r="51" spans="1:14" x14ac:dyDescent="0.2">
      <c r="A51" s="1274" t="s">
        <v>42</v>
      </c>
      <c r="B51" s="503">
        <v>2330</v>
      </c>
      <c r="C51" s="1573"/>
      <c r="D51" s="1573"/>
      <c r="E51" s="1573"/>
      <c r="F51" s="1573"/>
      <c r="G51" s="1573"/>
      <c r="H51" s="1573"/>
      <c r="I51" s="1574"/>
      <c r="J51" s="1574"/>
      <c r="K51" s="1678">
        <f>SUM(C51:J51)</f>
        <v>0</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857005</v>
      </c>
      <c r="D53" s="1674">
        <f t="shared" ref="D53:L53" si="5">SUM(D49:D52)</f>
        <v>210450</v>
      </c>
      <c r="E53" s="1674">
        <f t="shared" si="5"/>
        <v>244250</v>
      </c>
      <c r="F53" s="1674">
        <f t="shared" si="5"/>
        <v>67203</v>
      </c>
      <c r="G53" s="1674">
        <f t="shared" si="5"/>
        <v>33191</v>
      </c>
      <c r="H53" s="1674">
        <f t="shared" si="5"/>
        <v>5521</v>
      </c>
      <c r="I53" s="1674">
        <f t="shared" si="5"/>
        <v>0</v>
      </c>
      <c r="J53" s="1674">
        <f t="shared" si="5"/>
        <v>0</v>
      </c>
      <c r="K53" s="1674">
        <f t="shared" si="5"/>
        <v>1417620</v>
      </c>
      <c r="L53" s="1674">
        <f t="shared" si="5"/>
        <v>1353101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v>0</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74708</v>
      </c>
      <c r="D60" s="1573">
        <v>18424</v>
      </c>
      <c r="E60" s="1573">
        <v>4268</v>
      </c>
      <c r="F60" s="1573">
        <v>3053</v>
      </c>
      <c r="G60" s="1573"/>
      <c r="H60" s="1573"/>
      <c r="I60" s="1574"/>
      <c r="J60" s="1574"/>
      <c r="K60" s="1678">
        <f t="shared" si="7"/>
        <v>100453</v>
      </c>
      <c r="L60" s="1573">
        <v>97182</v>
      </c>
      <c r="M60" s="501"/>
      <c r="N60" s="501"/>
    </row>
    <row r="61" spans="1:14" s="321" customFormat="1" x14ac:dyDescent="0.2">
      <c r="A61" s="1274" t="s">
        <v>195</v>
      </c>
      <c r="B61" s="503">
        <v>2540</v>
      </c>
      <c r="C61" s="1573">
        <v>31735</v>
      </c>
      <c r="D61" s="1573">
        <v>12131</v>
      </c>
      <c r="E61" s="1573">
        <v>17988</v>
      </c>
      <c r="F61" s="1573">
        <v>14702</v>
      </c>
      <c r="G61" s="1573">
        <v>1666</v>
      </c>
      <c r="H61" s="1573"/>
      <c r="I61" s="1574"/>
      <c r="J61" s="1574"/>
      <c r="K61" s="1678">
        <f t="shared" si="7"/>
        <v>78222</v>
      </c>
      <c r="L61" s="1573">
        <v>69621</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c r="D63" s="1573"/>
      <c r="E63" s="1573"/>
      <c r="F63" s="1573"/>
      <c r="G63" s="1573"/>
      <c r="H63" s="1573"/>
      <c r="I63" s="1574"/>
      <c r="J63" s="1574"/>
      <c r="K63" s="1678">
        <f t="shared" si="7"/>
        <v>0</v>
      </c>
      <c r="L63" s="1573">
        <v>0</v>
      </c>
    </row>
    <row r="64" spans="1:14" s="501" customFormat="1" x14ac:dyDescent="0.2">
      <c r="A64" s="1279" t="s">
        <v>101</v>
      </c>
      <c r="B64" s="513">
        <v>2570</v>
      </c>
      <c r="C64" s="1586"/>
      <c r="D64" s="1586"/>
      <c r="E64" s="1586">
        <v>83773</v>
      </c>
      <c r="F64" s="1586"/>
      <c r="G64" s="1586"/>
      <c r="H64" s="1586"/>
      <c r="I64" s="1574"/>
      <c r="J64" s="1574"/>
      <c r="K64" s="1678">
        <f t="shared" si="7"/>
        <v>83773</v>
      </c>
      <c r="L64" s="1586">
        <v>40842</v>
      </c>
    </row>
    <row r="65" spans="1:14" s="321" customFormat="1" ht="12.75" customHeight="1" thickBot="1" x14ac:dyDescent="0.25">
      <c r="A65" s="1380" t="s">
        <v>714</v>
      </c>
      <c r="B65" s="1381" t="s">
        <v>35</v>
      </c>
      <c r="C65" s="1674">
        <f>SUM(C59:C64)</f>
        <v>106443</v>
      </c>
      <c r="D65" s="1674">
        <f t="shared" ref="D65:L65" si="8">SUM(D59:D64)</f>
        <v>30555</v>
      </c>
      <c r="E65" s="1674">
        <f t="shared" si="8"/>
        <v>106029</v>
      </c>
      <c r="F65" s="1674">
        <f t="shared" si="8"/>
        <v>17755</v>
      </c>
      <c r="G65" s="1674">
        <f t="shared" si="8"/>
        <v>1666</v>
      </c>
      <c r="H65" s="1674">
        <f t="shared" si="8"/>
        <v>0</v>
      </c>
      <c r="I65" s="1674">
        <f t="shared" si="8"/>
        <v>0</v>
      </c>
      <c r="J65" s="1674">
        <f t="shared" si="8"/>
        <v>0</v>
      </c>
      <c r="K65" s="1674">
        <f t="shared" si="8"/>
        <v>262448</v>
      </c>
      <c r="L65" s="1674">
        <f t="shared" si="8"/>
        <v>207645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0</v>
      </c>
      <c r="M73" s="501"/>
      <c r="N73" s="501"/>
    </row>
    <row r="74" spans="1:14" ht="12.75" customHeight="1" thickTop="1" thickBot="1" x14ac:dyDescent="0.25">
      <c r="A74" s="1380" t="s">
        <v>806</v>
      </c>
      <c r="B74" s="1384">
        <v>2000</v>
      </c>
      <c r="C74" s="1681">
        <f>SUM(C42,C47,C53,C57,C65,C72,C73)</f>
        <v>2576253</v>
      </c>
      <c r="D74" s="1681">
        <f t="shared" ref="D74:K74" si="10">SUM(D42,D47,D53,D57,D65,D72,D73)</f>
        <v>549307</v>
      </c>
      <c r="E74" s="1681">
        <f t="shared" si="10"/>
        <v>585138</v>
      </c>
      <c r="F74" s="1681">
        <f t="shared" si="10"/>
        <v>145613</v>
      </c>
      <c r="G74" s="1681">
        <f t="shared" si="10"/>
        <v>47935</v>
      </c>
      <c r="H74" s="1681">
        <f t="shared" si="10"/>
        <v>5521</v>
      </c>
      <c r="I74" s="1681">
        <f t="shared" si="10"/>
        <v>375</v>
      </c>
      <c r="J74" s="1681">
        <f t="shared" si="10"/>
        <v>0</v>
      </c>
      <c r="K74" s="1681">
        <f t="shared" si="10"/>
        <v>3910142</v>
      </c>
      <c r="L74" s="1681">
        <f>SUM(L42,L47,L53,L57,L65,L72,L73)</f>
        <v>3988624</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v>24000</v>
      </c>
      <c r="F79" s="1673"/>
      <c r="G79" s="1673"/>
      <c r="H79" s="1573">
        <v>712452</v>
      </c>
      <c r="I79" s="1582"/>
      <c r="J79" s="1582"/>
      <c r="K79" s="1672">
        <f t="shared" si="11"/>
        <v>736452</v>
      </c>
      <c r="L79" s="1573">
        <v>699000</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1468</v>
      </c>
      <c r="B84" s="1385">
        <v>4100</v>
      </c>
      <c r="C84" s="1673"/>
      <c r="D84" s="1673"/>
      <c r="E84" s="1674">
        <f>SUM(E78:E83)</f>
        <v>24000</v>
      </c>
      <c r="F84" s="1673"/>
      <c r="G84" s="1673"/>
      <c r="H84" s="1674">
        <f>SUM(H78:H83)</f>
        <v>712452</v>
      </c>
      <c r="I84" s="1582"/>
      <c r="J84" s="1582"/>
      <c r="K84" s="1674">
        <f>SUM(K78:K83)</f>
        <v>736452</v>
      </c>
      <c r="L84" s="1674">
        <f>SUM(L78:L83)</f>
        <v>699000</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24000</v>
      </c>
      <c r="F102" s="1673"/>
      <c r="G102" s="1673"/>
      <c r="H102" s="1681">
        <f>SUM(H84,H92,H100,H101)</f>
        <v>712452</v>
      </c>
      <c r="I102" s="1582"/>
      <c r="J102" s="1582"/>
      <c r="K102" s="1681">
        <f>SUM(K84,K92,K100,K101)</f>
        <v>736452</v>
      </c>
      <c r="L102" s="1681">
        <f>SUM(L84,L92,L100,L101)</f>
        <v>699000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3609745</v>
      </c>
      <c r="D114" s="1674">
        <f t="shared" ref="D114:K114" si="13">SUM(D33,D74,D75,D102,D112,D113)</f>
        <v>837922</v>
      </c>
      <c r="E114" s="1674">
        <f t="shared" si="13"/>
        <v>925572</v>
      </c>
      <c r="F114" s="1674">
        <f t="shared" si="13"/>
        <v>191958</v>
      </c>
      <c r="G114" s="1674">
        <f t="shared" si="13"/>
        <v>96093</v>
      </c>
      <c r="H114" s="1674">
        <f>SUM(H33,H74,H75,H102,H112,H113)</f>
        <v>717973</v>
      </c>
      <c r="I114" s="1674">
        <f t="shared" si="13"/>
        <v>375</v>
      </c>
      <c r="J114" s="1674">
        <f t="shared" si="13"/>
        <v>0</v>
      </c>
      <c r="K114" s="1674">
        <f t="shared" si="13"/>
        <v>6379638</v>
      </c>
      <c r="L114" s="1674">
        <f>SUM(L33,L74,L75,L102,L112,L113)</f>
        <v>6838418</v>
      </c>
    </row>
    <row r="115" spans="1:14" ht="13.5" thickTop="1" x14ac:dyDescent="0.2">
      <c r="A115" s="2274" t="s">
        <v>989</v>
      </c>
      <c r="B115" s="2275"/>
      <c r="C115" s="1675"/>
      <c r="D115" s="1675"/>
      <c r="E115" s="1675"/>
      <c r="F115" s="1675"/>
      <c r="G115" s="1675"/>
      <c r="H115" s="1675"/>
      <c r="I115" s="1675"/>
      <c r="J115" s="1675"/>
      <c r="K115" s="1689">
        <f>'Revenues 9-14'!C268-'Expenditures 15-22'!K114</f>
        <v>1001266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9" t="s">
        <v>293</v>
      </c>
      <c r="B117" s="228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1959</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c r="D124" s="1573"/>
      <c r="E124" s="1573">
        <v>933</v>
      </c>
      <c r="F124" s="1573">
        <v>10225</v>
      </c>
      <c r="G124" s="1573"/>
      <c r="H124" s="1573"/>
      <c r="I124" s="1574"/>
      <c r="J124" s="1574"/>
      <c r="K124" s="1674">
        <f>SUM(C124:J124)</f>
        <v>11158</v>
      </c>
      <c r="L124" s="1573">
        <v>20000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933</v>
      </c>
      <c r="F127" s="1674">
        <f t="shared" si="14"/>
        <v>10225</v>
      </c>
      <c r="G127" s="1674">
        <f t="shared" si="14"/>
        <v>0</v>
      </c>
      <c r="H127" s="1674">
        <f t="shared" si="14"/>
        <v>0</v>
      </c>
      <c r="I127" s="1674">
        <f t="shared" si="14"/>
        <v>0</v>
      </c>
      <c r="J127" s="1674">
        <f t="shared" si="14"/>
        <v>0</v>
      </c>
      <c r="K127" s="1674">
        <f t="shared" si="14"/>
        <v>11158</v>
      </c>
      <c r="L127" s="1674">
        <f t="shared" si="14"/>
        <v>20000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933</v>
      </c>
      <c r="F129" s="1681">
        <f t="shared" si="15"/>
        <v>10225</v>
      </c>
      <c r="G129" s="1681">
        <f t="shared" si="15"/>
        <v>0</v>
      </c>
      <c r="H129" s="1681">
        <f t="shared" si="15"/>
        <v>0</v>
      </c>
      <c r="I129" s="1681">
        <f t="shared" si="15"/>
        <v>0</v>
      </c>
      <c r="J129" s="1681">
        <f t="shared" si="15"/>
        <v>0</v>
      </c>
      <c r="K129" s="1681">
        <f t="shared" si="15"/>
        <v>11158</v>
      </c>
      <c r="L129" s="1681">
        <f t="shared" si="15"/>
        <v>20000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1812</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91" t="s">
        <v>616</v>
      </c>
      <c r="B151" s="2271"/>
      <c r="C151" s="1674">
        <f>SUM(C129,C130,C139,C149,C150)</f>
        <v>0</v>
      </c>
      <c r="D151" s="1674">
        <f t="shared" ref="D151:K151" si="16">SUM(D129,D130,D139,D149,D150)</f>
        <v>0</v>
      </c>
      <c r="E151" s="1674">
        <f t="shared" si="16"/>
        <v>933</v>
      </c>
      <c r="F151" s="1674">
        <f t="shared" si="16"/>
        <v>10225</v>
      </c>
      <c r="G151" s="1674">
        <f t="shared" si="16"/>
        <v>0</v>
      </c>
      <c r="H151" s="1674">
        <f t="shared" si="16"/>
        <v>0</v>
      </c>
      <c r="I151" s="1674">
        <f t="shared" si="16"/>
        <v>0</v>
      </c>
      <c r="J151" s="1674">
        <f t="shared" si="16"/>
        <v>0</v>
      </c>
      <c r="K151" s="1674">
        <f t="shared" si="16"/>
        <v>11158</v>
      </c>
      <c r="L151" s="1674">
        <f>SUM(L129,L130,L139,L149,L150)</f>
        <v>20000</v>
      </c>
    </row>
    <row r="152" spans="1:14" ht="12.75" customHeight="1" thickTop="1" x14ac:dyDescent="0.2">
      <c r="A152" s="2294" t="s">
        <v>1168</v>
      </c>
      <c r="B152" s="2295"/>
      <c r="C152" s="1675"/>
      <c r="D152" s="1675"/>
      <c r="E152" s="1675"/>
      <c r="F152" s="1675"/>
      <c r="G152" s="1675"/>
      <c r="H152" s="1675"/>
      <c r="I152" s="1675"/>
      <c r="J152" s="1673"/>
      <c r="K152" s="1689">
        <f>'Revenues 9-14'!D268-'Expenditures 15-22'!K151</f>
        <v>-1762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9" t="s">
        <v>617</v>
      </c>
      <c r="B154" s="228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1813</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1812</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1814</v>
      </c>
      <c r="C158" s="1673"/>
      <c r="D158" s="1673"/>
      <c r="E158" s="1673"/>
      <c r="F158" s="1673"/>
      <c r="G158" s="1673"/>
      <c r="H158" s="1574"/>
      <c r="I158" s="1673"/>
      <c r="J158" s="1673"/>
      <c r="K158" s="1672">
        <f>H158</f>
        <v>0</v>
      </c>
      <c r="L158" s="1574">
        <v>0</v>
      </c>
      <c r="M158" s="505"/>
      <c r="N158" s="505"/>
    </row>
    <row r="159" spans="1:14" s="506" customFormat="1" ht="12" x14ac:dyDescent="0.2">
      <c r="A159" s="1462" t="s">
        <v>1815</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1816</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v>0</v>
      </c>
    </row>
    <row r="170" spans="1:14" ht="33.75" customHeight="1" x14ac:dyDescent="0.2">
      <c r="A170" s="543" t="s">
        <v>1651</v>
      </c>
      <c r="B170" s="545" t="s">
        <v>31</v>
      </c>
      <c r="C170" s="1673"/>
      <c r="D170" s="1673"/>
      <c r="E170" s="1673"/>
      <c r="F170" s="1673"/>
      <c r="G170" s="1673"/>
      <c r="H170" s="1646"/>
      <c r="I170" s="1673"/>
      <c r="J170" s="1673"/>
      <c r="K170" s="1672">
        <f>SUM(C170:J170)</f>
        <v>0</v>
      </c>
      <c r="L170" s="1646">
        <v>0</v>
      </c>
    </row>
    <row r="171" spans="1:14" ht="15.75" customHeight="1" x14ac:dyDescent="0.2">
      <c r="A171" s="507" t="s">
        <v>761</v>
      </c>
      <c r="B171" s="546" t="s">
        <v>84</v>
      </c>
      <c r="C171" s="1673"/>
      <c r="D171" s="1673"/>
      <c r="E171" s="1573"/>
      <c r="F171" s="1673"/>
      <c r="G171" s="1673"/>
      <c r="H171" s="1646"/>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74" t="s">
        <v>989</v>
      </c>
      <c r="B175" s="2275"/>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1959</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v>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74" t="s">
        <v>989</v>
      </c>
      <c r="B211" s="2275"/>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6" t="s">
        <v>959</v>
      </c>
      <c r="B213" s="229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v>0</v>
      </c>
    </row>
    <row r="216" spans="1:14" x14ac:dyDescent="0.2">
      <c r="A216" s="1274" t="s">
        <v>162</v>
      </c>
      <c r="B216" s="503" t="s">
        <v>961</v>
      </c>
      <c r="C216" s="1673"/>
      <c r="D216" s="1574"/>
      <c r="E216" s="1673"/>
      <c r="F216" s="1673"/>
      <c r="G216" s="1673"/>
      <c r="H216" s="1673"/>
      <c r="I216" s="1673"/>
      <c r="J216" s="1673"/>
      <c r="K216" s="1672">
        <f t="shared" ref="K216:K228" si="19">D216</f>
        <v>0</v>
      </c>
      <c r="L216" s="1573">
        <v>0</v>
      </c>
    </row>
    <row r="217" spans="1:14" x14ac:dyDescent="0.2">
      <c r="A217" s="1274" t="s">
        <v>163</v>
      </c>
      <c r="B217" s="503">
        <v>1200</v>
      </c>
      <c r="C217" s="1673"/>
      <c r="D217" s="1573"/>
      <c r="E217" s="1673"/>
      <c r="F217" s="1673"/>
      <c r="G217" s="1673"/>
      <c r="H217" s="1673"/>
      <c r="I217" s="1673"/>
      <c r="J217" s="1673"/>
      <c r="K217" s="1672">
        <f t="shared" si="19"/>
        <v>0</v>
      </c>
      <c r="L217" s="1573">
        <v>0</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c r="E219" s="1673"/>
      <c r="F219" s="1673"/>
      <c r="G219" s="1673"/>
      <c r="H219" s="1673"/>
      <c r="I219" s="1673"/>
      <c r="J219" s="1673"/>
      <c r="K219" s="1672">
        <f t="shared" si="19"/>
        <v>0</v>
      </c>
      <c r="L219" s="1573">
        <v>0</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c r="E222" s="1673"/>
      <c r="F222" s="1673"/>
      <c r="G222" s="1673"/>
      <c r="H222" s="1673"/>
      <c r="I222" s="1673"/>
      <c r="J222" s="1673"/>
      <c r="K222" s="1672">
        <f t="shared" si="19"/>
        <v>0</v>
      </c>
      <c r="L222" s="1573">
        <v>0</v>
      </c>
    </row>
    <row r="223" spans="1:14" x14ac:dyDescent="0.2">
      <c r="A223" s="1274" t="s">
        <v>957</v>
      </c>
      <c r="B223" s="503">
        <v>1500</v>
      </c>
      <c r="C223" s="1673"/>
      <c r="D223" s="1573"/>
      <c r="E223" s="1673"/>
      <c r="F223" s="1673"/>
      <c r="G223" s="1673"/>
      <c r="H223" s="1673"/>
      <c r="I223" s="1673"/>
      <c r="J223" s="1673"/>
      <c r="K223" s="1672">
        <f t="shared" si="19"/>
        <v>0</v>
      </c>
      <c r="L223" s="1573">
        <v>0</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c r="E226" s="1673"/>
      <c r="F226" s="1673"/>
      <c r="G226" s="1673"/>
      <c r="H226" s="1673"/>
      <c r="I226" s="1673"/>
      <c r="J226" s="1673"/>
      <c r="K226" s="1672">
        <f t="shared" si="19"/>
        <v>0</v>
      </c>
      <c r="L226" s="1573">
        <v>0</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v>0</v>
      </c>
    </row>
    <row r="233" spans="1:12" x14ac:dyDescent="0.2">
      <c r="A233" s="1274" t="s">
        <v>1081</v>
      </c>
      <c r="B233" s="503">
        <v>2120</v>
      </c>
      <c r="C233" s="1673"/>
      <c r="D233" s="1573"/>
      <c r="E233" s="1673"/>
      <c r="F233" s="1673"/>
      <c r="G233" s="1673"/>
      <c r="H233" s="1673"/>
      <c r="I233" s="1673"/>
      <c r="J233" s="1673"/>
      <c r="K233" s="1672">
        <f t="shared" si="20"/>
        <v>0</v>
      </c>
      <c r="L233" s="1573">
        <v>0</v>
      </c>
    </row>
    <row r="234" spans="1:12" x14ac:dyDescent="0.2">
      <c r="A234" s="1274" t="s">
        <v>196</v>
      </c>
      <c r="B234" s="503">
        <v>2130</v>
      </c>
      <c r="C234" s="1673"/>
      <c r="D234" s="1573"/>
      <c r="E234" s="1673"/>
      <c r="F234" s="1673"/>
      <c r="G234" s="1673"/>
      <c r="H234" s="1673"/>
      <c r="I234" s="1673"/>
      <c r="J234" s="1673"/>
      <c r="K234" s="1672">
        <f t="shared" si="20"/>
        <v>0</v>
      </c>
      <c r="L234" s="1573">
        <v>0</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c r="E236" s="1673"/>
      <c r="F236" s="1673"/>
      <c r="G236" s="1673"/>
      <c r="H236" s="1673"/>
      <c r="I236" s="1673"/>
      <c r="J236" s="1673"/>
      <c r="K236" s="1672">
        <f t="shared" si="20"/>
        <v>0</v>
      </c>
      <c r="L236" s="1573">
        <v>0</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0</v>
      </c>
    </row>
    <row r="241" spans="1:12" x14ac:dyDescent="0.2">
      <c r="A241" s="1274" t="s">
        <v>810</v>
      </c>
      <c r="B241" s="503">
        <v>2220</v>
      </c>
      <c r="C241" s="1673"/>
      <c r="D241" s="1573"/>
      <c r="E241" s="1673"/>
      <c r="F241" s="1673"/>
      <c r="G241" s="1673"/>
      <c r="H241" s="1673"/>
      <c r="I241" s="1673"/>
      <c r="J241" s="1673"/>
      <c r="K241" s="1678">
        <f>D241</f>
        <v>0</v>
      </c>
      <c r="L241" s="1573">
        <v>0</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v>0</v>
      </c>
    </row>
    <row r="246" spans="1:12" x14ac:dyDescent="0.2">
      <c r="A246" s="1274" t="s">
        <v>813</v>
      </c>
      <c r="B246" s="503">
        <v>2320</v>
      </c>
      <c r="C246" s="1673"/>
      <c r="D246" s="1573"/>
      <c r="E246" s="1673"/>
      <c r="F246" s="1673"/>
      <c r="G246" s="1673"/>
      <c r="H246" s="1673"/>
      <c r="I246" s="1673"/>
      <c r="J246" s="1673"/>
      <c r="K246" s="1678">
        <f t="shared" ref="K246:K256" si="21">D246</f>
        <v>0</v>
      </c>
      <c r="L246" s="1573">
        <v>0</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1778</v>
      </c>
      <c r="B249" s="557" t="s">
        <v>280</v>
      </c>
      <c r="C249" s="1673"/>
      <c r="D249" s="1579"/>
      <c r="E249" s="1673"/>
      <c r="F249" s="1673"/>
      <c r="G249" s="1673"/>
      <c r="H249" s="1673"/>
      <c r="I249" s="1673"/>
      <c r="J249" s="1673"/>
      <c r="K249" s="1678">
        <f t="shared" si="21"/>
        <v>0</v>
      </c>
      <c r="L249" s="1573">
        <v>0</v>
      </c>
    </row>
    <row r="250" spans="1:12" x14ac:dyDescent="0.2">
      <c r="A250" s="1275" t="s">
        <v>1779</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v>0</v>
      </c>
    </row>
    <row r="260" spans="1:14" s="493" customFormat="1" x14ac:dyDescent="0.2">
      <c r="A260" s="1292" t="s">
        <v>1777</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c r="E264" s="1673"/>
      <c r="F264" s="1673"/>
      <c r="G264" s="1673"/>
      <c r="H264" s="1673"/>
      <c r="I264" s="1673"/>
      <c r="J264" s="1673"/>
      <c r="K264" s="1678">
        <f t="shared" ref="K264:K269" si="22">D264</f>
        <v>0</v>
      </c>
      <c r="L264" s="1573">
        <v>0</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c r="E266" s="1673"/>
      <c r="F266" s="1673"/>
      <c r="G266" s="1673"/>
      <c r="H266" s="1673"/>
      <c r="I266" s="1673"/>
      <c r="J266" s="1673"/>
      <c r="K266" s="1678">
        <f t="shared" si="22"/>
        <v>0</v>
      </c>
      <c r="L266" s="1573">
        <v>0</v>
      </c>
    </row>
    <row r="267" spans="1:14" x14ac:dyDescent="0.2">
      <c r="A267" s="1274" t="s">
        <v>947</v>
      </c>
      <c r="B267" s="503">
        <v>2550</v>
      </c>
      <c r="C267" s="1673"/>
      <c r="D267" s="1573"/>
      <c r="E267" s="1673"/>
      <c r="F267" s="1673"/>
      <c r="G267" s="1673"/>
      <c r="H267" s="1673"/>
      <c r="I267" s="1673"/>
      <c r="J267" s="1673"/>
      <c r="K267" s="1678">
        <f t="shared" si="22"/>
        <v>0</v>
      </c>
      <c r="L267" s="1573">
        <v>0</v>
      </c>
    </row>
    <row r="268" spans="1:14" x14ac:dyDescent="0.2">
      <c r="A268" s="1274" t="s">
        <v>100</v>
      </c>
      <c r="B268" s="503">
        <v>2560</v>
      </c>
      <c r="C268" s="1673"/>
      <c r="D268" s="1573"/>
      <c r="E268" s="1673"/>
      <c r="F268" s="1673"/>
      <c r="G268" s="1673"/>
      <c r="H268" s="1673"/>
      <c r="I268" s="1673"/>
      <c r="J268" s="1673"/>
      <c r="K268" s="1678">
        <f t="shared" si="22"/>
        <v>0</v>
      </c>
      <c r="L268" s="1573">
        <v>0</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1812</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92" t="s">
        <v>502</v>
      </c>
      <c r="B295" s="2293"/>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74" t="s">
        <v>989</v>
      </c>
      <c r="B296" s="2275"/>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4" t="s">
        <v>142</v>
      </c>
      <c r="B298" s="227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v>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1817</v>
      </c>
      <c r="B306" s="562" t="s">
        <v>1812</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9" t="s">
        <v>275</v>
      </c>
      <c r="B312" s="2290"/>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85" t="s">
        <v>989</v>
      </c>
      <c r="B313" s="2286"/>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8" t="s">
        <v>148</v>
      </c>
      <c r="B315" s="229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00" t="s">
        <v>892</v>
      </c>
      <c r="B317" s="229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1778</v>
      </c>
      <c r="B320" s="568" t="s">
        <v>280</v>
      </c>
      <c r="C320" s="1574"/>
      <c r="D320" s="1574"/>
      <c r="E320" s="1574"/>
      <c r="F320" s="1574"/>
      <c r="G320" s="1574"/>
      <c r="H320" s="1574"/>
      <c r="I320" s="1574"/>
      <c r="J320" s="1574"/>
      <c r="K320" s="1672">
        <f t="shared" ref="K320:K327" si="24">SUM(C320:J320)</f>
        <v>0</v>
      </c>
      <c r="L320" s="1574">
        <v>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0</v>
      </c>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v>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v>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v>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1818</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1812</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1814</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1819</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87" t="s">
        <v>989</v>
      </c>
      <c r="B343" s="2288"/>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7" t="s">
        <v>960</v>
      </c>
      <c r="B345" s="227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1820</v>
      </c>
      <c r="B354" s="557" t="s">
        <v>1812</v>
      </c>
      <c r="C354" s="1673"/>
      <c r="D354" s="1673"/>
      <c r="E354" s="1673"/>
      <c r="F354" s="1673"/>
      <c r="G354" s="1673"/>
      <c r="H354" s="1579"/>
      <c r="I354" s="1716"/>
      <c r="J354" s="1673"/>
      <c r="K354" s="1713">
        <f>H354</f>
        <v>0</v>
      </c>
      <c r="L354" s="1577">
        <v>0</v>
      </c>
    </row>
    <row r="355" spans="1:14" ht="12.75" customHeight="1" x14ac:dyDescent="0.2">
      <c r="A355" s="1283" t="s">
        <v>1821</v>
      </c>
      <c r="B355" s="562" t="s">
        <v>1814</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74" t="s">
        <v>989</v>
      </c>
      <c r="B368" s="2275"/>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3" fitToHeight="0" orientation="landscape" useFirstPageNumber="1" r:id="rId1"/>
  <headerFooter alignWithMargins="0">
    <oddHeader>&amp;L&amp;8Page &amp;P&amp;C&amp;"Arial,Bold"&amp;9STATEMENT OF EXPENDITURES DISBURSED/EXPENDITURES, BUDGET TO ACTUAL
FOR THE YEAR ENDING JUNE 30, 2020&amp;R&amp;8Page &amp;P</oddHeader>
    <oddFooter xml:space="preserve">&amp;L&amp;8Print Date: &amp;D
&amp;F&amp;CThe Notes to the Basic Financial Statements are an integral part of this statement.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microsoft.com/office/infopath/2007/PartnerControls"/>
    <ds:schemaRef ds:uri="http://schemas.microsoft.com/sharepoint/v3"/>
    <ds:schemaRef ds:uri="http://schemas.microsoft.com/office/2006/documentManagement/types"/>
    <ds:schemaRef ds:uri="http://purl.org/dc/terms/"/>
    <ds:schemaRef ds:uri="http://purl.org/dc/dcmitype/"/>
    <ds:schemaRef ds:uri="http://schemas.openxmlformats.org/package/2006/metadata/core-properties"/>
    <ds:schemaRef ds:uri="4d435f69-8686-490b-bd6d-b153bf22ab50"/>
    <ds:schemaRef ds:uri="http://purl.org/dc/elements/1.1/"/>
    <ds:schemaRef ds:uri="d21dc803-237d-4c68-8692-8d731fd29118"/>
    <ds:schemaRef ds:uri="6ce3111e-7420-4802-b50a-75d4e9a0b980"/>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vt:lpstr>
      <vt:lpstr> SEFA</vt:lpstr>
      <vt:lpstr> SEFA (2)</vt:lpstr>
      <vt:lpstr> SEFA (3)</vt:lpstr>
      <vt:lpstr>SEFA NOTES</vt:lpstr>
      <vt:lpstr>SEFA NOTES (2)</vt:lpstr>
      <vt:lpstr>SF&amp;QC Sec-1</vt:lpstr>
      <vt:lpstr>SF&amp;QC Sec-2</vt:lpstr>
      <vt:lpstr>SF&amp;QC Sec-3</vt:lpstr>
      <vt:lpstr>SSPAF</vt:lpstr>
      <vt:lpstr>' SEFA'!Print_Area</vt:lpstr>
      <vt:lpstr>' SEFA '!Print_Area</vt:lpstr>
      <vt:lpstr>' SEFA (2)'!Print_Area</vt:lpstr>
      <vt:lpstr>' SEFA (3)'!Print_Area</vt:lpstr>
      <vt:lpstr>'SEFA NOTES'!Print_Area</vt:lpstr>
      <vt:lpstr>'SEFA NOTES (2)'!Print_Area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2021-01-22T19:31:38Z</cp:lastPrinted>
  <dcterms:created xsi:type="dcterms:W3CDTF">2003-10-29T19:06:34Z</dcterms:created>
  <dcterms:modified xsi:type="dcterms:W3CDTF">2021-01-23T01:17:51Z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