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91370BD-40D4-4AB2-B7AC-3B2924374AFC}"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F41" i="108"/>
  <c r="G43" i="108" s="1"/>
  <c r="B7220" i="106"/>
  <c r="D7220" i="106" s="1"/>
  <c r="F75" i="34"/>
  <c r="B7886" i="106" s="1"/>
  <c r="D7886" i="106" s="1"/>
  <c r="B7222" i="106"/>
  <c r="D7222" i="106" s="1"/>
  <c r="F76" i="34"/>
  <c r="B7887" i="106" s="1"/>
  <c r="D7887" i="106" s="1"/>
  <c r="N57" i="184"/>
  <c r="N68" i="184" s="1"/>
  <c r="E68" i="184"/>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<sst xmlns="http://schemas.openxmlformats.org/spreadsheetml/2006/main" count="5169" uniqueCount="2082">
  <si>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</si>
  <si>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</si>
  <si>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</si>
  <si>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</si>
  <si>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</si>
  <si>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</si>
  <si>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</si>
  <si>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</si>
  <si>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</si>
  <si>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</si>
  <si>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</si>
  <si>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</si>
  <si>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</si>
  <si>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</si>
  <si>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</si>
  <si>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</si>
  <si>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</si>
  <si>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</si>
  <si>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</si>
  <si>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</si>
  <si>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</si>
  <si>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</si>
  <si>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</si>
  <si>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</si>
  <si>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</si>
  <si>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</si>
  <si>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</si>
  <si>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</si>
  <si>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</si>
  <si>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</si>
  <si>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</si>
  <si>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</si>
  <si>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</si>
  <si>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</si>
  <si>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</si>
  <si>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</si>
  <si>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</si>
  <si>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</si>
  <si>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</si>
  <si>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</si>
  <si>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</si>
  <si>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</si>
  <si>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</si>
  <si>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</si>
  <si>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</si>
  <si>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</si>
  <si>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</si>
  <si>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</si>
  <si>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</si>
  <si>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</si>
  <si>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</si>
  <si>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</si>
  <si>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</si>
  <si>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</si>
  <si>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</si>
  <si>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</si>
  <si>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</si>
  <si>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</si>
  <si>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</si>
  <si>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</si>
  <si>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</si>
  <si>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</si>
  <si>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</si>
  <si>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</si>
  <si>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</si>
  <si>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</si>
  <si>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</si>
  <si>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</si>
  <si>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</si>
  <si>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</si>
  <si>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</si>
  <si>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</si>
  <si>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</si>
  <si>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</si>
  <si>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</si>
  <si>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</si>
  <si>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</si>
  <si>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</si>
  <si>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</si>
  <si>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</si>
  <si>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</si>
  <si>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</si>
  <si>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</si>
  <si>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</si>
  <si>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</si>
  <si>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</si>
  <si>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</si>
  <si>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</si>
  <si>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</si>
  <si>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</si>
  <si>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</si>
  <si>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</si>
  <si>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</si>
  <si>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</si>
  <si>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</si>
  <si>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</si>
  <si>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</si>
  <si>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</si>
  <si>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</si>
  <si>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</si>
  <si>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</si>
  <si>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</si>
  <si>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</si>
  <si>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</si>
  <si>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</si>
  <si>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</si>
  <si>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</si>
  <si>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</si>
  <si>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</si>
  <si>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</si>
  <si>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</si>
  <si>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</si>
  <si>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</si>
  <si>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</si>
  <si>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</si>
  <si>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</si>
  <si>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</si>
  <si>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</si>
  <si>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</si>
  <si>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</si>
  <si>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</si>
  <si>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</si>
  <si>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</si>
  <si>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</si>
  <si>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</si>
  <si>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</si>
  <si>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</si>
  <si>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</si>
  <si>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</si>
  <si>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</si>
  <si>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</si>
  <si>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</si>
  <si>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</si>
  <si>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</si>
  <si>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</si>
  <si>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</si>
  <si>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</si>
  <si>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</si>
  <si>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</si>
  <si>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</si>
  <si>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</si>
  <si>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</si>
  <si>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</si>
  <si>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</si>
  <si>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</si>
  <si>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</si>
  <si>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</si>
  <si>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</si>
  <si>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</si>
  <si>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</si>
  <si>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</si>
  <si>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</si>
  <si>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</si>
  <si>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</si>
  <si>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</si>
  <si>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</si>
  <si>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</si>
  <si>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</si>
  <si>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</si>
  <si>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</si>
  <si>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</si>
  <si>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</si>
  <si>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</si>
  <si>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</si>
  <si>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</si>
  <si>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</si>
  <si>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</si>
  <si>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</si>
  <si>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</si>
  <si>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</si>
  <si>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</si>
  <si>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</si>
  <si>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</si>
  <si>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</si>
  <si>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</si>
  <si>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</si>
  <si>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</si>
  <si>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</si>
  <si>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</si>
  <si>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</si>
  <si>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</si>
  <si>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</si>
  <si>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</si>
  <si>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</si>
  <si>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</si>
  <si>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</si>
  <si>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</si>
  <si>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</si>
  <si>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</si>
  <si>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</si>
  <si>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</si>
  <si>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</si>
  <si>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</si>
  <si>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</si>
  <si>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</si>
  <si>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</si>
  <si>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</si>
  <si>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</si>
  <si>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</si>
  <si>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</si>
  <si>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</si>
  <si>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</si>
  <si>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</si>
  <si>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</si>
  <si>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</si>
  <si>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</si>
  <si>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</si>
  <si>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</si>
  <si>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</si>
  <si>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</si>
  <si>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</si>
  <si>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</si>
  <si>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</si>
  <si>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</si>
  <si>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</si>
  <si>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</si>
  <si>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</si>
  <si>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</si>
  <si>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</si>
  <si>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</si>
  <si>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</si>
  <si>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</si>
  <si>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</si>
  <si>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</si>
  <si>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</si>
  <si>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</si>
  <si>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</si>
  <si>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</si>
  <si>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</si>
  <si>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</si>
  <si>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</si>
  <si>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</si>
  <si>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</si>
  <si>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</si>
  <si>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</si>
  <si>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</si>
  <si>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</si>
  <si>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</si>
  <si>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</si>
  <si>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</si>
  <si>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</si>
  <si>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</si>
  <si>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</si>
  <si>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</si>
  <si>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</si>
  <si>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</si>
  <si>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</si>
  <si>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</si>
  <si>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</si>
  <si>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</si>
  <si>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</si>
  <si>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</si>
  <si>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</si>
  <si>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</si>
  <si>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</si>
  <si>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</si>
  <si>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</si>
  <si>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</si>
  <si>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</si>
  <si>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</si>
  <si>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</si>
  <si>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</si>
  <si>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</si>
  <si>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</si>
  <si>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</si>
  <si>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</si>
  <si>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</si>
  <si>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</si>
  <si>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</si>
  <si>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</si>
  <si>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</si>
  <si>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</si>
  <si>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</si>
  <si>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</si>
  <si>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</si>
  <si>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</si>
  <si>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</si>
  <si>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</si>
  <si>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</si>
  <si>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</si>
  <si>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</si>
  <si>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</si>
  <si>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</si>
  <si>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</si>
  <si>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</si>
  <si>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</si>
  <si>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</si>
  <si>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</si>
  <si>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</si>
  <si>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</si>
  <si>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</si>
  <si>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</si>
  <si>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</si>
  <si>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</si>
  <si>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</si>
  <si>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</si>
  <si>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</si>
  <si>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</si>
  <si>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</si>
  <si>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</si>
  <si>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</si>
  <si>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</si>
  <si>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</si>
  <si>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</si>
  <si>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</si>
  <si>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</si>
  <si>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</si>
  <si>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</si>
  <si>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</si>
  <si>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</si>
  <si>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</si>
  <si>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</si>
  <si>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</si>
  <si>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</si>
  <si>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</si>
  <si>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</si>
  <si>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</si>
  <si>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</si>
  <si>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</si>
  <si>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</si>
  <si>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</si>
  <si>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</si>
  <si>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</si>
  <si>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</si>
  <si>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</si>
  <si>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</si>
  <si>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</si>
  <si>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</si>
  <si>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</si>
  <si>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</si>
  <si>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</si>
  <si>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</si>
  <si>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</si>
  <si>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</si>
  <si>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</si>
  <si>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</si>
  <si>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</si>
  <si>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</si>
  <si>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</si>
  <si>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</si>
  <si>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</si>
  <si>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</si>
  <si>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</si>
  <si>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</si>
  <si>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</si>
  <si>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</si>
  <si>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</si>
  <si>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</si>
  <si>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</si>
  <si>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</si>
  <si>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</si>
  <si>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</si>
  <si>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</si>
  <si>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</si>
  <si>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</si>
  <si>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</si>
  <si>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</si>
  <si>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</si>
  <si>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</si>
  <si>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</si>
  <si>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</si>
  <si>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</si>
  <si>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</si>
  <si>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</si>
  <si>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</si>
  <si>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</si>
  <si>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</si>
  <si>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</si>
  <si>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</si>
  <si>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</si>
  <si>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</si>
  <si>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</si>
  <si>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</si>
  <si>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</si>
  <si>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</si>
  <si>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</si>
  <si>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</si>
  <si>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</si>
  <si>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</si>
  <si>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</si>
  <si>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</si>
  <si>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</si>
  <si>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</si>
  <si>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</si>
  <si>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</si>
  <si>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</si>
  <si>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</si>
  <si>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</si>
  <si>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</si>
  <si>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</si>
  <si>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</si>
  <si>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</si>
  <si>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</si>
  <si>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</si>
  <si>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</si>
  <si>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</si>
  <si>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</si>
  <si>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</si>
  <si>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</si>
  <si>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</si>
  <si>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</si>
  <si>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</si>
  <si>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</si>
  <si>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</si>
  <si>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</si>
  <si>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</si>
  <si>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</si>
  <si>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</si>
  <si>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</si>
  <si>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</si>
  <si>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</si>
  <si>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</si>
  <si>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</si>
  <si>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</si>
  <si>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</si>
  <si>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</si>
  <si>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</si>
  <si>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</si>
  <si>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</si>
  <si>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</si>
  <si>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</si>
  <si>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</si>
  <si>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</si>
  <si>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</si>
  <si>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</si>
  <si>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</si>
  <si>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</si>
  <si>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</si>
  <si>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</si>
  <si>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</si>
  <si>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</si>
  <si>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</si>
  <si>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</si>
  <si>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</si>
  <si>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</si>
  <si>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</si>
  <si>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</si>
  <si>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</si>
  <si>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</si>
  <si>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</si>
  <si>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</si>
  <si>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</si>
  <si>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</si>
  <si>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</si>
  <si>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</si>
  <si>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</si>
  <si>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</si>
  <si>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</si>
  <si>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</si>
  <si>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</si>
  <si>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</si>
  <si>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</si>
  <si>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</si>
  <si>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</si>
  <si>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</si>
  <si>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</si>
  <si>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</si>
  <si>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</si>
  <si>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</si>
  <si>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</si>
  <si>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</si>
  <si>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</si>
  <si>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</si>
  <si>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</si>
  <si>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</si>
  <si>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</si>
  <si>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</si>
  <si>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</si>
  <si>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</si>
  <si>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</si>
  <si>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</si>
  <si>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</si>
  <si>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</si>
  <si>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</si>
  <si>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</si>
  <si>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</si>
  <si>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</si>
  <si>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</si>
  <si>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</si>
  <si>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</si>
  <si>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</si>
  <si>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</si>
  <si>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</si>
  <si>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</si>
  <si>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</si>
  <si>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</si>
  <si>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</si>
  <si>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</si>
  <si>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</si>
  <si>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</si>
  <si>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</si>
  <si>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</si>
  <si>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</si>
  <si>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</si>
  <si>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</si>
  <si>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</si>
  <si>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</si>
  <si>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</si>
  <si>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</si>
  <si>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</si>
  <si>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</si>
  <si>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</si>
  <si>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</si>
  <si>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</si>
  <si>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</si>
  <si>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</si>
  <si>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</si>
  <si>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</si>
  <si>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</si>
  <si>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</si>
  <si>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</si>
  <si>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</si>
  <si>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</si>
  <si>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</si>
  <si>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</si>
  <si>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</si>
  <si>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</si>
  <si>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</si>
  <si>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</si>
  <si>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</si>
  <si>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</si>
  <si>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</si>
  <si>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</si>
  <si>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</si>
  <si>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</si>
  <si>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</si>
  <si>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</si>
  <si>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</si>
  <si>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</si>
  <si>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</si>
  <si>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</si>
  <si>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</si>
  <si>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</si>
  <si>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</si>
  <si>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</si>
  <si>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</si>
  <si>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</si>
  <si>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</si>
  <si>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</si>
  <si>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</si>
  <si>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</si>
  <si>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</si>
  <si>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</si>
  <si>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</si>
  <si>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</si>
  <si>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</si>
  <si>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</si>
  <si>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</si>
  <si>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</si>
  <si>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</si>
  <si>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</si>
  <si>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</si>
  <si>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</si>
  <si>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</si>
  <si>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</si>
  <si>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</si>
  <si>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</si>
  <si>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</si>
  <si>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</si>
  <si>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</si>
  <si>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</si>
  <si>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</si>
  <si>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</si>
  <si>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</si>
  <si>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</si>
  <si>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</si>
  <si>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</si>
  <si>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</si>
  <si>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</si>
  <si>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</si>
  <si>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</si>
  <si>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</si>
  <si>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</si>
  <si>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</si>
  <si>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</si>
  <si>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</si>
  <si>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</si>
  <si>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</si>
  <si>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</si>
  <si>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</si>
  <si>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</si>
  <si>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</si>
  <si>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</si>
  <si>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</si>
  <si>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</si>
  <si>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</si>
  <si>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</si>
  <si>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</si>
  <si>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</si>
  <si>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</si>
  <si>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</si>
  <si>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</si>
  <si>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</si>
  <si>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</si>
  <si>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</si>
  <si>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</si>
  <si>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</si>
  <si>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</si>
  <si>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</si>
  <si>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</si>
  <si>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</si>
  <si>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</si>
  <si>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</si>
  <si>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</si>
  <si>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</si>
  <si>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</si>
  <si>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</si>
  <si>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</si>
  <si>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</si>
  <si>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</si>
  <si>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</si>
  <si>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</si>
  <si>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</si>
  <si>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</si>
  <si>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</si>
  <si>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</si>
  <si>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</si>
  <si>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</si>
  <si>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</si>
  <si>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</si>
  <si>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</si>
  <si>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</si>
  <si>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</si>
  <si>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</si>
  <si>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</si>
  <si>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</si>
  <si>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</si>
  <si>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</si>
  <si>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</si>
  <si>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</si>
  <si>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</si>
  <si>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</si>
  <si>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</si>
  <si>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</si>
  <si>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</si>
  <si>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</si>
  <si>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</si>
  <si>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</si>
  <si>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</si>
  <si>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</si>
  <si>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</si>
  <si>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</si>
  <si>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</si>
  <si>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</si>
  <si>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</si>
  <si>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</si>
  <si>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</si>
  <si>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</si>
  <si>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</si>
  <si>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</si>
  <si>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</si>
  <si>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</si>
  <si>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</si>
  <si>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</si>
  <si>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</si>
  <si>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</si>
  <si>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</si>
  <si>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</si>
  <si>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</si>
  <si>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</si>
  <si>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</si>
  <si>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</si>
  <si>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</si>
  <si>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</si>
  <si>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</si>
  <si>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</si>
  <si>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</si>
  <si>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</si>
  <si>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</si>
  <si>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</si>
  <si>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</si>
  <si>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</si>
  <si>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</si>
  <si>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</si>
  <si>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</si>
  <si>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</si>
  <si>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</si>
  <si>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</si>
  <si>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</si>
  <si>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</si>
  <si>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</si>
  <si>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</si>
  <si>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</si>
  <si>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</si>
  <si>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</si>
  <si>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</si>
  <si>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</si>
  <si>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</si>
  <si>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</si>
  <si>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</si>
  <si>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</si>
  <si>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</si>
  <si>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</si>
  <si>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</si>
  <si>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</si>
  <si>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</si>
  <si>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</si>
  <si>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</si>
  <si>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</si>
  <si>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</si>
  <si>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</si>
  <si>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</si>
  <si>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</si>
  <si>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</si>
  <si>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</si>
  <si>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</si>
  <si>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</si>
  <si>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</si>
  <si>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</si>
  <si>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</si>
  <si>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</si>
  <si>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</si>
  <si>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</si>
  <si>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</si>
  <si>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</si>
  <si>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</si>
  <si>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</si>
  <si>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</si>
  <si>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</si>
  <si>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</si>
  <si>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</si>
  <si>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</si>
  <si>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</si>
  <si>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</si>
  <si>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</si>
  <si>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</si>
  <si>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</si>
  <si>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</si>
  <si>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</si>
  <si>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</si>
  <si>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</si>
  <si>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</si>
  <si>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</si>
  <si>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</si>
  <si>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</si>
  <si>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</si>
  <si>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</si>
  <si>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</si>
  <si>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</si>
  <si>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</si>
  <si>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</si>
  <si>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</si>
  <si>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</si>
  <si>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</si>
  <si>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</si>
  <si>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</si>
  <si>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</si>
  <si>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</si>
  <si>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</si>
  <si>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</si>
  <si>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</si>
  <si>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</si>
  <si>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</si>
  <si>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</si>
  <si>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</si>
  <si>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</si>
  <si>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</si>
  <si>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</si>
  <si>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</si>
  <si>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</si>
  <si>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</si>
  <si>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</si>
  <si>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</si>
  <si>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</si>
  <si>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</si>
  <si>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</si>
  <si>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</si>
  <si>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</si>
  <si>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</si>
  <si>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</si>
  <si>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</si>
  <si>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</si>
  <si>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</si>
  <si>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</si>
  <si>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</si>
  <si>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</si>
  <si>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</si>
  <si>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</si>
  <si>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</si>
  <si>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</si>
  <si>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</si>
  <si>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</si>
  <si>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</si>
  <si>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</si>
  <si>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</si>
  <si>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</si>
  <si>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</si>
  <si>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</si>
  <si>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</si>
  <si>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</si>
  <si>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</si>
  <si>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</si>
  <si>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</si>
  <si>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</si>
  <si>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</si>
  <si>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</si>
  <si>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</si>
  <si>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</si>
  <si>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</si>
  <si>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</si>
  <si>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</si>
  <si>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</si>
  <si>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</si>
  <si>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</si>
  <si>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</si>
  <si>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</si>
  <si>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</si>
  <si>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</si>
  <si>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</si>
  <si>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</si>
  <si>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</si>
  <si>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</si>
  <si>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</si>
  <si>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</si>
  <si>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</si>
  <si>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</si>
  <si>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</si>
  <si>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</si>
  <si>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</si>
  <si>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</si>
  <si>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</si>
  <si>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</si>
  <si>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</si>
  <si>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</si>
  <si>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</si>
  <si>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</si>
  <si>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</si>
  <si>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</si>
  <si>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</si>
  <si>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</si>
  <si>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</si>
  <si>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</si>
  <si>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</si>
  <si>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</si>
  <si>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</si>
  <si>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</si>
  <si>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</si>
  <si>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</si>
  <si>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</si>
  <si>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</si>
  <si>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</si>
  <si>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</si>
  <si>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</si>
  <si>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</si>
  <si>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</si>
  <si>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</si>
  <si>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</si>
  <si>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</si>
  <si>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</si>
  <si>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</si>
  <si>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</si>
  <si>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</si>
  <si>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</si>
  <si>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</si>
  <si>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</si>
  <si>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</si>
  <si>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</si>
  <si>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</si>
  <si>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</si>
  <si>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</si>
  <si>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</si>
  <si>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</si>
  <si>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</si>
  <si>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</si>
  <si>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</si>
  <si>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</si>
  <si>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</si>
  <si>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</si>
  <si>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</si>
  <si>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</si>
  <si>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</si>
  <si>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</si>
  <si>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</si>
  <si>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</si>
  <si>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</si>
  <si>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</si>
  <si>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</si>
  <si>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</si>
  <si>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</si>
  <si>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</si>
  <si>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</si>
  <si>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</si>
  <si>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</si>
  <si>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</si>
  <si>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</si>
  <si>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</si>
  <si>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</si>
  <si>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</si>
  <si>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</si>
  <si>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</si>
  <si>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</si>
  <si>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</si>
  <si>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</si>
  <si>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</si>
  <si>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</si>
  <si>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</si>
  <si>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</si>
  <si>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</si>
  <si>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</si>
  <si>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</si>
  <si>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</si>
  <si>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</si>
  <si>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</si>
  <si>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</si>
  <si>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</si>
  <si>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</si>
  <si>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</si>
  <si>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</si>
  <si>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</si>
  <si>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</si>
  <si>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</si>
  <si>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</si>
  <si>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</si>
  <si>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</si>
  <si>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</si>
  <si>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</si>
  <si>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</si>
  <si>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</si>
  <si>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</si>
  <si>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</si>
  <si>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</si>
  <si>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</si>
  <si>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</si>
  <si>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</si>
  <si>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</si>
  <si>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</si>
  <si>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</si>
  <si>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</si>
  <si>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</si>
  <si>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</si>
  <si>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</si>
  <si>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</si>
  <si>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</si>
  <si>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</si>
  <si>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</si>
  <si>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</si>
  <si>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</si>
  <si>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</si>
  <si>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</si>
  <si>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</si>
  <si>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</si>
  <si>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</si>
  <si>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</si>
  <si>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</si>
  <si>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</si>
  <si>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</si>
  <si>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</si>
  <si>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</si>
  <si>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</si>
  <si>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</si>
  <si>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</si>
  <si>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</si>
  <si>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</si>
  <si>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</si>
  <si>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</si>
  <si>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</si>
  <si>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</si>
  <si>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</si>
  <si>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</si>
  <si>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</si>
  <si>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</si>
  <si>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</si>
  <si>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</si>
  <si>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</si>
  <si>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</si>
  <si>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</si>
  <si>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</si>
  <si>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</si>
  <si>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</si>
  <si>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</si>
  <si>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</si>
  <si>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</si>
  <si>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</si>
  <si>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</si>
  <si>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</si>
  <si>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</si>
  <si>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</si>
  <si>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</si>
  <si>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</si>
  <si>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</si>
  <si>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</si>
  <si>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</si>
  <si>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</si>
  <si>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</si>
  <si>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</si>
  <si>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</si>
  <si>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</si>
  <si>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</si>
  <si>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</si>
  <si>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</si>
  <si>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</si>
  <si>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</si>
  <si>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</si>
  <si>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</si>
  <si>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</si>
  <si>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</si>
  <si>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</si>
  <si>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</si>
  <si>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</si>
  <si>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</si>
  <si>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</si>
  <si>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</si>
  <si>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</si>
  <si>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</si>
  <si>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</si>
  <si>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</si>
  <si>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</si>
  <si>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</si>
  <si>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</si>
  <si>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</si>
  <si>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</si>
  <si>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</si>
  <si>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</si>
  <si>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</si>
  <si>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</si>
  <si>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</si>
  <si>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</si>
  <si>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</si>
  <si>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</si>
  <si>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</si>
  <si>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</si>
  <si>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</si>
  <si>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</si>
  <si>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</si>
  <si>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</si>
  <si>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</si>
  <si>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</si>
  <si>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</si>
  <si>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</si>
  <si>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</si>
  <si>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</si>
  <si>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</si>
  <si>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</si>
  <si>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</si>
  <si>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</si>
  <si>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</si>
  <si>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</si>
  <si>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</si>
  <si>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</si>
  <si>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</si>
  <si>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</si>
  <si>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</si>
  <si>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</si>
  <si>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</si>
  <si>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</si>
  <si>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</si>
  <si>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</si>
  <si>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</si>
  <si>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</si>
  <si>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</si>
  <si>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</si>
  <si>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</si>
  <si>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</si>
  <si>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</si>
  <si>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</si>
  <si>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</si>
  <si>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</si>
  <si>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</si>
  <si>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</si>
  <si>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</si>
  <si>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</si>
  <si>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</si>
  <si>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</si>
  <si>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</si>
  <si>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</si>
  <si>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</si>
  <si>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</si>
  <si>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</si>
  <si>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</si>
  <si>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</si>
  <si>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</si>
  <si>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</si>
  <si>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</si>
  <si>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</si>
  <si>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</si>
  <si>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</si>
  <si>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</si>
  <si>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</si>
  <si>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</si>
  <si>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</si>
  <si>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</si>
  <si>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</si>
  <si>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</si>
  <si>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</si>
  <si>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</si>
  <si>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</si>
  <si>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</si>
  <si>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</si>
  <si>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</si>
  <si>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</si>
  <si>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</si>
  <si>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</si>
  <si>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</si>
  <si>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</si>
  <si>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</si>
  <si>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</si>
  <si>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</si>
  <si>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</si>
  <si>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</si>
  <si>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</si>
  <si>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</si>
  <si>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</si>
  <si>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</si>
  <si>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</si>
  <si>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</si>
  <si>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</si>
  <si>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</si>
  <si>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</si>
  <si>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</si>
  <si>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</si>
  <si>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</si>
  <si>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</si>
  <si>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</si>
  <si>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</si>
  <si>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</si>
  <si>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</si>
  <si>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</si>
  <si>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</si>
  <si>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</si>
  <si>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</si>
  <si>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</si>
  <si>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</si>
  <si>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</si>
  <si>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</si>
  <si>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</si>
  <si>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</si>
  <si>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</si>
  <si>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</si>
  <si>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</si>
  <si>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</si>
  <si>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</si>
  <si>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</si>
  <si>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</si>
  <si>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</si>
  <si>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</si>
  <si>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</si>
  <si>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</si>
  <si>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</si>
  <si>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</si>
  <si>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</si>
  <si>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</si>
  <si>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</si>
  <si>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</si>
  <si>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</si>
  <si>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</si>
  <si>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</si>
  <si>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</si>
  <si>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</si>
  <si>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</si>
  <si>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</si>
  <si>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</si>
  <si>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</si>
  <si>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</si>
  <si>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</si>
  <si>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</si>
  <si>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</si>
  <si>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</si>
  <si>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</si>
  <si>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</si>
  <si>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</si>
  <si>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</si>
  <si>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</si>
  <si>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</si>
  <si>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</si>
  <si>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</si>
  <si>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</si>
  <si>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</si>
  <si>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</si>
  <si>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</si>
  <si>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</si>
  <si>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</si>
  <si>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</si>
  <si>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</si>
  <si>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</si>
  <si>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</si>
  <si>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</si>
  <si>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</si>
  <si>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</si>
  <si>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</si>
  <si>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</si>
  <si>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</si>
  <si>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</si>
  <si>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</si>
  <si>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</si>
  <si>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</si>
  <si>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</si>
  <si>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</si>
  <si>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</si>
  <si>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</si>
  <si>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</si>
  <si>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</si>
  <si>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</si>
  <si>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</si>
  <si>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</si>
  <si>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</si>
  <si>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</si>
  <si>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</si>
  <si>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</si>
  <si>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</si>
  <si>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</si>
  <si>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</si>
  <si>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</si>
  <si>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</si>
  <si>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</si>
  <si>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</si>
  <si>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</si>
  <si>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</si>
  <si>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</si>
  <si>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</si>
  <si>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</si>
  <si>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</si>
  <si>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</si>
  <si>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</si>
  <si>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</si>
  <si>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</si>
  <si>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</si>
  <si>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</si>
  <si>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</si>
  <si>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</si>
  <si>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</si>
  <si>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</si>
  <si>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</si>
  <si>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</si>
  <si>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</si>
  <si>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</si>
  <si>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</si>
  <si>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</si>
  <si>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</si>
  <si>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</si>
  <si>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</si>
  <si>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</si>
  <si>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</si>
  <si>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</si>
  <si>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</si>
  <si>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</si>
  <si>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</si>
  <si>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</si>
  <si>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</si>
  <si>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</si>
  <si>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</si>
  <si>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</si>
  <si>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</si>
  <si>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</si>
  <si>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</si>
  <si>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</si>
  <si>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</si>
  <si>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</si>
  <si>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</si>
  <si>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</si>
  <si>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</si>
  <si>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</si>
  <si>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</si>
  <si>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</si>
  <si>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</si>
  <si>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</si>
  <si>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</si>
  <si>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</si>
  <si>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</si>
  <si>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</si>
  <si>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</si>
  <si>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</si>
  <si>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</si>
  <si>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</si>
  <si>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</si>
  <si>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</si>
  <si>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</si>
  <si>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</si>
  <si>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</si>
  <si>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</si>
  <si>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</si>
  <si>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</si>
  <si>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</si>
  <si>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</si>
  <si>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</si>
  <si>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</si>
  <si>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</si>
  <si>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</si>
  <si>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</si>
  <si>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</si>
  <si>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</si>
  <si>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</si>
  <si>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</si>
  <si>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</si>
  <si>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</si>
  <si>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</si>
  <si>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</si>
  <si>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</si>
  <si>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</si>
  <si>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</si>
  <si>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</si>
  <si>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</si>
  <si>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</si>
  <si>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</si>
  <si>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</si>
  <si>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</si>
  <si>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</si>
  <si>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</si>
  <si>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</si>
  <si>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</si>
  <si>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</si>
  <si>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</si>
  <si>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</si>
  <si>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</si>
  <si>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</si>
  <si>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</si>
  <si>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</si>
  <si>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</si>
  <si>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</si>
  <si>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</si>
  <si>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</si>
  <si>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</si>
  <si>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</si>
  <si>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</si>
  <si>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</si>
  <si>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</si>
  <si>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</si>
  <si>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</si>
  <si>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</si>
  <si>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</si>
  <si>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</si>
  <si>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</si>
  <si>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</si>
  <si>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</si>
  <si>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</si>
  <si>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</si>
  <si>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</si>
  <si>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</si>
  <si>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</si>
  <si>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</si>
  <si>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</si>
  <si>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</si>
  <si>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</si>
  <si>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</si>
  <si>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</si>
  <si>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</si>
  <si>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</si>
  <si>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</si>
  <si>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</si>
  <si>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</si>
  <si>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</si>
  <si>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</si>
  <si>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</si>
  <si>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</si>
  <si>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</si>
  <si>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</si>
  <si>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</si>
  <si>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</si>
  <si>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</si>
  <si>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</si>
  <si>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</si>
  <si>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</si>
  <si>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</si>
  <si>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</si>
  <si>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</si>
  <si>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</si>
  <si>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</si>
  <si>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</si>
  <si>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</si>
  <si>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</si>
  <si>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</si>
  <si>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</si>
  <si>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</si>
  <si>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</si>
  <si>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</si>
  <si>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</si>
  <si>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</si>
  <si>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</si>
  <si>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</si>
  <si>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</si>
  <si>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</si>
  <si>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</si>
  <si>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</si>
  <si>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</si>
  <si>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</si>
  <si>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</si>
  <si>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</si>
  <si>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</si>
  <si>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</si>
  <si>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</si>
  <si>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</si>
  <si>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</si>
  <si>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</si>
  <si>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</si>
  <si>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</si>
  <si>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</si>
  <si>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</si>
  <si>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</si>
  <si>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</si>
  <si>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</si>
  <si>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</si>
  <si>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</si>
  <si>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</si>
  <si>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</si>
  <si>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</si>
  <si>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</si>
  <si>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</si>
  <si>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</si>
  <si>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</si>
  <si>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</si>
  <si>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</si>
  <si>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</si>
  <si>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</si>
  <si>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</si>
  <si>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</si>
  <si>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</si>
  <si>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</si>
  <si>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</si>
  <si>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</si>
  <si>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</si>
  <si>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</si>
  <si>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</si>
  <si>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</si>
  <si>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</si>
  <si>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</si>
  <si>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</si>
  <si>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</si>
  <si>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</si>
  <si>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</si>
  <si>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</si>
  <si>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</si>
  <si>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</si>
  <si>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</si>
  <si>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</si>
  <si>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</si>
  <si>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</si>
  <si>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</si>
  <si>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</si>
  <si>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</si>
  <si>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</si>
  <si>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</si>
  <si>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</si>
  <si>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</si>
  <si>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</si>
  <si>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</si>
  <si>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</si>
  <si>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</si>
  <si>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</si>
  <si>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</si>
  <si>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</si>
  <si>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</si>
  <si>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</si>
  <si>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</si>
  <si>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</si>
  <si>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</si>
  <si>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</si>
  <si>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</si>
  <si>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</si>
  <si>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</si>
  <si>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</si>
  <si>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</si>
  <si>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</si>
  <si>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</si>
  <si>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</si>
  <si>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</si>
  <si>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</si>
  <si>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</si>
  <si>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</si>
  <si>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</si>
  <si>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</si>
  <si>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</si>
  <si>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</si>
  <si>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</si>
  <si>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</si>
  <si>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</si>
  <si>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</si>
  <si>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</si>
  <si>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</si>
  <si>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</si>
  <si>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</si>
  <si>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</si>
  <si>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</si>
  <si>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</si>
  <si>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</si>
  <si>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</si>
  <si>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</si>
  <si>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</si>
  <si>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</si>
  <si>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</si>
  <si>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</si>
  <si>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</si>
  <si>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</si>
  <si>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</si>
  <si>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</si>
  <si>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</si>
  <si>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</si>
  <si>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</si>
  <si>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</si>
  <si>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</si>
  <si>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</si>
  <si>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</si>
  <si>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</si>
  <si>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</si>
  <si>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</si>
  <si>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</si>
  <si>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</si>
  <si>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</si>
  <si>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</si>
  <si>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</si>
  <si>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</si>
  <si>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</si>
  <si>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</si>
  <si>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</si>
  <si>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</si>
  <si>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</si>
  <si>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</si>
  <si>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</si>
  <si>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</si>
  <si>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</si>
  <si>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</si>
  <si>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</si>
  <si>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</si>
  <si>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</si>
  <si>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</si>
  <si>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</si>
  <si>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</si>
  <si>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</si>
  <si>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</si>
  <si>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</si>
  <si>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</si>
  <si>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</si>
  <si>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</si>
  <si>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</si>
  <si>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</si>
  <si>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</si>
  <si>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</si>
  <si>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</si>
  <si>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</si>
  <si>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</si>
  <si>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</si>
  <si>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</si>
  <si>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</si>
  <si>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</si>
  <si>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</si>
  <si>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</si>
  <si>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</si>
  <si>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</si>
  <si>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</si>
  <si>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</si>
  <si>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</si>
  <si>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</si>
  <si>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</si>
  <si>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</si>
  <si>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</si>
  <si>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</si>
  <si>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</si>
  <si>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</si>
  <si>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</si>
  <si>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</si>
  <si>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</si>
  <si>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</si>
  <si>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</si>
  <si>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</si>
  <si>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</si>
  <si>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</si>
  <si>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</si>
  <si>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</si>
  <si>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</si>
  <si>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</si>
  <si>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</si>
  <si>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</si>
  <si>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</si>
  <si>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</si>
  <si>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</si>
  <si>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</si>
  <si>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</si>
  <si>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</si>
  <si>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</si>
  <si>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</si>
  <si>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</si>
  <si>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</si>
  <si>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</si>
  <si>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</si>
  <si>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</si>
  <si>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</si>
  <si>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</si>
  <si>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</si>
  <si>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</si>
  <si>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</si>
  <si>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</si>
  <si>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</si>
  <si>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</si>
  <si>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</si>
  <si>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</si>
  <si>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</si>
  <si>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</si>
  <si>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</si>
  <si>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</si>
  <si>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</si>
  <si>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</si>
  <si>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</si>
  <si>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</si>
  <si>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</si>
  <si>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</si>
  <si>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</si>
  <si>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</si>
  <si>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</si>
  <si>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</si>
  <si>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</si>
  <si>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</si>
  <si>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</si>
  <si>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</si>
  <si>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</si>
  <si>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</si>
  <si>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</si>
  <si>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</si>
  <si>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</si>
  <si>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</si>
  <si>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</si>
  <si>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</si>
  <si>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</si>
  <si>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</si>
  <si>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</si>
  <si>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</si>
  <si>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</si>
  <si>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</si>
  <si>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</si>
  <si>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</si>
  <si>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</si>
  <si>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</si>
  <si>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</si>
  <si>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</si>
  <si>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</si>
  <si>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</si>
  <si>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</si>
  <si>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</si>
  <si>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</si>
  <si>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</si>
  <si>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</si>
  <si>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</si>
  <si>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</si>
  <si>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</si>
  <si>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</si>
  <si>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</si>
  <si>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</si>
  <si>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</si>
  <si>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</si>
  <si>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</si>
  <si>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</si>
  <si>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</si>
  <si>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</si>
  <si>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</si>
  <si>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</si>
  <si>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</si>
  <si>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</si>
  <si>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</si>
  <si>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</si>
  <si>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</si>
  <si>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</si>
  <si>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</si>
  <si>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</si>
  <si>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</si>
  <si>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</si>
  <si>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</si>
  <si>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</si>
  <si>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</si>
  <si>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</si>
  <si>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</si>
  <si>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</si>
  <si>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</si>
  <si>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</si>
  <si>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</si>
  <si>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</si>
  <si>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</si>
  <si>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</si>
  <si>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</si>
  <si>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</si>
  <si>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</si>
  <si>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</si>
  <si>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</si>
  <si>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</si>
  <si>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</si>
  <si>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</si>
  <si>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</si>
  <si>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</si>
  <si>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</si>
  <si>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</si>
  <si>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</si>
  <si>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</si>
  <si>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</si>
  <si>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</si>
  <si>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</si>
  <si>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</si>
  <si>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</si>
  <si>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</si>
  <si>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</si>
  <si>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</si>
  <si>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</si>
  <si>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</si>
  <si>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</si>
  <si>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</si>
  <si>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</si>
  <si>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</si>
  <si>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</si>
  <si>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</si>
  <si>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</si>
  <si>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</si>
  <si>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</si>
  <si>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</si>
  <si>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</si>
  <si>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</si>
  <si>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</si>
  <si>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</si>
  <si>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</si>
  <si>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</si>
  <si>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</si>
  <si>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</si>
  <si>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</si>
  <si>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</si>
  <si>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</si>
  <si>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</si>
  <si>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</si>
  <si>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</si>
  <si>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</si>
  <si>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</si>
  <si>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</si>
  <si>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</si>
  <si>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</si>
  <si>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</si>
  <si>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</si>
  <si>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</si>
  <si>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</si>
  <si>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</si>
  <si>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</si>
  <si>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</si>
  <si>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</si>
  <si>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</si>
  <si>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</si>
  <si>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</si>
  <si>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</si>
  <si>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</si>
  <si>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</si>
  <si>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</si>
  <si>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</si>
  <si>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</si>
  <si>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</si>
  <si>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</si>
  <si>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</si>
  <si>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</si>
  <si>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</si>
  <si>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</si>
  <si>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</si>
  <si>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</si>
  <si>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</si>
  <si>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</si>
  <si>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</si>
  <si>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</si>
  <si>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</si>
  <si>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</si>
  <si>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</si>
  <si>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</si>
  <si>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</si>
  <si>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</si>
  <si>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</si>
  <si>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</si>
  <si>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</si>
  <si>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</si>
  <si>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</si>
  <si>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</si>
  <si>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</si>
  <si>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</si>
  <si>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</si>
  <si>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</si>
  <si>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</si>
  <si>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</si>
  <si>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</si>
  <si>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</si>
  <si>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</si>
  <si>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</si>
  <si>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</si>
  <si>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</si>
  <si>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</si>
  <si>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</si>
  <si>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</si>
  <si>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</si>
  <si>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</si>
  <si>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</si>
  <si>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</si>
  <si>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</si>
  <si>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</si>
  <si>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</si>
  <si>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</si>
  <si>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</si>
  <si>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</si>
  <si>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</si>
  <si>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</si>
  <si>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</si>
  <si>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</si>
  <si>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</si>
  <si>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</si>
  <si>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</si>
  <si>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</si>
  <si>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</si>
  <si>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</si>
  <si>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</si>
  <si>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</si>
  <si>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</si>
  <si>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</si>
  <si>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</si>
  <si>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</si>
  <si>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</si>
  <si>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</si>
  <si>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</si>
  <si>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</si>
  <si>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</si>
  <si>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</si>
  <si>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</si>
  <si>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</si>
  <si>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</si>
  <si>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</si>
  <si>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</si>
  <si>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</si>
  <si>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</si>
  <si>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</si>
  <si>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</si>
  <si>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</si>
  <si>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</si>
  <si>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</si>
  <si>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</si>
  <si>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</si>
  <si>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</si>
  <si>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</si>
  <si>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</si>
  <si>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</si>
  <si>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</si>
  <si>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</si>
  <si>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</si>
  <si>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</si>
  <si>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</si>
  <si>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</si>
  <si>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</si>
  <si>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</si>
  <si>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</si>
  <si>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</si>
  <si>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</si>
  <si>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</si>
  <si>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</si>
  <si>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</si>
  <si>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</si>
  <si>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</si>
  <si>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</si>
  <si>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</si>
  <si>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</si>
  <si>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</si>
  <si>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</si>
  <si>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</si>
  <si>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</si>
  <si>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</si>
  <si>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</si>
  <si>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</si>
  <si>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</si>
  <si>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</si>
  <si>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</si>
  <si>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</si>
  <si>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</si>
  <si>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</si>
  <si>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</si>
  <si>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</si>
  <si>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</si>
  <si>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</si>
  <si>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</si>
  <si>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</si>
  <si>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</si>
  <si>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</si>
  <si>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</si>
  <si>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</si>
  <si>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</si>
  <si>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</si>
  <si>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</si>
  <si>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</si>
  <si>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</si>
  <si>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</si>
  <si>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</si>
  <si>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</si>
  <si>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</si>
  <si>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</si>
  <si>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</si>
  <si>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</si>
  <si>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</si>
  <si>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</si>
  <si>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</si>
  <si>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</si>
  <si>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</si>
  <si>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</si>
  <si>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</si>
  <si>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</si>
  <si>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</si>
  <si>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</si>
  <si>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</si>
  <si>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</si>
  <si>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</si>
  <si>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</si>
  <si>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</si>
  <si>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</si>
  <si>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</si>
  <si>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</si>
  <si>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</si>
  <si>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</si>
  <si>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</si>
  <si>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</si>
  <si>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</si>
  <si>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</si>
  <si>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</si>
  <si>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</si>
  <si>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</si>
  <si>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</si>
  <si>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</si>
  <si>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</si>
  <si>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</si>
  <si>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</si>
  <si>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</si>
  <si>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</si>
  <si>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</si>
  <si>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</si>
  <si>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</si>
  <si>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</si>
  <si>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</si>
  <si>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</si>
  <si>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</si>
  <si>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</si>
  <si>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</si>
  <si>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</si>
  <si>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</si>
  <si>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</si>
  <si>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</si>
  <si>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</si>
  <si>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</si>
  <si>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</si>
  <si>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</si>
  <si>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</si>
  <si>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</si>
  <si>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</si>
  <si>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</si>
  <si>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</si>
  <si>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</si>
  <si>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</si>
  <si>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</si>
  <si>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</si>
  <si>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</si>
  <si>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</si>
  <si>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</si>
  <si>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</si>
  <si>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</si>
  <si>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</si>
  <si>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</si>
  <si>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</si>
  <si>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</si>
  <si>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</si>
  <si>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</si>
  <si>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</si>
  <si>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</si>
  <si>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</si>
  <si>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</si>
  <si>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</si>
  <si>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</si>
  <si>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</si>
  <si>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</si>
  <si>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</si>
  <si>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</si>
  <si>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</si>
  <si>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</si>
  <si>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</si>
  <si>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</si>
  <si>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</si>
  <si>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</si>
  <si>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</si>
  <si>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</si>
  <si>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</si>
  <si>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</si>
  <si>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</si>
  <si>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</si>
  <si>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</si>
  <si>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</si>
  <si>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</si>
  <si>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</si>
  <si>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</si>
  <si>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</si>
  <si>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</si>
  <si>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</si>
  <si>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</si>
  <si>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</si>
  <si>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</si>
  <si>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</si>
  <si>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</si>
  <si>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</si>
  <si>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</si>
  <si>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</si>
  <si>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</si>
  <si>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</si>
  <si>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</si>
  <si>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</si>
  <si>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</si>
  <si>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</si>
  <si>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</si>
  <si>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</si>
  <si>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</si>
  <si>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</si>
  <si>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</si>
  <si>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</si>
  <si>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</si>
  <si>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</si>
  <si>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</si>
  <si>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</si>
  <si>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</si>
  <si>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</si>
  <si>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</si>
  <si>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</si>
  <si>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</si>
  <si>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</si>
  <si>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</si>
  <si>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</si>
  <si>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</si>
  <si>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</si>
  <si>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</si>
  <si>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</si>
  <si>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</si>
  <si>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</si>
  <si>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</si>
  <si>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</si>
  <si>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</si>
  <si>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</si>
  <si>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</si>
  <si>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</si>
  <si>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</si>
  <si>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</si>
  <si>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</si>
  <si>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</si>
  <si>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</si>
  <si>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</si>
  <si>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</si>
  <si>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</si>
  <si>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</si>
  <si>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</si>
  <si>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</si>
  <si>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</si>
  <si>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</si>
  <si>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</si>
  <si>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</si>
  <si>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</si>
  <si>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</si>
  <si>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</si>
  <si>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</si>
  <si>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</si>
  <si>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</si>
  <si>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</si>
  <si>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</si>
  <si>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</si>
  <si>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</si>
  <si>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</si>
  <si>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</si>
  <si>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</si>
  <si>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</si>
  <si>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</si>
  <si>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</si>
  <si>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</si>
  <si>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</si>
  <si>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</si>
  <si>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</si>
  <si>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</si>
  <si>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</si>
  <si>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</si>
  <si>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</si>
  <si>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</si>
  <si>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</si>
  <si>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Lack of sufficient expertise for full disclosure year end financial statement preparation could result in controls not being effective in preventing or detecting material misstatements particularly in the related footnotes to the financial statements.</t>
  </si>
  <si>
    <t>JEFFERSON</t>
  </si>
  <si>
    <t>1714 BROADWAY</t>
  </si>
  <si>
    <t>MT. VERNON</t>
  </si>
  <si>
    <t>618-244-8040</t>
  </si>
  <si>
    <t>618-241-7868</t>
  </si>
  <si>
    <t>Regional Office of Education #13 and Mt. Vernon Township High School</t>
  </si>
  <si>
    <t>Page 11, Line 111 - CTE Secondary</t>
  </si>
  <si>
    <t>Page 11, Line 112 - VE Perkins - TitleIIC Secondary</t>
  </si>
  <si>
    <t>Page 13, Line 220 - VE Perkins - TitleIIC Secondary</t>
  </si>
  <si>
    <t>None</t>
  </si>
  <si>
    <t>Audit check - The System doesn't have any contracts and the indirect cost page does not apply to a joint agreement.</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</si>
  <si>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</si>
  <si>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System prepares interim financial reports using software specifically designed for school district financial reporting.  For year end reporting purposes, the System relies on the auditor to prepare drafts of full disclosure financial statements (including footnotes) in a format acceptable by ISBE.  The System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</si>
  <si>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System's internal controls, including monitoring ongoing activities, since doing so would impair the auditor's independence.</t>
  </si>
  <si>
    <t>The System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System accounting staff.</t>
  </si>
  <si>
    <t xml:space="preserve">The System should review the additional costs it would incur to prepare the financial statements internally with the corresponding reduction of risk associated with material misstatement of the System's financial statements.
</t>
  </si>
  <si>
    <t>Management is currently confident with the abilities of the accounting staff to prepare interim financial statements.  The System has also accepted the additional risk associated with the auditor drafting the year end financial statements including the notes to the financial statements.  Management will review, approve and take responsibility for the audit adjustments and financial statements.</t>
  </si>
  <si>
    <t xml:space="preserve">  Rend Lake Area Reg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</si>
</sst>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47625</xdr:colOff>
          <xdr:row>9</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0"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3"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6"/>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13000000047</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2064</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2081</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2065</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62870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2066</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2061</v>
      </c>
      <c r="B23" s="2105"/>
      <c r="C23" s="2105"/>
      <c r="D23" s="2105"/>
      <c r="E23" s="2105"/>
      <c r="F23" s="2105"/>
      <c r="G23" s="2105"/>
      <c r="H23" s="2106"/>
      <c r="T23" s="2044" t="s">
        <v>2058</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2060</v>
      </c>
      <c r="B38" s="2114"/>
      <c r="C38" s="2114"/>
      <c r="D38" s="2114"/>
      <c r="E38" s="2114"/>
      <c r="F38" s="2082"/>
      <c r="G38" s="2082"/>
      <c r="H38" s="2083"/>
      <c r="I38" s="2133"/>
      <c r="J38" s="2053"/>
      <c r="K38" s="2053"/>
      <c r="L38" s="2053"/>
      <c r="M38" s="2053"/>
      <c r="N38" s="2053"/>
      <c r="O38" s="2053"/>
      <c r="P38" s="2054"/>
      <c r="Q38" s="2054"/>
      <c r="R38" s="2054"/>
      <c r="S38" s="2055"/>
      <c r="T38" s="2052" t="s">
        <v>2060</v>
      </c>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2061</v>
      </c>
      <c r="B40" s="2141"/>
      <c r="C40" s="2142"/>
      <c r="D40" s="2142"/>
      <c r="E40" s="2142"/>
      <c r="F40" s="2143"/>
      <c r="G40" s="2143"/>
      <c r="H40" s="2144"/>
      <c r="I40" s="2056"/>
      <c r="J40" s="2058"/>
      <c r="K40" s="2058"/>
      <c r="L40" s="2058"/>
      <c r="M40" s="2058"/>
      <c r="N40" s="2058"/>
      <c r="O40" s="2058"/>
      <c r="P40" s="2058"/>
      <c r="Q40" s="2058"/>
      <c r="R40" s="2058"/>
      <c r="S40" s="2059"/>
      <c r="T40" s="2056" t="s">
        <v>2061</v>
      </c>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2067</v>
      </c>
      <c r="B42" s="2131"/>
      <c r="C42" s="2132"/>
      <c r="D42" s="2145" t="s">
        <v>2068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41" sqref="T4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8"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3"/>
      <c r="C3" s="1294"/>
      <c r="D3" s="1295" t="s">
        <v>254</v>
      </c>
      <c r="E3" s="1294"/>
      <c r="F3" s="1295" t="s">
        <v>255</v>
      </c>
    </row>
    <row r="4" spans="1:8" ht="13.7" customHeight="1" x14ac:dyDescent="0.2">
      <c r="A4" s="579" t="s">
        <v>1145</v>
      </c>
      <c r="B4" s="1720">
        <f>'Revenues 9-14'!C5</f>
        <v>0</v>
      </c>
      <c r="C4" s="1721"/>
      <c r="D4" s="1722">
        <f>B4-C4</f>
        <v>0</v>
      </c>
      <c r="E4" s="1721"/>
      <c r="F4" s="1722">
        <f>E4-C4</f>
        <v>0</v>
      </c>
    </row>
    <row r="5" spans="1:8" ht="13.7" customHeight="1" x14ac:dyDescent="0.2">
      <c r="A5" s="579" t="s">
        <v>865</v>
      </c>
      <c r="B5" s="1723">
        <f>'Revenues 9-14'!D5</f>
        <v>0</v>
      </c>
      <c r="C5" s="1663"/>
      <c r="D5" s="1724">
        <f t="shared" ref="D5:D18" si="0">B5-C5</f>
        <v>0</v>
      </c>
      <c r="E5" s="1663"/>
      <c r="F5" s="1724">
        <f>E5-C5</f>
        <v>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0</v>
      </c>
      <c r="C7" s="1663"/>
      <c r="D7" s="1724">
        <f t="shared" si="0"/>
        <v>0</v>
      </c>
      <c r="E7" s="1663"/>
      <c r="F7" s="1724">
        <f t="shared" si="1"/>
        <v>0</v>
      </c>
    </row>
    <row r="8" spans="1:8" ht="13.7" customHeight="1" x14ac:dyDescent="0.2">
      <c r="A8" s="579" t="s">
        <v>1169</v>
      </c>
      <c r="B8" s="1723">
        <f>'Revenues 9-14'!G5</f>
        <v>0</v>
      </c>
      <c r="C8" s="1663"/>
      <c r="D8" s="1724">
        <f t="shared" si="0"/>
        <v>0</v>
      </c>
      <c r="E8" s="1663"/>
      <c r="F8" s="1724">
        <f t="shared" si="1"/>
        <v>0</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0</v>
      </c>
      <c r="C16" s="1663"/>
      <c r="D16" s="1724">
        <f t="shared" si="0"/>
        <v>0</v>
      </c>
      <c r="E16" s="1663"/>
      <c r="F16" s="1724">
        <f t="shared" si="1"/>
        <v>0</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0</v>
      </c>
      <c r="C19" s="1725">
        <f>SUM(C4:C18)</f>
        <v>0</v>
      </c>
      <c r="D19" s="1725">
        <f>SUM(D4:D18)</f>
        <v>0</v>
      </c>
      <c r="E19" s="1725">
        <f>SUM(E4:E18)</f>
        <v>0</v>
      </c>
      <c r="F19" s="1725">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T41" sqref="T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5"/>
      <c r="D4" s="1655"/>
      <c r="E4" s="1655"/>
      <c r="F4" s="1731">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2" t="s">
        <v>627</v>
      </c>
      <c r="B15" s="2293"/>
      <c r="C15" s="1731">
        <f>SUM(C6:C14)</f>
        <v>0</v>
      </c>
      <c r="D15" s="1731">
        <f>SUM(D6:D14)</f>
        <v>0</v>
      </c>
      <c r="E15" s="1731">
        <f>SUM(E6:E14)</f>
        <v>0</v>
      </c>
      <c r="F15" s="1731">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2"/>
      <c r="D17" s="1663"/>
      <c r="E17" s="1732"/>
      <c r="F17" s="1731">
        <f>SUM(C17+D17)-E17</f>
        <v>0</v>
      </c>
    </row>
    <row r="18" spans="1:11" ht="12.75" customHeight="1" thickTop="1" thickBot="1" x14ac:dyDescent="0.25">
      <c r="A18" s="2315" t="s">
        <v>6</v>
      </c>
      <c r="B18" s="2316"/>
      <c r="C18" s="1732"/>
      <c r="D18" s="1663"/>
      <c r="E18" s="1732"/>
      <c r="F18" s="1731">
        <f>SUM(C18+D18)-E18</f>
        <v>0</v>
      </c>
    </row>
    <row r="19" spans="1:11" ht="12.75" customHeight="1" thickTop="1" thickBot="1" x14ac:dyDescent="0.25">
      <c r="A19" s="2315" t="s">
        <v>385</v>
      </c>
      <c r="B19" s="2316"/>
      <c r="C19" s="1732"/>
      <c r="D19" s="1663"/>
      <c r="E19" s="1732"/>
      <c r="F19" s="1731">
        <f>SUM(C19+D19)-E19</f>
        <v>0</v>
      </c>
    </row>
    <row r="20" spans="1:11" ht="12.75" customHeight="1" thickTop="1" thickBot="1" x14ac:dyDescent="0.25">
      <c r="A20" s="2315" t="s">
        <v>445</v>
      </c>
      <c r="B20" s="2316"/>
      <c r="C20" s="1732"/>
      <c r="D20" s="1663"/>
      <c r="E20" s="1732"/>
      <c r="F20" s="1731">
        <f>SUM(C20+D20)-E20</f>
        <v>0</v>
      </c>
    </row>
    <row r="21" spans="1:11" ht="14.25" thickTop="1" thickBot="1" x14ac:dyDescent="0.25">
      <c r="A21" s="2292" t="s">
        <v>628</v>
      </c>
      <c r="B21" s="2293"/>
      <c r="C21" s="1731">
        <f>SUM(C17:C20)</f>
        <v>0</v>
      </c>
      <c r="D21" s="1731">
        <f>SUM(D17:D20)</f>
        <v>0</v>
      </c>
      <c r="E21" s="1731">
        <f>SUM(E17:E20)</f>
        <v>0</v>
      </c>
      <c r="F21" s="1731">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5"/>
      <c r="D23" s="1655"/>
      <c r="E23" s="1655"/>
      <c r="F23" s="1731">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5"/>
      <c r="D25" s="1655"/>
      <c r="E25" s="1655"/>
      <c r="F25" s="1731">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3"/>
      <c r="D27" s="1663"/>
      <c r="E27" s="1663"/>
      <c r="F27" s="1731">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T41" sqref="T4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7"/>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3">
        <v>0</v>
      </c>
      <c r="H3" s="1743">
        <v>0</v>
      </c>
      <c r="I3" s="1743">
        <v>0</v>
      </c>
      <c r="J3" s="1744">
        <v>0</v>
      </c>
      <c r="K3" s="1744">
        <v>0</v>
      </c>
    </row>
    <row r="4" spans="1:11" x14ac:dyDescent="0.2">
      <c r="A4" s="2328" t="s">
        <v>366</v>
      </c>
      <c r="B4" s="2329"/>
      <c r="C4" s="2329"/>
      <c r="D4" s="2329"/>
      <c r="E4" s="2310"/>
      <c r="F4" s="620"/>
      <c r="G4" s="1745"/>
      <c r="H4" s="1746"/>
      <c r="I4" s="1745"/>
      <c r="J4" s="1747"/>
      <c r="K4" s="1747"/>
    </row>
    <row r="5" spans="1:11" x14ac:dyDescent="0.2">
      <c r="A5" s="2348" t="s">
        <v>1060</v>
      </c>
      <c r="B5" s="2319"/>
      <c r="C5" s="2319"/>
      <c r="D5" s="2319"/>
      <c r="E5" s="2349"/>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8" t="s">
        <v>1790</v>
      </c>
      <c r="B10" s="2319"/>
      <c r="C10" s="2319"/>
      <c r="D10" s="2319"/>
      <c r="E10" s="2350"/>
      <c r="F10" s="633" t="s">
        <v>857</v>
      </c>
      <c r="G10" s="1752"/>
      <c r="H10" s="1753"/>
      <c r="I10" s="1743"/>
      <c r="J10" s="1744"/>
      <c r="K10" s="1744"/>
    </row>
    <row r="11" spans="1:11" x14ac:dyDescent="0.2">
      <c r="A11" s="2348" t="s">
        <v>159</v>
      </c>
      <c r="B11" s="2319"/>
      <c r="C11" s="2319"/>
      <c r="D11" s="2319"/>
      <c r="E11" s="2349"/>
      <c r="F11" s="622" t="s">
        <v>847</v>
      </c>
      <c r="G11" s="1748"/>
      <c r="H11" s="1743"/>
      <c r="I11" s="1743"/>
      <c r="J11" s="1744"/>
      <c r="K11" s="1750"/>
    </row>
    <row r="12" spans="1:11" ht="13.5" thickBot="1" x14ac:dyDescent="0.25">
      <c r="A12" s="2336" t="s">
        <v>899</v>
      </c>
      <c r="B12" s="2337"/>
      <c r="C12" s="2337"/>
      <c r="D12" s="2337"/>
      <c r="E12" s="2338"/>
      <c r="F12" s="1432"/>
      <c r="G12" s="1754">
        <f>SUM(G5:G11)</f>
        <v>0</v>
      </c>
      <c r="H12" s="1754">
        <f>SUM(H5:H11)</f>
        <v>0</v>
      </c>
      <c r="I12" s="1754">
        <f>SUM(I5:I11)</f>
        <v>0</v>
      </c>
      <c r="J12" s="1754">
        <f>SUM(J5:J11)</f>
        <v>0</v>
      </c>
      <c r="K12" s="1754">
        <f>SUM(K5:K11)</f>
        <v>0</v>
      </c>
    </row>
    <row r="13" spans="1:11" ht="13.5" thickTop="1" x14ac:dyDescent="0.2">
      <c r="A13" s="2330" t="s">
        <v>367</v>
      </c>
      <c r="B13" s="2331"/>
      <c r="C13" s="2331"/>
      <c r="D13" s="2331"/>
      <c r="E13" s="2332"/>
      <c r="F13" s="634"/>
      <c r="G13" s="1755"/>
      <c r="H13" s="1756"/>
      <c r="I13" s="1757"/>
      <c r="J13" s="1757"/>
      <c r="K13" s="1757"/>
    </row>
    <row r="14" spans="1:11" x14ac:dyDescent="0.2">
      <c r="A14" s="2354" t="s">
        <v>453</v>
      </c>
      <c r="B14" s="2354"/>
      <c r="C14" s="2354"/>
      <c r="D14" s="2354"/>
      <c r="E14" s="2355"/>
      <c r="F14" s="635" t="s">
        <v>849</v>
      </c>
      <c r="G14" s="1752"/>
      <c r="H14" s="1743"/>
      <c r="I14" s="1748"/>
      <c r="J14" s="1750"/>
      <c r="K14" s="1744"/>
    </row>
    <row r="15" spans="1:11" x14ac:dyDescent="0.2">
      <c r="A15" s="2319" t="s">
        <v>4</v>
      </c>
      <c r="B15" s="2319"/>
      <c r="C15" s="2319"/>
      <c r="D15" s="2319"/>
      <c r="E15" s="2349"/>
      <c r="F15" s="635" t="s">
        <v>850</v>
      </c>
      <c r="G15" s="1748"/>
      <c r="H15" s="1743"/>
      <c r="I15" s="1743"/>
      <c r="J15" s="1744"/>
      <c r="K15" s="1744"/>
    </row>
    <row r="16" spans="1:11" x14ac:dyDescent="0.2">
      <c r="A16" s="2319" t="s">
        <v>295</v>
      </c>
      <c r="B16" s="2319"/>
      <c r="C16" s="2319"/>
      <c r="D16" s="2319"/>
      <c r="E16" s="2349"/>
      <c r="F16" s="635" t="s">
        <v>917</v>
      </c>
      <c r="G16" s="1749"/>
      <c r="H16" s="1745"/>
      <c r="I16" s="1745"/>
      <c r="J16" s="1747"/>
      <c r="K16" s="1747"/>
    </row>
    <row r="17" spans="1:15" x14ac:dyDescent="0.2">
      <c r="A17" s="2343" t="s">
        <v>929</v>
      </c>
      <c r="B17" s="2343"/>
      <c r="C17" s="2343"/>
      <c r="D17" s="2343"/>
      <c r="E17" s="2344"/>
      <c r="F17" s="636"/>
      <c r="G17" s="1758"/>
      <c r="H17" s="1759"/>
      <c r="I17" s="1759"/>
      <c r="J17" s="1760"/>
      <c r="K17" s="1761"/>
    </row>
    <row r="18" spans="1:15" x14ac:dyDescent="0.2">
      <c r="A18" s="2333" t="s">
        <v>365</v>
      </c>
      <c r="B18" s="2334"/>
      <c r="C18" s="2334"/>
      <c r="D18" s="2334"/>
      <c r="E18" s="2335"/>
      <c r="F18" s="635" t="s">
        <v>926</v>
      </c>
      <c r="G18" s="1752"/>
      <c r="H18" s="1752"/>
      <c r="I18" s="1752"/>
      <c r="J18" s="1744"/>
      <c r="K18" s="1762"/>
    </row>
    <row r="19" spans="1:15" ht="21.75" customHeight="1" x14ac:dyDescent="0.2">
      <c r="A19" s="2356" t="s">
        <v>1786</v>
      </c>
      <c r="B19" s="2356"/>
      <c r="C19" s="2356"/>
      <c r="D19" s="2356"/>
      <c r="E19" s="2357"/>
      <c r="F19" s="635" t="s">
        <v>927</v>
      </c>
      <c r="G19" s="1752"/>
      <c r="H19" s="1752"/>
      <c r="I19" s="1752"/>
      <c r="J19" s="1744"/>
      <c r="K19" s="1762"/>
    </row>
    <row r="20" spans="1:15" x14ac:dyDescent="0.2">
      <c r="A20" s="2333" t="s">
        <v>1791</v>
      </c>
      <c r="B20" s="2334"/>
      <c r="C20" s="2334"/>
      <c r="D20" s="2334"/>
      <c r="E20" s="2335"/>
      <c r="F20" s="635" t="s">
        <v>928</v>
      </c>
      <c r="G20" s="1752"/>
      <c r="H20" s="1752"/>
      <c r="I20" s="1752"/>
      <c r="J20" s="1744"/>
      <c r="K20" s="1762"/>
    </row>
    <row r="21" spans="1:15" ht="13.5" thickBot="1" x14ac:dyDescent="0.25">
      <c r="A21" s="2339" t="s">
        <v>633</v>
      </c>
      <c r="B21" s="2339"/>
      <c r="C21" s="2339"/>
      <c r="D21" s="2339"/>
      <c r="E21" s="2339"/>
      <c r="F21" s="1433"/>
      <c r="G21" s="1759"/>
      <c r="H21" s="1763"/>
      <c r="I21" s="1763"/>
      <c r="J21" s="1764">
        <f>SUM(J18:J20)</f>
        <v>0</v>
      </c>
      <c r="K21" s="1760"/>
    </row>
    <row r="22" spans="1:15" ht="13.5" thickTop="1" x14ac:dyDescent="0.2">
      <c r="A22" s="2319" t="s">
        <v>1792</v>
      </c>
      <c r="B22" s="2319"/>
      <c r="C22" s="2319"/>
      <c r="D22" s="2319"/>
      <c r="E22" s="2349"/>
      <c r="F22" s="635" t="s">
        <v>857</v>
      </c>
      <c r="G22" s="1752"/>
      <c r="H22" s="1743"/>
      <c r="I22" s="1743"/>
      <c r="J22" s="1765"/>
      <c r="K22" s="1744"/>
    </row>
    <row r="23" spans="1:15" ht="13.5" thickBot="1" x14ac:dyDescent="0.25">
      <c r="A23" s="2340" t="s">
        <v>900</v>
      </c>
      <c r="B23" s="2339"/>
      <c r="C23" s="2339"/>
      <c r="D23" s="2339"/>
      <c r="E23" s="2339"/>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41" t="str">
        <f>"Ending Cash Basis Fund Balance as of June 30, "&amp;'AFR20'!E2</f>
        <v>Ending Cash Basis Fund Balance as of June 30, 2020</v>
      </c>
      <c r="B24" s="2342"/>
      <c r="C24" s="2342"/>
      <c r="D24" s="2342"/>
      <c r="E24" s="2342"/>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c r="D5" s="1769"/>
      <c r="E5" s="1769"/>
      <c r="F5" s="1764">
        <f>(C5+D5)-E5</f>
        <v>0</v>
      </c>
      <c r="G5" s="676"/>
      <c r="H5" s="680"/>
      <c r="I5" s="680"/>
      <c r="J5" s="680"/>
      <c r="K5" s="637"/>
      <c r="L5" s="1441">
        <f>F5-K5</f>
        <v>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c r="D8" s="1770"/>
      <c r="E8" s="1770"/>
      <c r="F8" s="1764">
        <f>(C8+D8)-E8</f>
        <v>0</v>
      </c>
      <c r="G8" s="681">
        <v>50</v>
      </c>
      <c r="H8" s="619"/>
      <c r="I8" s="619"/>
      <c r="J8" s="619"/>
      <c r="K8" s="1441">
        <f>(H8+I8)-J8</f>
        <v>0</v>
      </c>
      <c r="L8" s="1441">
        <f>F8-K8</f>
        <v>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c r="D10" s="1771"/>
      <c r="E10" s="1771"/>
      <c r="F10" s="1772">
        <f>(C10+D10)-E10</f>
        <v>0</v>
      </c>
      <c r="G10" s="681">
        <v>20</v>
      </c>
      <c r="H10" s="683"/>
      <c r="I10" s="683"/>
      <c r="J10" s="683"/>
      <c r="K10" s="1441">
        <f>(H10+I10)-J10</f>
        <v>0</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568662</v>
      </c>
      <c r="D12" s="1770"/>
      <c r="E12" s="1770">
        <v>33279</v>
      </c>
      <c r="F12" s="1764">
        <f>(C12+D12)-E12</f>
        <v>535383</v>
      </c>
      <c r="G12" s="681">
        <v>10</v>
      </c>
      <c r="H12" s="619">
        <v>323785</v>
      </c>
      <c r="I12" s="619">
        <v>53538</v>
      </c>
      <c r="J12" s="619">
        <v>33279</v>
      </c>
      <c r="K12" s="1441">
        <f>(H12+I12)-J12</f>
        <v>344044</v>
      </c>
      <c r="L12" s="1441">
        <f>F12-K12</f>
        <v>191339</v>
      </c>
    </row>
    <row r="13" spans="1:14" ht="14.25" thickTop="1" thickBot="1" x14ac:dyDescent="0.25">
      <c r="A13" s="684" t="s">
        <v>1112</v>
      </c>
      <c r="B13" s="679">
        <v>252</v>
      </c>
      <c r="C13" s="1770"/>
      <c r="D13" s="1770"/>
      <c r="E13" s="1770"/>
      <c r="F13" s="1764">
        <f>(C13+D13)-E13</f>
        <v>0</v>
      </c>
      <c r="G13" s="681">
        <v>5</v>
      </c>
      <c r="H13" s="619"/>
      <c r="I13" s="619"/>
      <c r="J13" s="619"/>
      <c r="K13" s="1441">
        <f>(H13+I13)-J13</f>
        <v>0</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568662</v>
      </c>
      <c r="D16" s="1764">
        <f>SUM(D3,D5:D6,D8:D10,D12:D15)</f>
        <v>0</v>
      </c>
      <c r="E16" s="1764">
        <f>SUM(E3,E5:E6,E8:E10,E12:E15)</f>
        <v>33279</v>
      </c>
      <c r="F16" s="1764">
        <f>SUM(F3,F5:F6,F8:F10,F12:F15)</f>
        <v>535383</v>
      </c>
      <c r="G16" s="681"/>
      <c r="H16" s="1434">
        <f>SUM(H3,H6,H8:H10,H12:H14,)</f>
        <v>323785</v>
      </c>
      <c r="I16" s="1434">
        <f>SUM(I3,I6,I8:I10,I12:I14,)</f>
        <v>53538</v>
      </c>
      <c r="J16" s="1434">
        <f>SUM(J3,J6,J8:J10,J12:J14,)</f>
        <v>33279</v>
      </c>
      <c r="K16" s="1434">
        <f>(H16+I16)-J16</f>
        <v>344044</v>
      </c>
      <c r="L16" s="1434">
        <f>F16-K16</f>
        <v>191339</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53538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36" right="0.17" top="1.1000000000000001" bottom="0.52" header="0.48" footer="0.17"/>
  <pageSetup scale="80" firstPageNumber="1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T41" sqref="T4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397834</v>
      </c>
      <c r="G8" s="701"/>
    </row>
    <row r="9" spans="1:9" x14ac:dyDescent="0.2">
      <c r="A9" s="705" t="s">
        <v>457</v>
      </c>
      <c r="B9" s="706" t="s">
        <v>1848</v>
      </c>
      <c r="C9" s="707"/>
      <c r="D9" s="705" t="s">
        <v>498</v>
      </c>
      <c r="E9" s="704"/>
      <c r="F9" s="1774">
        <f>'Expenditures 15-22'!K151</f>
        <v>0</v>
      </c>
      <c r="G9" s="708"/>
    </row>
    <row r="10" spans="1:9" x14ac:dyDescent="0.2">
      <c r="A10" s="705" t="s">
        <v>496</v>
      </c>
      <c r="B10" s="706" t="s">
        <v>1849</v>
      </c>
      <c r="C10" s="707"/>
      <c r="D10" s="705" t="s">
        <v>498</v>
      </c>
      <c r="E10" s="704"/>
      <c r="F10" s="1774">
        <f>'Expenditures 15-22'!K174</f>
        <v>0</v>
      </c>
      <c r="G10" s="708"/>
    </row>
    <row r="11" spans="1:9" x14ac:dyDescent="0.2">
      <c r="A11" s="705" t="s">
        <v>458</v>
      </c>
      <c r="B11" s="706" t="s">
        <v>1850</v>
      </c>
      <c r="C11" s="707"/>
      <c r="D11" s="705" t="s">
        <v>498</v>
      </c>
      <c r="E11" s="704"/>
      <c r="F11" s="1774">
        <f>'Expenditures 15-22'!K210</f>
        <v>0</v>
      </c>
      <c r="G11" s="708"/>
    </row>
    <row r="12" spans="1:9" x14ac:dyDescent="0.2">
      <c r="A12" s="705" t="s">
        <v>459</v>
      </c>
      <c r="B12" s="706" t="s">
        <v>1851</v>
      </c>
      <c r="C12" s="707"/>
      <c r="D12" s="705" t="s">
        <v>498</v>
      </c>
      <c r="E12" s="704"/>
      <c r="F12" s="1774">
        <f>'Expenditures 15-22'!K295</f>
        <v>0</v>
      </c>
      <c r="G12" s="708"/>
    </row>
    <row r="13" spans="1:9" x14ac:dyDescent="0.2">
      <c r="A13" s="705" t="s">
        <v>106</v>
      </c>
      <c r="B13" s="706" t="s">
        <v>1852</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397834</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304033</v>
      </c>
      <c r="G53" s="701"/>
    </row>
    <row r="54" spans="1:7" x14ac:dyDescent="0.2">
      <c r="A54" s="705" t="s">
        <v>456</v>
      </c>
      <c r="B54" s="705" t="s">
        <v>1459</v>
      </c>
      <c r="C54" s="724" t="s">
        <v>975</v>
      </c>
      <c r="D54" s="720" t="s">
        <v>1086</v>
      </c>
      <c r="E54" s="704"/>
      <c r="F54" s="1781">
        <f>'Expenditures 15-22'!G114</f>
        <v>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304033</v>
      </c>
      <c r="G77" s="701"/>
    </row>
    <row r="78" spans="1:9" s="728" customFormat="1" ht="12" customHeight="1" thickTop="1" thickBot="1" x14ac:dyDescent="0.25">
      <c r="A78" s="1449"/>
      <c r="B78" s="1447"/>
      <c r="C78" s="1444"/>
      <c r="D78" s="1448" t="s">
        <v>2012</v>
      </c>
      <c r="E78" s="1446"/>
      <c r="F78" s="1787">
        <f>(F14-F77)</f>
        <v>93801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3"/>
      <c r="H79" s="705"/>
      <c r="I79" s="705"/>
    </row>
    <row r="80" spans="1:9" s="728" customFormat="1" ht="12" customHeight="1" thickBot="1" x14ac:dyDescent="0.25">
      <c r="A80" s="1451"/>
      <c r="B80" s="1447"/>
      <c r="C80" s="1444"/>
      <c r="D80" s="1448" t="s">
        <v>2013</v>
      </c>
      <c r="E80" s="1446" t="s">
        <v>952</v>
      </c>
      <c r="F80" s="1789" t="str">
        <f>IF(F79&gt;0,F78/F79," Complete Line 79")</f>
        <v xml:space="preserve"> Complete Line 79</v>
      </c>
      <c r="G80" s="705"/>
    </row>
    <row r="81" spans="1:7" s="728" customFormat="1" ht="8.25" customHeight="1" thickTop="1" x14ac:dyDescent="0.2">
      <c r="A81" s="734"/>
      <c r="B81" s="705"/>
      <c r="C81" s="707"/>
      <c r="D81" s="735"/>
      <c r="E81" s="704"/>
      <c r="F81" s="1790"/>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146756</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0</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0</v>
      </c>
      <c r="G126" s="763"/>
    </row>
    <row r="127" spans="1:7" x14ac:dyDescent="0.2">
      <c r="A127" s="760" t="s">
        <v>663</v>
      </c>
      <c r="B127" s="760" t="s">
        <v>1931</v>
      </c>
      <c r="C127" s="765">
        <v>4300</v>
      </c>
      <c r="D127" s="766" t="str">
        <f>'Revenues 9-14'!A204</f>
        <v>Total Title I</v>
      </c>
      <c r="E127" s="739"/>
      <c r="F127" s="1792">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4600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c r="G172" s="760"/>
    </row>
    <row r="173" spans="1:7" x14ac:dyDescent="0.2">
      <c r="A173" s="1528" t="s">
        <v>659</v>
      </c>
      <c r="B173" s="1529" t="s">
        <v>1885</v>
      </c>
      <c r="C173" s="1530">
        <v>3300</v>
      </c>
      <c r="D173" s="1531" t="s">
        <v>1888</v>
      </c>
      <c r="E173" s="739"/>
      <c r="F173" s="1793"/>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151356</v>
      </c>
    </row>
    <row r="176" spans="1:7" ht="12" customHeight="1" x14ac:dyDescent="0.2">
      <c r="A176" s="1442"/>
      <c r="B176" s="1452"/>
      <c r="C176" s="1453"/>
      <c r="D176" s="1454" t="s">
        <v>2014</v>
      </c>
      <c r="E176" s="1455"/>
      <c r="F176" s="1792">
        <f>'PCTC-OEPP 27-28'!F78-F175</f>
        <v>-57555</v>
      </c>
    </row>
    <row r="177" spans="1:9" ht="12" customHeight="1" x14ac:dyDescent="0.2">
      <c r="A177" s="1442"/>
      <c r="B177" s="1452"/>
      <c r="C177" s="1453"/>
      <c r="D177" s="1454" t="s">
        <v>1794</v>
      </c>
      <c r="E177" s="1455"/>
      <c r="F177" s="1792">
        <f>'Cap Outlay Deprec 26'!I18</f>
        <v>53538</v>
      </c>
    </row>
    <row r="178" spans="1:9" ht="12" customHeight="1" x14ac:dyDescent="0.2">
      <c r="A178" s="1442"/>
      <c r="B178" s="1452"/>
      <c r="C178" s="1453"/>
      <c r="D178" s="1454" t="s">
        <v>2015</v>
      </c>
      <c r="E178" s="1455"/>
      <c r="F178" s="1792">
        <f>F176+F177</f>
        <v>-4017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3"/>
      <c r="I179" s="701"/>
    </row>
    <row r="180" spans="1:9" ht="12" customHeight="1" thickBot="1" x14ac:dyDescent="0.25">
      <c r="A180" s="1442"/>
      <c r="B180" s="1456"/>
      <c r="C180" s="1453"/>
      <c r="D180" s="1454" t="s">
        <v>2017</v>
      </c>
      <c r="E180" s="1455" t="s">
        <v>1528</v>
      </c>
      <c r="F180" s="1797"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6" t="s">
        <v>1796</v>
      </c>
      <c r="B6" s="1867"/>
      <c r="C6" s="1868"/>
      <c r="D6" s="1868"/>
      <c r="E6" s="1868"/>
      <c r="F6" s="1869"/>
    </row>
    <row r="7" spans="1:6" ht="47.25" customHeight="1" x14ac:dyDescent="0.25">
      <c r="A7" s="2383" t="s">
        <v>1985</v>
      </c>
      <c r="B7" s="2384"/>
      <c r="C7" s="2384"/>
      <c r="D7" s="2384"/>
      <c r="E7" s="2384"/>
      <c r="F7" s="2385"/>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2" t="s">
        <v>1982</v>
      </c>
      <c r="B12" s="1873"/>
      <c r="C12" s="1874"/>
      <c r="D12" s="1874"/>
      <c r="E12" s="1874"/>
      <c r="F12" s="1875"/>
    </row>
    <row r="13" spans="1:6" ht="17.25" customHeight="1" x14ac:dyDescent="0.25">
      <c r="A13" s="2383" t="s">
        <v>1983</v>
      </c>
      <c r="B13" s="2384"/>
      <c r="C13" s="2384"/>
      <c r="D13" s="2384"/>
      <c r="E13" s="2384"/>
      <c r="F13" s="2385"/>
    </row>
    <row r="14" spans="1:6" ht="15" customHeight="1" x14ac:dyDescent="0.25">
      <c r="A14" s="1872" t="s">
        <v>1800</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1912"/>
      <c r="B18" s="1906"/>
      <c r="C18" s="1913"/>
      <c r="D18" s="1884"/>
      <c r="E18" s="1904">
        <f t="shared" ref="E18:E33" si="0">IF(D18&lt;25000,D18,"25,000")</f>
        <v>0</v>
      </c>
      <c r="F18" s="1904" t="str">
        <f t="shared" ref="F18:F33" si="1">IF(D18&gt;=25000,(D18-E18),"0")</f>
        <v>0</v>
      </c>
      <c r="G18" s="1885"/>
    </row>
    <row r="19" spans="1:7" x14ac:dyDescent="0.25">
      <c r="A19" s="2036" t="s">
        <v>2073</v>
      </c>
      <c r="B19" s="1906"/>
      <c r="C19" s="1883"/>
      <c r="D19" s="1884">
        <v>0</v>
      </c>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0</v>
      </c>
      <c r="E36" s="1891">
        <f>SUM(E18:E35)</f>
        <v>0</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6" sqref="A46:XFD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103</v>
      </c>
      <c r="F19" s="1801"/>
      <c r="G19" s="1803">
        <f>'Expenditures 15-22'!K33-SUM('Expenditures 15-22'!G33,'Expenditures 15-22'!I33)+'Expenditures 15-22'!D229</f>
        <v>103</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1800</v>
      </c>
      <c r="F21" s="1804"/>
      <c r="G21" s="1807">
        <f>'Expenditures 15-22'!K42-SUM('Expenditures 15-22'!G42,'Expenditures 15-22'!I42)+'Expenditures 15-22'!K120-SUM('Expenditures 15-22'!G120,'Expenditures 15-22'!I120)+'Expenditures 15-22'!K180-SUM('Expenditures 15-22'!G180,'Expenditures 15-22'!I180)+'Expenditures 15-22'!D238</f>
        <v>1800</v>
      </c>
      <c r="H21" s="817"/>
      <c r="I21" s="157"/>
    </row>
    <row r="22" spans="1:9" s="542" customFormat="1" ht="12" customHeight="1" x14ac:dyDescent="0.2">
      <c r="A22" s="824" t="s">
        <v>560</v>
      </c>
      <c r="B22" s="825"/>
      <c r="C22" s="823">
        <v>2200</v>
      </c>
      <c r="D22" s="1804"/>
      <c r="E22" s="1806">
        <f>'Expenditures 15-22'!K47-SUM('Expenditures 15-22'!G47,'Expenditures 15-22'!I47)+'Expenditures 15-22'!D243</f>
        <v>28099</v>
      </c>
      <c r="F22" s="1804"/>
      <c r="G22" s="1807">
        <f>'Expenditures 15-22'!K47-SUM('Expenditures 15-22'!G47,'Expenditures 15-22'!I47)+'Expenditures 15-22'!D243</f>
        <v>28099</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63731</v>
      </c>
      <c r="F23" s="1804"/>
      <c r="G23" s="1806">
        <f>'Expenditures 15-22'!K53-SUM('Expenditures 15-22'!G53,'Expenditures 15-22'!I53)+'Expenditures 15-22'!D257+'Expenditures 15-22'!K330-SUM('Expenditures 15-22'!G330,'Expenditures 15-22'!I330)</f>
        <v>63731</v>
      </c>
      <c r="H23" s="817"/>
      <c r="I23" s="157"/>
    </row>
    <row r="24" spans="1:9" s="542" customFormat="1" ht="12" customHeight="1" x14ac:dyDescent="0.2">
      <c r="A24" s="824" t="s">
        <v>562</v>
      </c>
      <c r="B24" s="825"/>
      <c r="C24" s="823">
        <v>2400</v>
      </c>
      <c r="D24" s="1804"/>
      <c r="E24" s="1806">
        <f>'Expenditures 15-22'!K57-SUM('Expenditures 15-22'!G57,'Expenditures 15-22'!I57)+'Expenditures 15-22'!D261</f>
        <v>0</v>
      </c>
      <c r="F24" s="1804"/>
      <c r="G24" s="1807">
        <f>'Expenditures 15-22'!K57-SUM('Expenditures 15-22'!G57,'Expenditures 15-22'!I57)+'Expenditures 15-22'!D261</f>
        <v>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68</v>
      </c>
      <c r="E27" s="1806">
        <f>E8</f>
        <v>0</v>
      </c>
      <c r="F27" s="1806">
        <f>'Expenditures 15-22'!K60-SUM('Expenditures 15-22'!G60,'Expenditures 15-22'!I60)+'Expenditures 15-22'!D264-E8</f>
        <v>68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0</v>
      </c>
      <c r="F28" s="1808">
        <f>'Expenditures 15-22'!K61-SUM('Expenditures 15-22'!G61,'Expenditures 15-22'!I61)+'Expenditures 15-22'!K124-SUM('Expenditures 15-22'!G124,'Expenditures 15-22'!I124)+'Expenditures 15-22'!D266-E9</f>
        <v>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0</v>
      </c>
      <c r="F29" s="1804"/>
      <c r="G29" s="180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68</v>
      </c>
      <c r="E41" s="1808">
        <f>SUM(E19:E40)</f>
        <v>93733</v>
      </c>
      <c r="F41" s="1808">
        <f>SUM(F19:F39)</f>
        <v>68</v>
      </c>
      <c r="G41" s="1808">
        <f>SUM(G19:G40)</f>
        <v>93733</v>
      </c>
    </row>
    <row r="42" spans="1:7" x14ac:dyDescent="0.2">
      <c r="A42" s="817"/>
      <c r="B42" s="157"/>
      <c r="C42" s="831"/>
      <c r="D42" s="2392" t="s">
        <v>519</v>
      </c>
      <c r="E42" s="2393"/>
      <c r="F42" s="832" t="s">
        <v>520</v>
      </c>
      <c r="G42" s="833"/>
    </row>
    <row r="43" spans="1:7" ht="12" customHeight="1" x14ac:dyDescent="0.2">
      <c r="A43" s="817"/>
      <c r="B43" s="157"/>
      <c r="C43" s="831"/>
      <c r="D43" s="1457" t="s">
        <v>470</v>
      </c>
      <c r="E43" s="1809">
        <f>D41</f>
        <v>68</v>
      </c>
      <c r="F43" s="1457" t="s">
        <v>470</v>
      </c>
      <c r="G43" s="1809">
        <f>F41</f>
        <v>68</v>
      </c>
    </row>
    <row r="44" spans="1:7" ht="12" customHeight="1" x14ac:dyDescent="0.2">
      <c r="A44" s="817"/>
      <c r="B44" s="157"/>
      <c r="C44" s="831"/>
      <c r="D44" s="1457" t="s">
        <v>471</v>
      </c>
      <c r="E44" s="1809">
        <f>E41</f>
        <v>93733</v>
      </c>
      <c r="F44" s="1457" t="s">
        <v>471</v>
      </c>
      <c r="G44" s="1809">
        <f>G41</f>
        <v>93733</v>
      </c>
    </row>
    <row r="45" spans="1:7" ht="12" customHeight="1" x14ac:dyDescent="0.2">
      <c r="A45" s="817"/>
      <c r="B45" s="157"/>
      <c r="C45" s="157"/>
      <c r="D45" s="1458" t="s">
        <v>999</v>
      </c>
      <c r="E45" s="1810">
        <f>(E43/E44)</f>
        <v>7.2546488429901953E-4</v>
      </c>
      <c r="F45" s="1458" t="s">
        <v>999</v>
      </c>
      <c r="G45" s="1810">
        <f>(G43/G44)</f>
        <v>7.2546488429901953E-4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6" sqref="F2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0" t="s">
        <v>1363</v>
      </c>
      <c r="B1" s="2400"/>
      <c r="C1" s="2400"/>
      <c r="D1" s="2400"/>
      <c r="E1" s="2400"/>
      <c r="F1" s="240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1" t="s">
        <v>1529</v>
      </c>
      <c r="B5" s="2402"/>
      <c r="C5" s="2403"/>
      <c r="D5" s="2403"/>
      <c r="E5" s="2403"/>
      <c r="F5" s="2403"/>
      <c r="G5" s="1506"/>
      <c r="L5" s="1506"/>
      <c r="M5" s="1854"/>
      <c r="N5" s="1854"/>
      <c r="O5" s="1854"/>
    </row>
    <row r="6" spans="1:15" ht="12" customHeight="1" x14ac:dyDescent="0.25">
      <c r="A6" s="1479"/>
      <c r="B6" s="1480"/>
      <c r="C6" s="2404" t="str">
        <f>COVER!A17</f>
        <v xml:space="preserve">  Rend Lake Area Reg Del System</v>
      </c>
      <c r="D6" s="2404"/>
      <c r="E6" s="2404"/>
      <c r="F6" s="1481"/>
      <c r="G6" s="1506"/>
      <c r="L6" s="1506"/>
      <c r="M6" s="1854"/>
      <c r="N6" s="1854"/>
      <c r="O6" s="1854"/>
    </row>
    <row r="7" spans="1:15" ht="11.25" customHeight="1" thickBot="1" x14ac:dyDescent="0.3">
      <c r="A7" s="1479"/>
      <c r="B7" s="1480"/>
      <c r="C7" s="2405">
        <f>COVER!A13</f>
        <v>13000000047</v>
      </c>
      <c r="D7" s="2405"/>
      <c r="E7" s="240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t="s">
        <v>2051</v>
      </c>
      <c r="D25" s="1494" t="s">
        <v>2051</v>
      </c>
      <c r="E25" s="1497" t="s">
        <v>2051</v>
      </c>
      <c r="F25" s="1496" t="s">
        <v>2069</v>
      </c>
      <c r="G25" s="1506"/>
      <c r="H25" s="1506">
        <f t="shared" si="0"/>
        <v>5</v>
      </c>
      <c r="I25" s="1506">
        <f t="shared" si="1"/>
        <v>5</v>
      </c>
      <c r="J25" s="1506">
        <f t="shared" si="2"/>
        <v>5</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1376</v>
      </c>
      <c r="B35" s="1500"/>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1375</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8"/>
      <c r="B43" s="2409"/>
      <c r="C43" s="2409"/>
      <c r="D43" s="2409"/>
      <c r="E43" s="2409"/>
      <c r="F43" s="2410"/>
      <c r="H43" s="1507"/>
      <c r="I43" s="1507"/>
      <c r="J43" s="1507"/>
      <c r="K43" s="1507"/>
    </row>
    <row r="44" spans="1:15" s="1498" customFormat="1" ht="12" hidden="1" customHeight="1" x14ac:dyDescent="0.25">
      <c r="A44" s="2408"/>
      <c r="B44" s="2409"/>
      <c r="C44" s="2409"/>
      <c r="D44" s="2409"/>
      <c r="E44" s="2409"/>
      <c r="F44" s="241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firstPageNumber="17" orientation="landscape" useFirstPageNumber="1" r:id="rId1"/>
  <headerFooter>
    <oddFooter xml:space="preserve">&amp;C&amp;8Page 17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41" sqref="T4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6"/>
      <c r="C6" s="1376"/>
      <c r="D6" s="1376"/>
      <c r="E6" s="1377"/>
      <c r="F6" s="1922"/>
      <c r="G6" s="1923"/>
      <c r="H6" s="838"/>
      <c r="I6" s="1924" t="s">
        <v>1021</v>
      </c>
      <c r="J6" s="2420" t="str">
        <f>COVER!A17</f>
        <v xml:space="preserve">  Rend Lake Area Reg Del System</v>
      </c>
      <c r="K6" s="2420"/>
      <c r="L6" s="2421"/>
      <c r="M6" s="838"/>
      <c r="N6" s="1998"/>
    </row>
    <row r="7" spans="1:14" x14ac:dyDescent="0.2">
      <c r="A7" s="2422" t="s">
        <v>864</v>
      </c>
      <c r="B7" s="2423"/>
      <c r="C7" s="2423"/>
      <c r="D7" s="2423"/>
      <c r="E7" s="2424"/>
      <c r="F7" s="839"/>
      <c r="G7" s="838"/>
      <c r="H7" s="838"/>
      <c r="I7" s="1924" t="s">
        <v>369</v>
      </c>
      <c r="J7" s="2425">
        <f>COVER!A13</f>
        <v>13000000047</v>
      </c>
      <c r="K7" s="2425"/>
      <c r="L7" s="2425"/>
      <c r="M7" s="838"/>
      <c r="N7" s="1998"/>
    </row>
    <row r="8" spans="1:14" x14ac:dyDescent="0.2">
      <c r="A8" s="2000"/>
      <c r="B8" s="1925"/>
      <c r="C8" s="1925"/>
      <c r="D8" s="1925"/>
      <c r="E8" s="1926"/>
      <c r="F8" s="1927"/>
      <c r="G8" s="1910"/>
      <c r="H8" s="1910"/>
      <c r="I8" s="1910"/>
      <c r="J8" s="1910"/>
      <c r="K8" s="1910"/>
      <c r="L8" s="1910"/>
      <c r="M8" s="838"/>
      <c r="N8" s="1998"/>
    </row>
    <row r="9" spans="1:14" x14ac:dyDescent="0.2">
      <c r="A9" s="2001"/>
      <c r="B9" s="840"/>
      <c r="C9" s="840"/>
      <c r="D9" s="841"/>
      <c r="E9" s="1928" t="s">
        <v>2018</v>
      </c>
      <c r="F9" s="1856"/>
      <c r="G9" s="1856"/>
      <c r="H9" s="1856"/>
      <c r="I9" s="1929" t="s">
        <v>2019</v>
      </c>
      <c r="J9" s="1856"/>
      <c r="K9" s="1856"/>
      <c r="L9" s="1857"/>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63731</v>
      </c>
      <c r="F12" s="1942"/>
      <c r="G12" s="1968">
        <f>G68</f>
        <v>0</v>
      </c>
      <c r="H12" s="1944">
        <f t="shared" ref="H12:H18" si="0">SUM(E12:G12)</f>
        <v>63731</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63731</v>
      </c>
      <c r="F19" s="1950">
        <f t="shared" si="2"/>
        <v>0</v>
      </c>
      <c r="G19" s="1950">
        <f t="shared" ref="G19" si="3">SUM(G12:G17)-G18</f>
        <v>0</v>
      </c>
      <c r="H19" s="1950">
        <f t="shared" si="2"/>
        <v>63731</v>
      </c>
      <c r="I19" s="1950">
        <f t="shared" si="2"/>
        <v>0</v>
      </c>
      <c r="J19" s="1950">
        <f t="shared" si="2"/>
        <v>0</v>
      </c>
      <c r="K19" s="1950">
        <f t="shared" si="2"/>
        <v>0</v>
      </c>
      <c r="L19" s="1950">
        <f t="shared" si="2"/>
        <v>0</v>
      </c>
      <c r="M19" s="838"/>
      <c r="N19" s="1998"/>
    </row>
    <row r="20" spans="1:14" ht="13.5" thickTop="1" x14ac:dyDescent="0.2">
      <c r="A20" s="2003">
        <v>9</v>
      </c>
      <c r="B20" s="2432" t="s">
        <v>2021</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Rend Lake Area Reg Del System</v>
      </c>
      <c r="M52" s="2420"/>
      <c r="N52" s="2450"/>
    </row>
    <row r="53" spans="1:14" x14ac:dyDescent="0.2">
      <c r="A53" s="1982"/>
      <c r="B53" s="1983"/>
      <c r="C53" s="1983"/>
      <c r="D53" s="1983"/>
      <c r="E53" s="1983"/>
      <c r="F53" s="1983"/>
      <c r="G53" s="1983"/>
      <c r="H53" s="1983"/>
      <c r="I53" s="1983"/>
      <c r="J53" s="1983"/>
      <c r="K53" s="1924" t="s">
        <v>369</v>
      </c>
      <c r="L53" s="2425">
        <f>J7</f>
        <v>13000000047</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2" sqref="A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row>
    <row r="7" spans="1:2" x14ac:dyDescent="0.2">
      <c r="A7" s="847">
        <v>2</v>
      </c>
      <c r="B7" s="307" t="s">
        <v>2071</v>
      </c>
    </row>
    <row r="8" spans="1:2" x14ac:dyDescent="0.2">
      <c r="A8" s="847"/>
    </row>
    <row r="9" spans="1:2" x14ac:dyDescent="0.2">
      <c r="A9" s="847">
        <v>3</v>
      </c>
      <c r="B9" s="307" t="s">
        <v>2072</v>
      </c>
    </row>
    <row r="10" spans="1:2" x14ac:dyDescent="0.2">
      <c r="A10" s="847"/>
    </row>
    <row r="11" spans="1:2" x14ac:dyDescent="0.2">
      <c r="A11" s="847">
        <v>4</v>
      </c>
      <c r="B11" s="307" t="s">
        <v>2074</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Rend Lake Area Reg Del System</v>
      </c>
    </row>
    <row r="65" spans="2:2" x14ac:dyDescent="0.2">
      <c r="B65" s="848">
        <f>COVER!A13</f>
        <v>13000000047</v>
      </c>
    </row>
  </sheetData>
  <phoneticPr fontId="16" type="noConversion"/>
  <pageMargins left="0.8" right="0.2" top="1.1499999999999999" bottom="0.75" header="0.74" footer="0.16"/>
  <pageSetup scale="80" firstPageNumber="18"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1" sqref="T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8" right="0.2" top="1" bottom="1" header="0.5" footer="0.5"/>
  <pageSetup scale="80" firstPageNumber="19"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6</xdr:row>
                <xdr:rowOff>0</xdr:rowOff>
              </from>
              <to>
                <xdr:col>4</xdr:col>
                <xdr:colOff>47625</xdr:colOff>
                <xdr:row>9</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26" sqref="I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1972</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1670</v>
      </c>
      <c r="B6" s="2485"/>
      <c r="C6" s="2485"/>
      <c r="D6" s="2485"/>
      <c r="E6" s="2485"/>
      <c r="F6" s="2486"/>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456263</v>
      </c>
      <c r="C8" s="1812">
        <f>'Acct Summary 7-8'!D8</f>
        <v>0</v>
      </c>
      <c r="D8" s="1812">
        <f>'Acct Summary 7-8'!F8</f>
        <v>0</v>
      </c>
      <c r="E8" s="1812">
        <f>'Acct Summary 7-8'!I8</f>
        <v>0</v>
      </c>
      <c r="F8" s="1812">
        <f>SUM(B8:E8)</f>
        <v>456263</v>
      </c>
    </row>
    <row r="9" spans="1:8" s="857" customFormat="1" ht="14.25" customHeight="1" thickBot="1" x14ac:dyDescent="0.25">
      <c r="A9" s="856" t="s">
        <v>1353</v>
      </c>
      <c r="B9" s="1813">
        <f>'Acct Summary 7-8'!C17</f>
        <v>397834</v>
      </c>
      <c r="C9" s="1813">
        <f>'Acct Summary 7-8'!D17</f>
        <v>0</v>
      </c>
      <c r="D9" s="1813">
        <f>'Acct Summary 7-8'!F17</f>
        <v>0</v>
      </c>
      <c r="E9" s="1812"/>
      <c r="F9" s="1812">
        <f>SUM(B9:E9)</f>
        <v>397834</v>
      </c>
    </row>
    <row r="10" spans="1:8" s="857" customFormat="1" ht="14.25" thickTop="1" thickBot="1" x14ac:dyDescent="0.25">
      <c r="A10" s="858" t="s">
        <v>1354</v>
      </c>
      <c r="B10" s="1814">
        <f>(B8-B9)</f>
        <v>58429</v>
      </c>
      <c r="C10" s="1814">
        <f>(C8-C9)</f>
        <v>0</v>
      </c>
      <c r="D10" s="1814">
        <f>(D8-D9)</f>
        <v>0</v>
      </c>
      <c r="E10" s="1813">
        <f>(E8-E9)</f>
        <v>0</v>
      </c>
      <c r="F10" s="1815">
        <f>SUM(F8-F9)</f>
        <v>58429</v>
      </c>
    </row>
    <row r="11" spans="1:8" s="857" customFormat="1" ht="14.25" thickTop="1" thickBot="1" x14ac:dyDescent="0.25">
      <c r="A11" s="859" t="s">
        <v>1903</v>
      </c>
      <c r="B11" s="1816">
        <f>'Acct Summary 7-8'!C81</f>
        <v>111386</v>
      </c>
      <c r="C11" s="1816">
        <f>'Acct Summary 7-8'!D81</f>
        <v>0</v>
      </c>
      <c r="D11" s="1816">
        <f>'Acct Summary 7-8'!F81</f>
        <v>0</v>
      </c>
      <c r="E11" s="1816">
        <f>'Acct Summary 7-8'!I81</f>
        <v>0</v>
      </c>
      <c r="F11" s="1817">
        <f>SUM(B11:E11)</f>
        <v>111386</v>
      </c>
    </row>
    <row r="12" spans="1:8" ht="16.5" customHeight="1" thickTop="1" x14ac:dyDescent="0.2">
      <c r="A12" s="860"/>
      <c r="B12" s="861"/>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1666</v>
      </c>
      <c r="B16" s="2471"/>
      <c r="C16" s="2471"/>
      <c r="D16" s="2471"/>
      <c r="E16" s="2471"/>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8" colorId="8" zoomScale="110" zoomScaleNormal="110" workbookViewId="0">
      <selection activeCell="T41" sqref="T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660</v>
      </c>
      <c r="B3" s="2494"/>
      <c r="C3" s="2494"/>
      <c r="D3" s="2495"/>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4" t="s">
        <v>1487</v>
      </c>
      <c r="D7" s="2505"/>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8" t="s">
        <v>311</v>
      </c>
      <c r="D21" s="2509"/>
    </row>
    <row r="22" spans="1:10" ht="12.75" x14ac:dyDescent="0.2">
      <c r="A22" s="917"/>
      <c r="B22" s="918">
        <v>2</v>
      </c>
      <c r="C22" s="2506" t="s">
        <v>1507</v>
      </c>
      <c r="D22" s="2507"/>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0" t="s">
        <v>533</v>
      </c>
      <c r="D43" s="2511"/>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2" t="s">
        <v>779</v>
      </c>
      <c r="D56" s="2503"/>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2" t="s">
        <v>1674</v>
      </c>
      <c r="D70" s="2503"/>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ht="22.5" x14ac:dyDescent="0.2">
      <c r="A82" s="876"/>
      <c r="B82" s="898">
        <v>15</v>
      </c>
      <c r="C82" s="908" t="s">
        <v>1884</v>
      </c>
      <c r="D82" s="1899" t="str">
        <f>IF('Contracts Paid in CY 29'!$D$36&gt;0,"OK","PLEASE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13000000047</v>
      </c>
      <c r="E2" s="1541">
        <v>2020</v>
      </c>
      <c r="F2" s="1541">
        <v>1</v>
      </c>
      <c r="G2" s="1897">
        <v>101000300</v>
      </c>
    </row>
    <row r="3" spans="1:7" ht="15" x14ac:dyDescent="0.25">
      <c r="A3" t="s">
        <v>950</v>
      </c>
      <c r="B3" s="135" t="str">
        <f>COVER!A15</f>
        <v>JEFFERSON</v>
      </c>
      <c r="E3" s="1829" t="s">
        <v>1971</v>
      </c>
      <c r="F3" s="1829" t="s">
        <v>1970</v>
      </c>
      <c r="G3" s="1897">
        <v>101000400</v>
      </c>
    </row>
    <row r="4" spans="1:7" ht="15" x14ac:dyDescent="0.25">
      <c r="A4" t="s">
        <v>1000</v>
      </c>
      <c r="B4" s="135" t="str">
        <f>COVER!A17</f>
        <v xml:space="preserve">  Rend Lake Area Reg Del System</v>
      </c>
      <c r="E4" s="1827">
        <v>44119</v>
      </c>
      <c r="F4" s="1828">
        <v>44151</v>
      </c>
      <c r="G4" s="1897">
        <v>101000600</v>
      </c>
    </row>
    <row r="5" spans="1:7" ht="15" x14ac:dyDescent="0.25">
      <c r="A5" t="s">
        <v>699</v>
      </c>
      <c r="B5" s="135" t="str">
        <f>COVER!A38</f>
        <v>RON DANIELS</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111386</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5795</v>
      </c>
      <c r="D92" s="2" t="str">
        <f t="shared" si="0"/>
        <v>Error?</v>
      </c>
      <c r="G92" s="1897">
        <v>102640600</v>
      </c>
    </row>
    <row r="93" spans="1:7" ht="15" x14ac:dyDescent="0.25">
      <c r="A93" s="5">
        <v>32</v>
      </c>
      <c r="B93" s="1831">
        <f>'Assets-Liab 5-6'!C41</f>
        <v>111386</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0</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0</v>
      </c>
      <c r="D123" s="2" t="str">
        <f t="shared" si="0"/>
        <v>Error?</v>
      </c>
      <c r="G123" s="1897">
        <v>203000400</v>
      </c>
    </row>
    <row r="124" spans="1:7" ht="15" x14ac:dyDescent="0.25">
      <c r="A124" s="5">
        <v>63</v>
      </c>
      <c r="B124" s="1831">
        <f>'Assets-Liab 5-6'!D41</f>
        <v>0</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535383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535383</v>
      </c>
      <c r="C279" s="2" t="s">
        <v>569</v>
      </c>
      <c r="D279" s="2" t="str">
        <f t="shared" si="3"/>
        <v>Error?</v>
      </c>
    </row>
    <row r="280" spans="1:4" x14ac:dyDescent="0.2">
      <c r="A280" s="5">
        <v>219</v>
      </c>
      <c r="B280" s="1831">
        <f>'Assets-Liab 5-6'!M40</f>
        <v>535383</v>
      </c>
      <c r="D280" s="2" t="str">
        <f t="shared" si="3"/>
        <v>Error?</v>
      </c>
    </row>
    <row r="281" spans="1:4" x14ac:dyDescent="0.2">
      <c r="A281" s="5">
        <v>220</v>
      </c>
      <c r="B281" s="1831">
        <f>'Assets-Liab 5-6'!M41</f>
        <v>535383</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22293</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22293</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53002</v>
      </c>
      <c r="D733" s="2" t="str">
        <f t="shared" si="10"/>
        <v>Error?</v>
      </c>
    </row>
    <row r="734" spans="1:4" x14ac:dyDescent="0.2">
      <c r="A734" s="5">
        <v>673</v>
      </c>
      <c r="B734" s="1831">
        <f>'Expenditures 15-22'!C53</f>
        <v>53002</v>
      </c>
      <c r="C734" s="2" t="s">
        <v>569</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75295</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75295</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3121</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3121</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6819</v>
      </c>
      <c r="D791" s="2" t="str">
        <f t="shared" si="11"/>
        <v>Error?</v>
      </c>
    </row>
    <row r="792" spans="1:4" x14ac:dyDescent="0.2">
      <c r="A792" s="5">
        <v>731</v>
      </c>
      <c r="B792" s="1831">
        <f>'Expenditures 15-22'!D53</f>
        <v>6819</v>
      </c>
      <c r="C792" s="2" t="s">
        <v>569</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9940</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9940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0</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2685</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2685</v>
      </c>
      <c r="C847" s="2" t="s">
        <v>569</v>
      </c>
      <c r="D847" s="2" t="str">
        <f t="shared" si="12"/>
        <v>Error?</v>
      </c>
    </row>
    <row r="848" spans="1:4" x14ac:dyDescent="0.2">
      <c r="A848" s="5">
        <v>787</v>
      </c>
      <c r="B848" s="1831">
        <f>'Expenditures 15-22'!E49</f>
        <v>0</v>
      </c>
      <c r="D848" s="2" t="str">
        <f t="shared" si="12"/>
        <v>Error?</v>
      </c>
    </row>
    <row r="849" spans="1:4" x14ac:dyDescent="0.2">
      <c r="A849" s="5">
        <v>788</v>
      </c>
      <c r="B849" s="1831">
        <f>'Expenditures 15-22'!E50</f>
        <v>2862</v>
      </c>
      <c r="D849" s="2" t="str">
        <f t="shared" si="12"/>
        <v>Error?</v>
      </c>
    </row>
    <row r="850" spans="1:4" x14ac:dyDescent="0.2">
      <c r="A850" s="5">
        <v>789</v>
      </c>
      <c r="B850" s="1831">
        <f>'Expenditures 15-22'!E53</f>
        <v>2862</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68</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68</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5615</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5615</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103</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103</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1800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1800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1048</v>
      </c>
      <c r="D907" s="2" t="str">
        <f t="shared" si="13"/>
        <v>Error?</v>
      </c>
    </row>
    <row r="908" spans="1:4" x14ac:dyDescent="0.2">
      <c r="A908" s="5">
        <v>847</v>
      </c>
      <c r="B908" s="1831">
        <f>'Expenditures 15-22'!F53</f>
        <v>1048</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2848</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2951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304033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304033</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103</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103</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1800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1800</v>
      </c>
      <c r="C1115" s="2" t="s">
        <v>569</v>
      </c>
      <c r="D1115" s="2" t="str">
        <f t="shared" si="16"/>
        <v>Error?</v>
      </c>
    </row>
    <row r="1116" spans="1:4" x14ac:dyDescent="0.2">
      <c r="A1116" s="5">
        <v>1055</v>
      </c>
      <c r="B1116" s="1831">
        <f>'Expenditures 15-22'!K44</f>
        <v>28099</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28099</v>
      </c>
      <c r="C1119" s="2" t="s">
        <v>569</v>
      </c>
      <c r="D1119" s="2" t="str">
        <f t="shared" si="16"/>
        <v>Error?</v>
      </c>
    </row>
    <row r="1120" spans="1:4" x14ac:dyDescent="0.2">
      <c r="A1120" s="5">
        <v>1059</v>
      </c>
      <c r="B1120" s="1831">
        <f>'Expenditures 15-22'!K49</f>
        <v>0</v>
      </c>
      <c r="C1120" s="2" t="s">
        <v>569</v>
      </c>
      <c r="D1120" s="2" t="str">
        <f t="shared" si="16"/>
        <v>Error?</v>
      </c>
    </row>
    <row r="1121" spans="1:4" x14ac:dyDescent="0.2">
      <c r="A1121" s="5">
        <v>1060</v>
      </c>
      <c r="B1121" s="1831">
        <f>'Expenditures 15-22'!K50</f>
        <v>63731</v>
      </c>
      <c r="C1121" s="2" t="s">
        <v>569</v>
      </c>
      <c r="D1121" s="2" t="str">
        <f t="shared" si="16"/>
        <v>Error?</v>
      </c>
    </row>
    <row r="1122" spans="1:4" x14ac:dyDescent="0.2">
      <c r="A1122" s="5">
        <v>1061</v>
      </c>
      <c r="B1122" s="1831">
        <f>'Expenditures 15-22'!K53</f>
        <v>63731</v>
      </c>
      <c r="C1122" s="2" t="s">
        <v>569</v>
      </c>
      <c r="D1122" s="2" t="str">
        <f t="shared" si="16"/>
        <v>Error?</v>
      </c>
    </row>
    <row r="1123" spans="1:4" x14ac:dyDescent="0.2">
      <c r="A1123" s="5">
        <v>1062</v>
      </c>
      <c r="B1123" s="1831">
        <f>'Expenditures 15-22'!K55</f>
        <v>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68</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68</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93698</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304033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397834</v>
      </c>
      <c r="C1152" s="2" t="s">
        <v>569</v>
      </c>
      <c r="D1152" s="2" t="str">
        <f t="shared" si="17"/>
        <v>Error?</v>
      </c>
    </row>
    <row r="1153" spans="1:4" x14ac:dyDescent="0.2">
      <c r="A1153" s="5">
        <v>1092</v>
      </c>
      <c r="B1153" s="1831">
        <f>'Expenditures 15-22'!K115</f>
        <v>58429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0</v>
      </c>
      <c r="C1288" s="2" t="s">
        <v>569</v>
      </c>
      <c r="D1288" s="2" t="str">
        <f t="shared" si="19"/>
        <v>Error?</v>
      </c>
    </row>
    <row r="1289" spans="1:4" x14ac:dyDescent="0.2">
      <c r="A1289" s="5">
        <v>1228</v>
      </c>
      <c r="B1289" s="1831">
        <f>'Expenditures 15-22'!K152</f>
        <v>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0</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0</v>
      </c>
      <c r="C1388" s="2" t="s">
        <v>569</v>
      </c>
      <c r="D1388" s="2" t="str">
        <f t="shared" si="20"/>
        <v>Error?</v>
      </c>
    </row>
    <row r="1389" spans="1:4" x14ac:dyDescent="0.2">
      <c r="A1389" s="5">
        <v>1328</v>
      </c>
      <c r="B1389" s="1831">
        <f>'Expenditures 15-22'!K211</f>
        <v>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52957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111386</v>
      </c>
      <c r="C1630" s="2" t="s">
        <v>569</v>
      </c>
      <c r="D1630" s="2" t="str">
        <f t="shared" si="24"/>
        <v>Error?</v>
      </c>
    </row>
    <row r="1631" spans="1:4" x14ac:dyDescent="0.2">
      <c r="A1631" s="5">
        <v>1570</v>
      </c>
      <c r="B1631" s="1831">
        <f>'Acct Summary 7-8'!D79</f>
        <v>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568662</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568662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33279</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33279</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0</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535383</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535383</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323785</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323785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53538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53538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33279</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33279</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344044</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344044</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0</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191339</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191339</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105591</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874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146756</v>
      </c>
      <c r="C2553" s="2" t="s">
        <v>569</v>
      </c>
      <c r="D2553" s="2" t="str">
        <f t="shared" si="38"/>
        <v>Error?</v>
      </c>
    </row>
    <row r="2554" spans="1:4" x14ac:dyDescent="0.2">
      <c r="A2554" s="5">
        <v>2493</v>
      </c>
      <c r="B2554" s="1831">
        <f>'Acct Summary 7-8'!C7</f>
        <v>4600</v>
      </c>
      <c r="C2554" s="2" t="s">
        <v>569</v>
      </c>
      <c r="D2554" s="2" t="str">
        <f t="shared" si="38"/>
        <v>Error?</v>
      </c>
    </row>
    <row r="2555" spans="1:4" x14ac:dyDescent="0.2">
      <c r="A2555" s="5">
        <v>2494</v>
      </c>
      <c r="B2555" s="1831">
        <f>'Acct Summary 7-8'!C8</f>
        <v>456263</v>
      </c>
      <c r="C2555" s="2" t="s">
        <v>569</v>
      </c>
      <c r="D2555" s="2" t="str">
        <f t="shared" si="38"/>
        <v>Error?</v>
      </c>
    </row>
    <row r="2556" spans="1:4" x14ac:dyDescent="0.2">
      <c r="A2556" s="5">
        <v>2495</v>
      </c>
      <c r="B2556" s="1831">
        <f>'Acct Summary 7-8'!C12</f>
        <v>103</v>
      </c>
      <c r="C2556" s="2" t="s">
        <v>569</v>
      </c>
      <c r="D2556" s="2" t="str">
        <f t="shared" si="38"/>
        <v>Error?</v>
      </c>
    </row>
    <row r="2557" spans="1:4" x14ac:dyDescent="0.2">
      <c r="A2557" s="5">
        <v>2496</v>
      </c>
      <c r="B2557" s="1831">
        <f>'Acct Summary 7-8'!C13</f>
        <v>93698</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304033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397834</v>
      </c>
      <c r="C2561" s="2" t="s">
        <v>569</v>
      </c>
      <c r="D2561" s="2" t="str">
        <f t="shared" si="39"/>
        <v>Error?</v>
      </c>
    </row>
    <row r="2562" spans="1:4" x14ac:dyDescent="0.2">
      <c r="A2562" s="5">
        <v>2501</v>
      </c>
      <c r="B2562" s="1831">
        <f>'Acct Summary 7-8'!C20</f>
        <v>58429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0</v>
      </c>
      <c r="C2568" s="2" t="s">
        <v>569</v>
      </c>
      <c r="D2568" s="2" t="str">
        <f t="shared" si="39"/>
        <v>Error?</v>
      </c>
    </row>
    <row r="2569" spans="1:4" x14ac:dyDescent="0.2">
      <c r="A2569" s="5">
        <v>2508</v>
      </c>
      <c r="B2569" s="1831">
        <f>'Acct Summary 7-8'!D13</f>
        <v>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0</v>
      </c>
      <c r="C2573" s="2" t="s">
        <v>569</v>
      </c>
      <c r="D2573" s="2" t="str">
        <f t="shared" si="39"/>
        <v>Error?</v>
      </c>
    </row>
    <row r="2574" spans="1:4" x14ac:dyDescent="0.2">
      <c r="A2574" s="5">
        <v>2513</v>
      </c>
      <c r="B2574" s="1831">
        <f>'Acct Summary 7-8'!D20</f>
        <v>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0</v>
      </c>
      <c r="C2595" s="2" t="s">
        <v>569</v>
      </c>
      <c r="D2595" s="2" t="str">
        <f t="shared" si="39"/>
        <v>Error?</v>
      </c>
    </row>
    <row r="2596" spans="1:4" x14ac:dyDescent="0.2">
      <c r="A2596" s="5">
        <v>2535</v>
      </c>
      <c r="B2596" s="1831">
        <f>'Acct Summary 7-8'!F13</f>
        <v>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0</v>
      </c>
      <c r="C2600" s="2" t="s">
        <v>569</v>
      </c>
      <c r="D2600" s="2" t="str">
        <f t="shared" si="39"/>
        <v>Error?</v>
      </c>
    </row>
    <row r="2601" spans="1:4" x14ac:dyDescent="0.2">
      <c r="A2601" s="5">
        <v>2540</v>
      </c>
      <c r="B2601" s="1831">
        <f>'Acct Summary 7-8'!F20</f>
        <v>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58429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304033</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111386</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456263</v>
      </c>
      <c r="C4122" s="2" t="s">
        <v>569</v>
      </c>
      <c r="D4122" s="2" t="str">
        <f t="shared" si="63"/>
        <v>Error?</v>
      </c>
    </row>
    <row r="4123" spans="1:4" x14ac:dyDescent="0.2">
      <c r="A4123" s="5">
        <v>4062</v>
      </c>
      <c r="B4123" s="1831">
        <f>'Acct Summary 7-8'!D10</f>
        <v>0</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0</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397834</v>
      </c>
      <c r="C4136" s="2" t="s">
        <v>569</v>
      </c>
      <c r="D4136" s="2" t="str">
        <f t="shared" si="63"/>
        <v>Error?</v>
      </c>
    </row>
    <row r="4137" spans="1:4" x14ac:dyDescent="0.2">
      <c r="A4137" s="5">
        <v>4076</v>
      </c>
      <c r="B4137" s="1831">
        <f>'Acct Summary 7-8'!D19</f>
        <v>0</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0</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0</v>
      </c>
      <c r="C4265" s="2" t="s">
        <v>569</v>
      </c>
      <c r="D4265" s="2" t="str">
        <f t="shared" si="65"/>
        <v>Error?</v>
      </c>
      <c r="E4265" s="125"/>
    </row>
    <row r="4266" spans="1:5" x14ac:dyDescent="0.2">
      <c r="A4266" s="12">
        <v>4205</v>
      </c>
      <c r="B4266" s="1831">
        <f>('FP Info 3'!F10)*100000</f>
        <v>0</v>
      </c>
      <c r="C4266" s="2" t="s">
        <v>569</v>
      </c>
      <c r="D4266" s="2" t="str">
        <f t="shared" si="65"/>
        <v>Error?</v>
      </c>
      <c r="E4266" s="125"/>
    </row>
    <row r="4267" spans="1:5" x14ac:dyDescent="0.2">
      <c r="A4267" s="12">
        <v>4206</v>
      </c>
      <c r="B4267" s="1831">
        <f>('FP Info 3'!H10)*100000</f>
        <v>0</v>
      </c>
      <c r="C4267" s="2" t="s">
        <v>569</v>
      </c>
      <c r="D4267" s="2" t="str">
        <f t="shared" si="65"/>
        <v>Error?</v>
      </c>
      <c r="E4267" s="125"/>
    </row>
    <row r="4268" spans="1:5" x14ac:dyDescent="0.2">
      <c r="A4268" s="12">
        <v>4207</v>
      </c>
      <c r="B4268" s="1831">
        <f>('FP Info 3'!J10)*100000</f>
        <v>0</v>
      </c>
      <c r="C4268" s="2" t="s">
        <v>569</v>
      </c>
      <c r="D4268" s="2" t="str">
        <f t="shared" si="65"/>
        <v>Error?</v>
      </c>
    </row>
    <row r="4269" spans="1:5" x14ac:dyDescent="0.2">
      <c r="A4269" s="12">
        <v>4208</v>
      </c>
      <c r="B4269" s="1831">
        <f>'FP Info 3'!J16</f>
        <v>111386</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4600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t="str">
        <f>'FP Info 3'!H31</f>
        <v>Enter x in a.or b.</v>
      </c>
      <c r="D4996" s="2" t="e">
        <f t="shared" si="77"/>
        <v>#VALUE!</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874</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874</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0</v>
      </c>
      <c r="C5120" s="2" t="s">
        <v>569</v>
      </c>
      <c r="D5120" s="2" t="str">
        <f t="shared" si="79"/>
        <v>Error?</v>
      </c>
    </row>
    <row r="5121" spans="1:4" x14ac:dyDescent="0.2">
      <c r="A5121" s="5">
        <v>5060</v>
      </c>
      <c r="B5121" s="1831">
        <f>'Revenues 9-14'!C109</f>
        <v>874</v>
      </c>
      <c r="C5121" s="2" t="s">
        <v>569</v>
      </c>
      <c r="D5121" s="2" t="str">
        <f t="shared" si="79"/>
        <v>Error?</v>
      </c>
    </row>
    <row r="5122" spans="1:4" x14ac:dyDescent="0.2">
      <c r="A5122" s="5">
        <v>5061</v>
      </c>
      <c r="B5122" s="1831">
        <f>'Revenues 9-14'!C111</f>
        <v>209264</v>
      </c>
      <c r="D5122" s="2" t="str">
        <f t="shared" si="79"/>
        <v>Error?</v>
      </c>
    </row>
    <row r="5123" spans="1:4" x14ac:dyDescent="0.2">
      <c r="A5123" s="5">
        <v>5062</v>
      </c>
      <c r="B5123" s="1831">
        <f>'Revenues 9-14'!C112</f>
        <v>94769</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304033</v>
      </c>
      <c r="C5125" s="2" t="s">
        <v>569</v>
      </c>
      <c r="D5125" s="2" t="str">
        <f t="shared" si="79"/>
        <v>Error?</v>
      </c>
    </row>
    <row r="5126" spans="1:4" x14ac:dyDescent="0.2">
      <c r="A5126" s="5">
        <v>5065</v>
      </c>
      <c r="B5126" s="1831">
        <f>'Revenues 9-14'!C117</f>
        <v>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146756</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146756</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146756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146756</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4600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4600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4600</v>
      </c>
      <c r="C5326" s="2" t="s">
        <v>569</v>
      </c>
      <c r="D5326" s="2" t="str">
        <f t="shared" si="82"/>
        <v>Error?</v>
      </c>
    </row>
    <row r="5327" spans="1:5" x14ac:dyDescent="0.2">
      <c r="A5327" s="5">
        <v>5266</v>
      </c>
      <c r="B5327" s="1831">
        <f>'Revenues 9-14'!C268</f>
        <v>456263</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0</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58429</v>
      </c>
      <c r="D6267" s="2" t="str">
        <f t="shared" si="96"/>
        <v>Error?</v>
      </c>
      <c r="E6267" s="2" t="s">
        <v>189</v>
      </c>
    </row>
    <row r="6268" spans="1:5" x14ac:dyDescent="0.2">
      <c r="A6268">
        <v>6207</v>
      </c>
      <c r="B6268" s="1831">
        <f>'Acct Summary 7-8'!D82</f>
        <v>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0</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0.52456323056757581</v>
      </c>
      <c r="D6276" s="2" t="str">
        <f t="shared" si="97"/>
        <v>Error?</v>
      </c>
      <c r="E6276" s="2" t="s">
        <v>189</v>
      </c>
    </row>
    <row r="6277" spans="1:5" x14ac:dyDescent="0.2">
      <c r="A6277">
        <v>6216</v>
      </c>
      <c r="B6277" s="1831" t="e">
        <f>'Acct Summary 7-8'!D83</f>
        <v>#DIV/0!</v>
      </c>
      <c r="D6277" s="2" t="e">
        <f t="shared" si="97"/>
        <v>#DIV/0!</v>
      </c>
      <c r="E6277" s="2" t="s">
        <v>189</v>
      </c>
    </row>
    <row r="6278" spans="1:5" x14ac:dyDescent="0.2">
      <c r="A6278">
        <v>6217</v>
      </c>
      <c r="B6278" s="1831" t="e">
        <f>'Acct Summary 7-8'!E83</f>
        <v>#DIV/0!</v>
      </c>
      <c r="D6278" s="2" t="e">
        <f t="shared" si="97"/>
        <v>#DIV/0!</v>
      </c>
      <c r="E6278" s="2" t="s">
        <v>189</v>
      </c>
    </row>
    <row r="6279" spans="1:5" x14ac:dyDescent="0.2">
      <c r="A6279">
        <v>6218</v>
      </c>
      <c r="B6279" s="1831" t="e">
        <f>'Acct Summary 7-8'!F83</f>
        <v>#DIV/0!</v>
      </c>
      <c r="D6279" s="2" t="e">
        <f t="shared" si="97"/>
        <v>#DIV/0!</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304033</v>
      </c>
      <c r="D7002" s="2" t="str">
        <f t="shared" si="108"/>
        <v>Error?</v>
      </c>
    </row>
    <row r="7003" spans="1:4" x14ac:dyDescent="0.2">
      <c r="A7003">
        <v>6942</v>
      </c>
      <c r="B7003" s="1831">
        <f>'Expenditures 15-22'!K96</f>
        <v>304033</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304033</v>
      </c>
      <c r="D7012" s="2" t="str">
        <f t="shared" si="108"/>
        <v>Error?</v>
      </c>
    </row>
    <row r="7013" spans="1:4" x14ac:dyDescent="0.2">
      <c r="A7013">
        <v>6952</v>
      </c>
      <c r="B7013" s="1831">
        <f>'Expenditures 15-22'!K100</f>
        <v>304033</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53538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397834</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304033</v>
      </c>
      <c r="D7834" s="2" t="str">
        <f t="shared" si="129"/>
        <v>Error?</v>
      </c>
      <c r="E7834" s="4" t="s">
        <v>1998</v>
      </c>
    </row>
    <row r="7835" spans="1:5" x14ac:dyDescent="0.2">
      <c r="A7835">
        <v>7774</v>
      </c>
      <c r="B7835" s="1831">
        <f>'PCTC-OEPP 27-28'!F78</f>
        <v>93801</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t="str">
        <f>'PCTC-OEPP 27-28'!F80</f>
        <v xml:space="preserve"> Complete Line 79</v>
      </c>
      <c r="D7837" s="2" t="e">
        <f t="shared" si="129"/>
        <v>#VALUE!</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146756</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0</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0</v>
      </c>
      <c r="D7858" s="2" t="str">
        <f t="shared" si="129"/>
        <v>Error?</v>
      </c>
      <c r="E7858" s="4" t="s">
        <v>1998</v>
      </c>
    </row>
    <row r="7859" spans="1:5" x14ac:dyDescent="0.2">
      <c r="A7859">
        <v>7798</v>
      </c>
      <c r="B7859" s="1831">
        <f>'PCTC-OEPP 27-28'!F127</f>
        <v>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4600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151356</v>
      </c>
      <c r="D7877" s="2" t="str">
        <f t="shared" si="129"/>
        <v>Error?</v>
      </c>
      <c r="E7877" s="4" t="s">
        <v>1998</v>
      </c>
    </row>
    <row r="7878" spans="1:5" x14ac:dyDescent="0.2">
      <c r="A7878">
        <v>7817</v>
      </c>
      <c r="B7878" s="1831">
        <f>'PCTC-OEPP 27-28'!F176</f>
        <v>-57555</v>
      </c>
      <c r="D7878" s="2" t="str">
        <f t="shared" si="129"/>
        <v>Error?</v>
      </c>
      <c r="E7878" s="4" t="s">
        <v>1998</v>
      </c>
    </row>
    <row r="7879" spans="1:5" x14ac:dyDescent="0.2">
      <c r="A7879">
        <v>7818</v>
      </c>
      <c r="B7879" s="1831">
        <f>'PCTC-OEPP 27-28'!F178</f>
        <v>-4017</v>
      </c>
      <c r="D7879" s="2" t="str">
        <f t="shared" si="129"/>
        <v>Error?</v>
      </c>
      <c r="E7879" s="4" t="s">
        <v>1998</v>
      </c>
    </row>
    <row r="7880" spans="1:5" x14ac:dyDescent="0.2">
      <c r="A7880">
        <v>7819</v>
      </c>
      <c r="B7880" s="1831"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5" t="str">
        <f>COVER!A17</f>
        <v xml:space="preserve">  Rend Lake Area Reg Del System</v>
      </c>
      <c r="B7" s="2536"/>
      <c r="C7" s="2536"/>
      <c r="D7" s="2537"/>
      <c r="E7" s="2538">
        <f>COVER!A13</f>
        <v>13000000047</v>
      </c>
      <c r="F7" s="2539"/>
      <c r="G7" s="2545" t="str">
        <f>COVER!T23</f>
        <v>066-004957</v>
      </c>
      <c r="H7" s="2546"/>
      <c r="I7" s="2546"/>
      <c r="J7" s="2546"/>
      <c r="K7" s="2546"/>
      <c r="L7" s="254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8"/>
      <c r="B9" s="2549"/>
      <c r="C9" s="2549"/>
      <c r="D9" s="2549"/>
      <c r="E9" s="2549"/>
      <c r="F9" s="2550"/>
      <c r="G9" s="2518" t="str">
        <f>COVER!T13</f>
        <v>SUSAN J. LYONS, CPA, P.C.</v>
      </c>
      <c r="H9" s="2551"/>
      <c r="I9" s="2551"/>
      <c r="J9" s="2551"/>
      <c r="K9" s="2551"/>
      <c r="L9" s="2552"/>
    </row>
    <row r="10" spans="1:29" ht="13.5" customHeight="1" x14ac:dyDescent="0.2">
      <c r="A10" s="2524" t="str">
        <f>COVER!A38</f>
        <v>RON DANIELS</v>
      </c>
      <c r="B10" s="2525"/>
      <c r="C10" s="2525"/>
      <c r="D10" s="2525"/>
      <c r="E10" s="2525"/>
      <c r="F10" s="2526"/>
      <c r="G10" s="2518" t="str">
        <f>COVER!T17</f>
        <v>5859 U.S. HIGHWAY 51</v>
      </c>
      <c r="H10" s="2519"/>
      <c r="I10" s="2519"/>
      <c r="J10" s="2519"/>
      <c r="K10" s="2519"/>
      <c r="L10" s="2520"/>
    </row>
    <row r="11" spans="1:29" ht="13.5" customHeight="1" x14ac:dyDescent="0.2">
      <c r="A11" s="962" t="s">
        <v>1502</v>
      </c>
      <c r="B11" s="963"/>
      <c r="C11" s="964"/>
      <c r="D11" s="969"/>
      <c r="E11" s="964"/>
      <c r="F11" s="968"/>
      <c r="G11" s="2518" t="str">
        <f>COVER!T19</f>
        <v>ODIN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slyons1007@gmail.com</v>
      </c>
      <c r="J13" s="2531"/>
      <c r="K13" s="2531"/>
      <c r="L13" s="2532"/>
    </row>
    <row r="14" spans="1:29" ht="13.5" customHeight="1" x14ac:dyDescent="0.2">
      <c r="A14" s="2518" t="str">
        <f>COVER!A19</f>
        <v>1714 BROADWAY</v>
      </c>
      <c r="B14" s="2519"/>
      <c r="C14" s="2519"/>
      <c r="D14" s="2519"/>
      <c r="E14" s="2519"/>
      <c r="F14" s="2520"/>
      <c r="G14" s="973" t="s">
        <v>1175</v>
      </c>
      <c r="H14" s="971"/>
      <c r="I14" s="971"/>
      <c r="J14" s="971"/>
      <c r="K14" s="971"/>
      <c r="L14" s="972"/>
    </row>
    <row r="15" spans="1:29" ht="13.5" customHeight="1" x14ac:dyDescent="0.2">
      <c r="A15" s="2518" t="str">
        <f>COVER!A21</f>
        <v>MT. VERNON</v>
      </c>
      <c r="B15" s="2519"/>
      <c r="C15" s="2519"/>
      <c r="D15" s="2519"/>
      <c r="E15" s="2519"/>
      <c r="F15" s="2520"/>
      <c r="G15" s="2515" t="str">
        <f>COVER!T15</f>
        <v>SUSAN J. LYONS</v>
      </c>
      <c r="H15" s="2516"/>
      <c r="I15" s="2516"/>
      <c r="J15" s="2516"/>
      <c r="K15" s="2516"/>
      <c r="L15" s="2517"/>
    </row>
    <row r="16" spans="1:29" ht="12.2" customHeight="1" x14ac:dyDescent="0.2">
      <c r="A16" s="2541">
        <f>COVER!A25</f>
        <v>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3" t="s">
        <v>1174</v>
      </c>
      <c r="H17" s="971"/>
      <c r="I17" s="971"/>
      <c r="J17" s="971"/>
      <c r="K17" s="975" t="s">
        <v>1173</v>
      </c>
      <c r="L17" s="968"/>
      <c r="M17" s="961"/>
    </row>
    <row r="18" spans="1:13" ht="12.2" customHeight="1" x14ac:dyDescent="0.2">
      <c r="A18" s="2524"/>
      <c r="B18" s="2525"/>
      <c r="C18" s="2525"/>
      <c r="D18" s="2525"/>
      <c r="E18" s="2525"/>
      <c r="F18" s="2526"/>
      <c r="G18" s="2535" t="str">
        <f>COVER!T21</f>
        <v>618-267-3213</v>
      </c>
      <c r="H18" s="2536"/>
      <c r="I18" s="2536"/>
      <c r="J18" s="2536"/>
      <c r="K18" s="2535">
        <f>COVER!X21</f>
        <v>0</v>
      </c>
      <c r="L18" s="254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Rend Lake Area Reg Del System</v>
      </c>
      <c r="B1" s="2558"/>
      <c r="C1" s="2558"/>
      <c r="D1" s="2558"/>
    </row>
    <row r="2" spans="1:11" s="990" customFormat="1" ht="12.75" x14ac:dyDescent="0.2">
      <c r="A2" s="2559">
        <f>'Single Audit Cover'!E7</f>
        <v>13000000047</v>
      </c>
      <c r="B2" s="2560"/>
      <c r="C2" s="2560"/>
      <c r="D2" s="2560"/>
    </row>
    <row r="3" spans="1:11" s="990" customFormat="1" ht="12.75" x14ac:dyDescent="0.2">
      <c r="A3" s="2557" t="s">
        <v>1496</v>
      </c>
      <c r="B3" s="2558"/>
      <c r="C3" s="2558"/>
      <c r="D3" s="2558"/>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 xml:space="preserve">  Rend Lake Area Reg Del System</v>
      </c>
      <c r="B1" s="2562"/>
      <c r="C1" s="2562"/>
      <c r="D1" s="2562"/>
      <c r="E1" s="2562"/>
    </row>
    <row r="2" spans="1:5" x14ac:dyDescent="0.2">
      <c r="A2" s="2563">
        <f>'Single Audit Cover'!E7</f>
        <v>13000000047</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5" t="s">
        <v>1232</v>
      </c>
    </row>
    <row r="10" spans="1:5" x14ac:dyDescent="0.2">
      <c r="A10" s="1036" t="s">
        <v>1231</v>
      </c>
      <c r="B10" s="1037" t="s">
        <v>1230</v>
      </c>
      <c r="C10" s="1037"/>
      <c r="D10" s="1038">
        <f>SUM('Acct Summary 7-8'!C7:K7)</f>
        <v>4600</v>
      </c>
    </row>
    <row r="11" spans="1:5" ht="18" customHeight="1" x14ac:dyDescent="0.2">
      <c r="A11" s="1036" t="s">
        <v>1229</v>
      </c>
      <c r="B11" s="1037"/>
      <c r="C11" s="1037"/>
    </row>
    <row r="12" spans="1:5" x14ac:dyDescent="0.2">
      <c r="A12" s="1036" t="s">
        <v>1228</v>
      </c>
      <c r="B12" s="1037" t="s">
        <v>1227</v>
      </c>
      <c r="C12" s="1037"/>
      <c r="D12" s="1039">
        <f>SUM('Revenues 9-14'!C112:D112,'Revenues 9-14'!F112:G112)</f>
        <v>94769</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99369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1222</v>
      </c>
      <c r="D32" s="1038">
        <f>SUM(D19:D30)</f>
        <v>99369</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1216</v>
      </c>
      <c r="C47" s="1047"/>
      <c r="D47" s="1048">
        <f>SUM(D35:D45)</f>
        <v>0</v>
      </c>
    </row>
    <row r="49" spans="2:4" x14ac:dyDescent="0.2">
      <c r="B49" s="1047" t="s">
        <v>1215</v>
      </c>
      <c r="C49" s="1047"/>
      <c r="D49" s="1048">
        <f>D32-D47</f>
        <v>99369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Rend Lake Area Reg Del System</v>
      </c>
      <c r="C1" s="2566"/>
      <c r="D1" s="2566"/>
      <c r="E1" s="2566"/>
      <c r="F1" s="2566"/>
      <c r="G1" s="2566"/>
      <c r="H1" s="2566"/>
      <c r="I1" s="2566"/>
      <c r="J1" s="2566"/>
      <c r="K1" s="2566"/>
      <c r="L1" s="2566"/>
      <c r="M1" s="2566"/>
    </row>
    <row r="2" spans="2:14" ht="15" x14ac:dyDescent="0.2">
      <c r="B2" s="2567">
        <f>'Single Audit Cover'!E7</f>
        <v>13000000047</v>
      </c>
      <c r="C2" s="2567"/>
      <c r="D2" s="2567"/>
      <c r="E2" s="2567"/>
      <c r="F2" s="2567"/>
      <c r="G2" s="2567"/>
      <c r="H2" s="2567"/>
      <c r="I2" s="2567"/>
      <c r="J2" s="2567"/>
      <c r="K2" s="2567"/>
      <c r="L2" s="2567"/>
      <c r="M2" s="2567"/>
      <c r="N2" s="1077"/>
    </row>
    <row r="3" spans="2:14" ht="15" x14ac:dyDescent="0.2">
      <c r="B3" s="2568" t="s">
        <v>1208</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5"/>
      <c r="J5" s="1915"/>
    </row>
    <row r="6" spans="2:14" x14ac:dyDescent="0.2">
      <c r="B6" s="1078"/>
      <c r="C6" s="1079"/>
      <c r="D6" s="1080" t="s">
        <v>1254</v>
      </c>
      <c r="E6" s="1081" t="s">
        <v>524</v>
      </c>
      <c r="F6" s="1082"/>
      <c r="G6" s="1083" t="s">
        <v>1711</v>
      </c>
      <c r="H6" s="1081"/>
      <c r="I6" s="1081"/>
      <c r="J6" s="191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Rend Lake Area Reg Del System</v>
      </c>
      <c r="B1" s="2579"/>
      <c r="C1" s="2579"/>
      <c r="D1" s="2579"/>
      <c r="E1" s="2579"/>
      <c r="F1" s="2579"/>
    </row>
    <row r="2" spans="1:7" ht="13.5" customHeight="1" x14ac:dyDescent="0.2">
      <c r="A2" s="2567">
        <f>'Single Audit Cover'!E7</f>
        <v>13000000047</v>
      </c>
      <c r="B2" s="2567"/>
      <c r="C2" s="2567"/>
      <c r="D2" s="2567"/>
      <c r="E2" s="2567"/>
      <c r="F2" s="2567"/>
      <c r="G2" s="1050"/>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1" t="s">
        <v>1705</v>
      </c>
      <c r="C6" s="295"/>
      <c r="D6" s="295"/>
    </row>
    <row r="7" spans="1:7" ht="60.95" customHeight="1" x14ac:dyDescent="0.2">
      <c r="A7" s="2578" t="s">
        <v>1706</v>
      </c>
      <c r="B7" s="2578"/>
      <c r="C7" s="2578"/>
      <c r="D7" s="2578"/>
      <c r="E7" s="2578"/>
      <c r="F7" s="2578"/>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8" t="s">
        <v>1708</v>
      </c>
      <c r="B13" s="2578"/>
      <c r="C13" s="2578"/>
      <c r="D13" s="2578"/>
      <c r="E13" s="2578"/>
      <c r="F13" s="2578"/>
    </row>
    <row r="14" spans="1:7" ht="9.75" customHeight="1" x14ac:dyDescent="0.2">
      <c r="C14" s="1035"/>
      <c r="D14" s="1035"/>
    </row>
    <row r="15" spans="1:7" ht="13.5" customHeight="1" x14ac:dyDescent="0.2">
      <c r="C15" s="1475" t="s">
        <v>1259</v>
      </c>
      <c r="D15" s="2576" t="s">
        <v>1258</v>
      </c>
      <c r="E15" s="2576"/>
      <c r="F15" s="2576"/>
    </row>
    <row r="16" spans="1:7" ht="13.5" customHeight="1" x14ac:dyDescent="0.2">
      <c r="A16" s="1057"/>
      <c r="B16" s="1051" t="s">
        <v>1257</v>
      </c>
      <c r="C16" s="1475" t="s">
        <v>1256</v>
      </c>
      <c r="D16" s="2577" t="s">
        <v>1571</v>
      </c>
      <c r="E16" s="2577"/>
      <c r="F16" s="2577"/>
    </row>
    <row r="17" spans="1:6" ht="20.45" customHeight="1" x14ac:dyDescent="0.2">
      <c r="A17" s="1058"/>
      <c r="B17" s="1059"/>
      <c r="C17" s="1060"/>
      <c r="D17" s="2571"/>
      <c r="E17" s="2571"/>
      <c r="F17" s="2571"/>
    </row>
    <row r="18" spans="1:6" ht="20.65" customHeight="1" x14ac:dyDescent="0.2">
      <c r="A18" s="1058"/>
      <c r="B18" s="1059"/>
      <c r="C18" s="1060"/>
      <c r="D18" s="2571"/>
      <c r="E18" s="2571"/>
      <c r="F18" s="2571"/>
    </row>
    <row r="19" spans="1:6" ht="20.65" customHeight="1" x14ac:dyDescent="0.2">
      <c r="A19" s="1058"/>
      <c r="B19" s="1059"/>
      <c r="C19" s="1060"/>
      <c r="D19" s="2571"/>
      <c r="E19" s="2571"/>
      <c r="F19" s="2571"/>
    </row>
    <row r="20" spans="1:6" ht="20.65" customHeight="1" x14ac:dyDescent="0.2">
      <c r="A20" s="1058"/>
      <c r="B20" s="1059"/>
      <c r="C20" s="1060"/>
      <c r="D20" s="2571"/>
      <c r="E20" s="2571"/>
      <c r="F20" s="2571"/>
    </row>
    <row r="21" spans="1:6" ht="20.65" customHeight="1" x14ac:dyDescent="0.2">
      <c r="A21" s="1058"/>
      <c r="B21" s="1059"/>
      <c r="C21" s="1060"/>
      <c r="D21" s="2571"/>
      <c r="E21" s="2571"/>
      <c r="F21" s="2571"/>
    </row>
    <row r="22" spans="1:6" ht="20.65" customHeight="1" x14ac:dyDescent="0.2">
      <c r="A22" s="1058"/>
      <c r="B22" s="1059"/>
      <c r="C22" s="1060"/>
      <c r="D22" s="2571"/>
      <c r="E22" s="2571"/>
      <c r="F22" s="2571"/>
    </row>
    <row r="23" spans="1:6" ht="20.65" customHeight="1" x14ac:dyDescent="0.2">
      <c r="A23" s="1058"/>
      <c r="B23" s="1059"/>
      <c r="C23" s="1060"/>
      <c r="D23" s="2571"/>
      <c r="E23" s="2571"/>
      <c r="F23" s="2571"/>
    </row>
    <row r="24" spans="1:6" ht="20.65" customHeight="1" x14ac:dyDescent="0.2">
      <c r="A24" s="1058"/>
      <c r="B24" s="1059"/>
      <c r="C24" s="1060"/>
      <c r="D24" s="2571"/>
      <c r="E24" s="2571"/>
      <c r="F24" s="2571"/>
    </row>
    <row r="25" spans="1:6" ht="20.65" customHeight="1" x14ac:dyDescent="0.2">
      <c r="A25" s="1058"/>
      <c r="B25" s="1059"/>
      <c r="C25" s="1060"/>
      <c r="D25" s="2571"/>
      <c r="E25" s="2571"/>
      <c r="F25" s="2571"/>
    </row>
    <row r="26" spans="1:6" ht="20.65" customHeight="1" x14ac:dyDescent="0.2">
      <c r="A26" s="1058"/>
      <c r="B26" s="1059"/>
      <c r="C26" s="1060"/>
      <c r="D26" s="2571"/>
      <c r="E26" s="2571"/>
      <c r="F26" s="2571"/>
    </row>
    <row r="27" spans="1:6" ht="20.65" customHeight="1" x14ac:dyDescent="0.2">
      <c r="A27" s="1058"/>
      <c r="B27" s="1059"/>
      <c r="C27" s="1060"/>
      <c r="D27" s="2571"/>
      <c r="E27" s="2571"/>
      <c r="F27" s="2571"/>
    </row>
    <row r="28" spans="1:6" ht="20.65" customHeight="1" x14ac:dyDescent="0.2">
      <c r="A28" s="1058"/>
      <c r="B28" s="1059"/>
      <c r="C28" s="1060"/>
      <c r="D28" s="2571"/>
      <c r="E28" s="2571"/>
      <c r="F28" s="2571"/>
    </row>
    <row r="29" spans="1:6" ht="20.65" customHeight="1" x14ac:dyDescent="0.2">
      <c r="A29" s="1058"/>
      <c r="B29" s="1059"/>
      <c r="C29" s="1060"/>
      <c r="D29" s="2571"/>
      <c r="E29" s="2571"/>
      <c r="F29" s="2571"/>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2" t="s">
        <v>1709</v>
      </c>
      <c r="B32" s="2572"/>
      <c r="C32" s="2572"/>
      <c r="D32" s="2572"/>
      <c r="E32" s="2572"/>
      <c r="F32" s="2572"/>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3">
        <f>+C33+C34</f>
        <v>0</v>
      </c>
      <c r="F34" s="2574"/>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5" t="s">
        <v>1573</v>
      </c>
      <c r="C49" s="2575"/>
      <c r="D49" s="2575"/>
      <c r="E49" s="1167"/>
    </row>
    <row r="50" spans="1:5" s="1075" customFormat="1" ht="3.75" customHeight="1" x14ac:dyDescent="0.2">
      <c r="A50" s="1074"/>
      <c r="B50" s="1474"/>
      <c r="C50" s="1474"/>
      <c r="D50" s="1474"/>
      <c r="E50" s="1167"/>
    </row>
    <row r="51" spans="1:5" s="1075" customFormat="1" ht="20.25" customHeight="1" x14ac:dyDescent="0.2">
      <c r="A51" s="1076">
        <v>6</v>
      </c>
      <c r="B51" s="2570" t="s">
        <v>1534</v>
      </c>
      <c r="C51" s="2570"/>
      <c r="D51" s="2570"/>
    </row>
    <row r="52" spans="1:5" ht="14.25" customHeight="1" x14ac:dyDescent="0.2">
      <c r="A52" s="1076"/>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D43" sqref="D4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2062</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6" t="s">
        <v>1989</v>
      </c>
      <c r="B88" s="2187"/>
      <c r="C88" s="2187"/>
      <c r="D88" s="2188"/>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Rend Lake Area Reg Del System</v>
      </c>
      <c r="C1" s="2594"/>
      <c r="D1" s="2594"/>
      <c r="E1" s="2594"/>
      <c r="F1" s="2594"/>
      <c r="G1" s="2594"/>
      <c r="H1" s="2594"/>
      <c r="I1" s="2594"/>
      <c r="J1" s="1177"/>
    </row>
    <row r="2" spans="2:10" s="295" customFormat="1" ht="12.75" customHeight="1" x14ac:dyDescent="0.2">
      <c r="B2" s="2595">
        <f>'Single Audit Cover'!E7</f>
        <v>13000000047</v>
      </c>
      <c r="C2" s="2596"/>
      <c r="D2" s="2596"/>
      <c r="E2" s="2596"/>
      <c r="F2" s="2596"/>
      <c r="G2" s="2596"/>
      <c r="H2" s="2596"/>
      <c r="I2" s="2596"/>
      <c r="J2" s="1177"/>
    </row>
    <row r="3" spans="2:10" s="295" customFormat="1" ht="12.75" customHeight="1" x14ac:dyDescent="0.2">
      <c r="B3" s="2597" t="s">
        <v>1274</v>
      </c>
      <c r="C3" s="2598"/>
      <c r="D3" s="2598"/>
      <c r="E3" s="2598"/>
      <c r="F3" s="2598"/>
      <c r="G3" s="2598"/>
      <c r="H3" s="2598"/>
      <c r="I3" s="2598"/>
      <c r="J3" s="1178"/>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7" t="s">
        <v>1273</v>
      </c>
      <c r="C7" s="2598"/>
      <c r="D7" s="2598"/>
      <c r="E7" s="2598"/>
      <c r="F7" s="2598"/>
      <c r="G7" s="2598"/>
      <c r="H7" s="2598"/>
      <c r="I7" s="2598"/>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9"/>
      <c r="D11" s="2599"/>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0"/>
      <c r="E29" s="2600"/>
      <c r="F29" s="2600"/>
      <c r="G29" s="2600"/>
      <c r="H29" s="2600"/>
      <c r="I29" s="2600"/>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1" t="s">
        <v>1728</v>
      </c>
      <c r="D37" s="2602"/>
      <c r="E37" s="2602"/>
      <c r="F37" s="2603"/>
      <c r="G37" s="2601" t="s">
        <v>1575</v>
      </c>
      <c r="H37" s="2602"/>
      <c r="I37" s="2603"/>
    </row>
    <row r="38" spans="2:9" ht="16.5" customHeight="1" x14ac:dyDescent="0.2">
      <c r="B38" s="1199"/>
      <c r="C38" s="2589"/>
      <c r="D38" s="2590"/>
      <c r="E38" s="2590"/>
      <c r="F38" s="2591"/>
      <c r="G38" s="2604"/>
      <c r="H38" s="2605"/>
      <c r="I38" s="2606"/>
    </row>
    <row r="39" spans="2:9" ht="16.5" customHeight="1" x14ac:dyDescent="0.2">
      <c r="B39" s="1199"/>
      <c r="C39" s="2589"/>
      <c r="D39" s="2590"/>
      <c r="E39" s="2590"/>
      <c r="F39" s="2591"/>
      <c r="G39" s="2592"/>
      <c r="H39" s="2592"/>
      <c r="I39" s="2592"/>
    </row>
    <row r="40" spans="2:9" ht="16.5" customHeight="1" x14ac:dyDescent="0.2">
      <c r="B40" s="1199"/>
      <c r="C40" s="2589"/>
      <c r="D40" s="2590"/>
      <c r="E40" s="2590"/>
      <c r="F40" s="2591"/>
      <c r="G40" s="2592"/>
      <c r="H40" s="2592"/>
      <c r="I40" s="2592"/>
    </row>
    <row r="41" spans="2:9" ht="16.5" customHeight="1" x14ac:dyDescent="0.2">
      <c r="B41" s="1199"/>
      <c r="C41" s="2589"/>
      <c r="D41" s="2590"/>
      <c r="E41" s="2590"/>
      <c r="F41" s="2591"/>
      <c r="G41" s="2592"/>
      <c r="H41" s="2592"/>
      <c r="I41" s="2592"/>
    </row>
    <row r="42" spans="2:9" ht="16.5" customHeight="1" x14ac:dyDescent="0.2">
      <c r="B42" s="1199"/>
      <c r="C42" s="2589"/>
      <c r="D42" s="2590"/>
      <c r="E42" s="2590"/>
      <c r="F42" s="2591"/>
      <c r="G42" s="2592"/>
      <c r="H42" s="2592"/>
      <c r="I42" s="2592"/>
    </row>
    <row r="43" spans="2:9" ht="16.5" customHeight="1" x14ac:dyDescent="0.2">
      <c r="B43" s="1199"/>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8"/>
      <c r="F49" s="2588"/>
      <c r="G49" s="2588"/>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Rend Lake Area Reg Del System</v>
      </c>
      <c r="C1" s="2593"/>
      <c r="D1" s="2593"/>
      <c r="E1" s="2593"/>
      <c r="F1" s="2593"/>
      <c r="G1" s="2593"/>
      <c r="H1" s="2593"/>
      <c r="I1" s="2593"/>
      <c r="J1" s="2593"/>
      <c r="K1" s="2593"/>
      <c r="L1" s="1143"/>
      <c r="M1" s="1143"/>
    </row>
    <row r="2" spans="1:13" ht="12" customHeight="1" x14ac:dyDescent="0.2">
      <c r="B2" s="2595">
        <f>'Single Audit Cover'!E7</f>
        <v>13000000047</v>
      </c>
      <c r="C2" s="2595"/>
      <c r="D2" s="2595"/>
      <c r="E2" s="2595"/>
      <c r="F2" s="2595"/>
      <c r="G2" s="2595"/>
      <c r="H2" s="2595"/>
      <c r="I2" s="2595"/>
      <c r="J2" s="2595"/>
      <c r="K2" s="2595"/>
      <c r="L2" s="1144"/>
      <c r="M2" s="1145"/>
    </row>
    <row r="3" spans="1:13" ht="10.35" customHeight="1" x14ac:dyDescent="0.2">
      <c r="B3" s="2609" t="s">
        <v>1274</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t="s">
        <v>2075</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8" t="s">
        <v>2076</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2077</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2063</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t="s">
        <v>2078</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t="s">
        <v>2079</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7" t="s">
        <v>2080</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Roman,Regular"A-5</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Rend Lake Area Reg Del System</v>
      </c>
      <c r="C1" s="2593"/>
      <c r="D1" s="2593"/>
      <c r="E1" s="2593"/>
      <c r="F1" s="2593"/>
      <c r="G1" s="2593"/>
      <c r="H1" s="2593"/>
      <c r="I1" s="2593"/>
      <c r="J1" s="2593"/>
      <c r="K1" s="2593"/>
      <c r="L1" s="1143"/>
      <c r="M1" s="1143"/>
    </row>
    <row r="2" spans="1:13" ht="12" customHeight="1" x14ac:dyDescent="0.2">
      <c r="B2" s="2595">
        <f>'Single Audit Cover'!E7</f>
        <v>13000000047</v>
      </c>
      <c r="C2" s="2595"/>
      <c r="D2" s="2595"/>
      <c r="E2" s="2595"/>
      <c r="F2" s="2595"/>
      <c r="G2" s="2595"/>
      <c r="H2" s="2595"/>
      <c r="I2" s="2595"/>
      <c r="J2" s="2595"/>
      <c r="K2" s="2595"/>
      <c r="L2" s="1144"/>
      <c r="M2" s="1145"/>
    </row>
    <row r="3" spans="1:13" ht="10.35" customHeight="1" x14ac:dyDescent="0.2">
      <c r="B3" s="2609" t="s">
        <v>1274</v>
      </c>
      <c r="C3" s="2609"/>
      <c r="D3" s="2609"/>
      <c r="E3" s="2609"/>
      <c r="F3" s="2609"/>
      <c r="G3" s="2609"/>
      <c r="H3" s="2609"/>
      <c r="I3" s="2609"/>
      <c r="J3" s="2609"/>
      <c r="K3" s="2609"/>
      <c r="L3" s="2035"/>
      <c r="M3" s="2035"/>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8"/>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7"/>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Rend Lake Area Reg Del System</v>
      </c>
      <c r="C1" s="2616"/>
      <c r="D1" s="2616"/>
      <c r="E1" s="2616"/>
      <c r="F1" s="2616"/>
      <c r="G1" s="2616"/>
      <c r="H1" s="2616"/>
      <c r="I1" s="2616"/>
      <c r="J1" s="2616"/>
      <c r="K1" s="2616"/>
      <c r="L1" s="1220"/>
    </row>
    <row r="2" spans="1:12" ht="12.75" customHeight="1" x14ac:dyDescent="0.2">
      <c r="B2" s="2617">
        <f>'Single Audit Cover'!E7</f>
        <v>13000000047</v>
      </c>
      <c r="C2" s="2617"/>
      <c r="D2" s="2617"/>
      <c r="E2" s="2617"/>
      <c r="F2" s="2617"/>
      <c r="G2" s="2617"/>
      <c r="H2" s="2617"/>
      <c r="I2" s="2617"/>
      <c r="J2" s="2617"/>
      <c r="K2" s="2617"/>
      <c r="L2" s="1221"/>
    </row>
    <row r="3" spans="1:12" ht="12.75" customHeight="1" x14ac:dyDescent="0.2">
      <c r="B3" s="2609" t="s">
        <v>1274</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1159</v>
      </c>
      <c r="C5" s="1035"/>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9"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0"/>
      <c r="G12" s="2600"/>
      <c r="H12" s="2600"/>
      <c r="I12" s="2600"/>
      <c r="J12" s="2600"/>
      <c r="K12" s="2600"/>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3"/>
      <c r="E14" s="2613"/>
      <c r="F14" s="2613"/>
      <c r="H14" s="1229" t="s">
        <v>1292</v>
      </c>
      <c r="I14" s="2614"/>
      <c r="J14" s="2614"/>
      <c r="K14" s="261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4"/>
      <c r="E16" s="2614"/>
      <c r="F16" s="2614"/>
      <c r="G16" s="2614"/>
      <c r="H16" s="2614"/>
      <c r="I16" s="2614"/>
      <c r="J16" s="2614"/>
      <c r="K16" s="2614"/>
      <c r="L16" s="300"/>
    </row>
    <row r="17" spans="2:12" ht="13.5" customHeight="1" x14ac:dyDescent="0.2">
      <c r="B17" s="1155" t="s">
        <v>1290</v>
      </c>
      <c r="C17" s="1155"/>
      <c r="D17" s="2615"/>
      <c r="E17" s="2615"/>
      <c r="F17" s="2615"/>
      <c r="G17" s="2615"/>
      <c r="H17" s="2615"/>
      <c r="I17" s="2615"/>
      <c r="J17" s="2615"/>
      <c r="K17" s="261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3" t="str">
        <f>'Single Audit Cover'!A7</f>
        <v xml:space="preserve">  Rend Lake Area Reg Del System</v>
      </c>
      <c r="C1" s="2593"/>
      <c r="D1" s="2593"/>
      <c r="E1" s="1239"/>
    </row>
    <row r="2" spans="2:5" s="1057" customFormat="1" ht="12.75" customHeight="1" x14ac:dyDescent="0.2">
      <c r="B2" s="2595">
        <f>'Single Audit Cover'!E7</f>
        <v>13000000047</v>
      </c>
      <c r="C2" s="2595"/>
      <c r="D2" s="2595"/>
      <c r="E2" s="1240"/>
    </row>
    <row r="3" spans="2:5" ht="12.75" customHeight="1" x14ac:dyDescent="0.2">
      <c r="B3" s="2609" t="s">
        <v>1743</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T41" sqref="T4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3">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456263</v>
      </c>
      <c r="E16" s="1546"/>
      <c r="F16" s="1545">
        <f>SUM('Acct Summary 7-8'!C17,'Acct Summary 7-8'!D17,'Acct Summary 7-8'!F17)</f>
        <v>397834</v>
      </c>
      <c r="G16" s="1546"/>
      <c r="H16" s="1545">
        <f>SUM(D16-F16)</f>
        <v>58429</v>
      </c>
      <c r="I16" s="1547"/>
      <c r="J16" s="1545">
        <f>SUM('Acct Summary 7-8'!C81,'Acct Summary 7-8'!D81,'Acct Summary 7-8'!F81,'Acct Summary 7-8'!I81)</f>
        <v>111386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1" sqref="A4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Rend Lake Area Reg Del System</v>
      </c>
      <c r="E7" s="368"/>
      <c r="G7" s="247"/>
      <c r="H7" s="364"/>
      <c r="I7" s="364"/>
      <c r="J7" s="364"/>
      <c r="K7" s="364"/>
      <c r="L7" s="307"/>
      <c r="M7" s="307"/>
      <c r="N7" s="307"/>
      <c r="O7" s="307"/>
      <c r="P7" s="307"/>
    </row>
    <row r="8" spans="1:18" ht="12.75" x14ac:dyDescent="0.2">
      <c r="A8" s="307"/>
      <c r="B8" s="307"/>
      <c r="C8" s="366" t="s">
        <v>1115</v>
      </c>
      <c r="D8" s="369">
        <f>COVER!A13</f>
        <v>13000000047</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3</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111386</v>
      </c>
      <c r="I12" s="380"/>
      <c r="J12" s="380"/>
      <c r="K12" s="1558">
        <f>TRUNC((H12/H13*100000),5)/100000</f>
        <v>0.2441267426</v>
      </c>
      <c r="L12" s="381"/>
      <c r="M12" s="337" t="s">
        <v>1134</v>
      </c>
      <c r="N12" s="337"/>
      <c r="O12" s="1561">
        <v>0.35</v>
      </c>
      <c r="P12" s="213"/>
      <c r="Q12" s="213"/>
    </row>
    <row r="13" spans="1:18" s="382" customFormat="1" ht="12.75" x14ac:dyDescent="0.2">
      <c r="A13" s="213"/>
      <c r="B13" s="377"/>
      <c r="C13" s="2206" t="s">
        <v>1313</v>
      </c>
      <c r="D13" s="2207"/>
      <c r="E13" s="213"/>
      <c r="F13" s="383" t="s">
        <v>788</v>
      </c>
      <c r="G13" s="378"/>
      <c r="H13" s="1550">
        <f>SUM('Acct Summary 7-8'!C8+'Acct Summary 7-8'!D8+'Acct Summary 7-8'!F8+'Acct Summary 7-8'!I8)+H14</f>
        <v>456263</v>
      </c>
      <c r="I13" s="380"/>
      <c r="J13" s="380"/>
      <c r="K13" s="1557"/>
      <c r="L13" s="213"/>
      <c r="M13" s="337" t="s">
        <v>1135</v>
      </c>
      <c r="N13" s="337"/>
      <c r="O13" s="1562">
        <f>(O11*O12)</f>
        <v>1.0499999999999998</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397834</v>
      </c>
      <c r="I17" s="380"/>
      <c r="J17" s="389"/>
      <c r="K17" s="1558">
        <f>TRUNC((H17/H18*100000),5)/100000</f>
        <v>0.87194008709999993</v>
      </c>
      <c r="L17" s="381"/>
      <c r="M17" s="390" t="s">
        <v>1161</v>
      </c>
      <c r="O17" s="1564" t="str">
        <f>IF(AND(O16="2", J20 &gt; 2),"1",IF(AND(O16 = "1", J20 &gt; 2),"2",IF(AND(O16="1", J20 &gt;1),"1","0")))</f>
        <v>0</v>
      </c>
      <c r="P17" s="213"/>
    </row>
    <row r="18" spans="1:18" s="382" customFormat="1" ht="11.25" x14ac:dyDescent="0.2">
      <c r="A18" s="213"/>
      <c r="B18" s="377"/>
      <c r="C18" s="2206" t="s">
        <v>1306</v>
      </c>
      <c r="D18" s="2207"/>
      <c r="E18" s="213"/>
      <c r="F18" s="391" t="s">
        <v>789</v>
      </c>
      <c r="G18" s="378"/>
      <c r="H18" s="1550">
        <f>SUM('Acct Summary 7-8'!C8+'Acct Summary 7-8'!D8+'Acct Summary 7-8'!F8+'Acct Summary 7-8'!I8)+H19</f>
        <v>456263</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03" t="s">
        <v>1395</v>
      </c>
      <c r="D24" s="2203"/>
      <c r="E24" s="213"/>
      <c r="F24" s="213" t="s">
        <v>442</v>
      </c>
      <c r="G24" s="378"/>
      <c r="H24" s="1550">
        <f>SUM('Assets-Liab 5-6'!C4+'Assets-Liab 5-6'!D4+'Assets-Liab 5-6'!F4+'Assets-Liab 5-6'!I4+'Assets-Liab 5-6'!C5+'Assets-Liab 5-6'!D5+'Assets-Liab 5-6'!F5+'Assets-Liab 5-6'!I5)</f>
        <v>111386</v>
      </c>
      <c r="I24" s="394"/>
      <c r="J24" s="394"/>
      <c r="K24" s="1554">
        <f>TRUNC(((H24/H25*100000)/100000),2)</f>
        <v>100.79</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1105.0944400000001</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e">
        <f>IF(K28&gt;=75,"4",IF(K28&gt;=50,"3",IF(K28&gt;=25,"2",1)))</f>
        <v>#DIV/0!</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t="e">
        <f>TRUNC(100-((((H28/H29*100))*100)/100),2)</f>
        <v>#DIV/0!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0</v>
      </c>
      <c r="I29" s="397"/>
      <c r="J29" s="397"/>
      <c r="K29" s="1557"/>
      <c r="L29" s="213"/>
      <c r="M29" s="337" t="s">
        <v>1135</v>
      </c>
      <c r="N29" s="337"/>
      <c r="O29" s="1562" t="e">
        <f>O27*O28</f>
        <v>#DIV/0!</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e">
        <f>IF(K32&gt;=75,"4",IF(K32&gt;=50,"3",IF(K32&gt;=25,"2",1)))</f>
        <v>#VALUE!</v>
      </c>
      <c r="P31" s="211"/>
    </row>
    <row r="32" spans="1:18" s="382" customFormat="1" ht="11.25" x14ac:dyDescent="0.2">
      <c r="A32" s="213"/>
      <c r="B32" s="377"/>
      <c r="C32" s="213" t="s">
        <v>842</v>
      </c>
      <c r="D32" s="213"/>
      <c r="E32" s="213"/>
      <c r="F32" s="213"/>
      <c r="G32" s="378"/>
      <c r="H32" s="1550">
        <f>'FP Info 3'!H37</f>
        <v>0</v>
      </c>
      <c r="I32" s="392"/>
      <c r="J32" s="392"/>
      <c r="K32" s="1554" t="e">
        <f>TRUNC(100-((((H32/H33*100))*100)/100),2)</f>
        <v>#VALUE!</v>
      </c>
      <c r="L32" s="381"/>
      <c r="M32" s="337" t="s">
        <v>1134</v>
      </c>
      <c r="N32" s="337"/>
      <c r="O32" s="1567">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7" t="e">
        <f>(O31*O32)</f>
        <v>#VALUE!</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t="e">
        <f>(O13+O20+O25+O29+O33)</f>
        <v>#DIV/0!</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D43" sqref="D43"/>
      <selection pane="bottomLeft" activeCell="D43" sqref="D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5"/>
      <c r="D3" s="1306"/>
      <c r="E3" s="1306"/>
      <c r="F3" s="1306"/>
      <c r="G3" s="1306"/>
      <c r="H3" s="1306"/>
      <c r="I3" s="1306"/>
      <c r="J3" s="1306"/>
      <c r="K3" s="1306"/>
      <c r="L3" s="1306"/>
      <c r="M3" s="1307"/>
      <c r="N3" s="1308"/>
    </row>
    <row r="4" spans="1:14" ht="13.5" customHeight="1" x14ac:dyDescent="0.2">
      <c r="A4" s="427" t="s">
        <v>1632</v>
      </c>
      <c r="B4" s="428"/>
      <c r="C4" s="1571">
        <v>111386</v>
      </c>
      <c r="D4" s="1572"/>
      <c r="E4" s="1572"/>
      <c r="F4" s="1572"/>
      <c r="G4" s="1572"/>
      <c r="H4" s="1572"/>
      <c r="I4" s="1572"/>
      <c r="J4" s="1573"/>
      <c r="K4" s="1572"/>
      <c r="L4" s="1572"/>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111386</v>
      </c>
      <c r="D13" s="1586">
        <f t="shared" ref="D13:L13" si="0">SUM(D4:D12)</f>
        <v>0</v>
      </c>
      <c r="E13" s="1586">
        <f t="shared" si="0"/>
        <v>0</v>
      </c>
      <c r="F13" s="1586">
        <f t="shared" si="0"/>
        <v>0</v>
      </c>
      <c r="G13" s="1586">
        <f t="shared" si="0"/>
        <v>0</v>
      </c>
      <c r="H13" s="1586">
        <f t="shared" si="0"/>
        <v>0</v>
      </c>
      <c r="I13" s="1586">
        <f t="shared" si="0"/>
        <v>0</v>
      </c>
      <c r="J13" s="1586">
        <f t="shared" si="0"/>
        <v>0</v>
      </c>
      <c r="K13" s="1586">
        <f t="shared" si="0"/>
        <v>0</v>
      </c>
      <c r="L13" s="1586">
        <f t="shared" si="0"/>
        <v>0</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c r="N16" s="1591"/>
    </row>
    <row r="17" spans="1:14" s="433" customFormat="1" ht="12.75" customHeight="1" x14ac:dyDescent="0.2">
      <c r="A17" s="431" t="s">
        <v>1386</v>
      </c>
      <c r="B17" s="432">
        <v>230</v>
      </c>
      <c r="C17" s="1581"/>
      <c r="D17" s="1581"/>
      <c r="E17" s="1581"/>
      <c r="F17" s="1581"/>
      <c r="G17" s="1581"/>
      <c r="H17" s="1581"/>
      <c r="I17" s="1581"/>
      <c r="J17" s="1581"/>
      <c r="K17" s="1581"/>
      <c r="L17" s="1581"/>
      <c r="M17" s="1573"/>
      <c r="N17" s="1591"/>
    </row>
    <row r="18" spans="1:14" s="433" customFormat="1" ht="12.75" customHeight="1" x14ac:dyDescent="0.2">
      <c r="A18" s="431" t="s">
        <v>1387</v>
      </c>
      <c r="B18" s="432">
        <v>240</v>
      </c>
      <c r="C18" s="1581"/>
      <c r="D18" s="1581"/>
      <c r="E18" s="1581"/>
      <c r="F18" s="1581"/>
      <c r="G18" s="1581"/>
      <c r="H18" s="1581"/>
      <c r="I18" s="1581"/>
      <c r="J18" s="1581"/>
      <c r="K18" s="1581"/>
      <c r="L18" s="1581"/>
      <c r="M18" s="1573"/>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535383</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535383</v>
      </c>
      <c r="N23" s="1593">
        <f>SUM(N21:N22)</f>
        <v>0</v>
      </c>
    </row>
    <row r="24" spans="1:14" ht="18" customHeight="1" thickTop="1" x14ac:dyDescent="0.2">
      <c r="A24" s="2217" t="s">
        <v>594</v>
      </c>
      <c r="B24" s="2218"/>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219" t="s">
        <v>526</v>
      </c>
      <c r="B35" s="222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105591</v>
      </c>
      <c r="D38" s="1572"/>
      <c r="E38" s="1572"/>
      <c r="F38" s="1572"/>
      <c r="G38" s="1572"/>
      <c r="H38" s="1572"/>
      <c r="I38" s="1572"/>
      <c r="J38" s="1573"/>
      <c r="K38" s="1572"/>
      <c r="L38" s="1585"/>
      <c r="M38" s="1603"/>
      <c r="N38" s="1603"/>
    </row>
    <row r="39" spans="1:14" s="307" customFormat="1" ht="13.5" customHeight="1" x14ac:dyDescent="0.2">
      <c r="A39" s="438" t="s">
        <v>339</v>
      </c>
      <c r="B39" s="432">
        <v>730</v>
      </c>
      <c r="C39" s="1572">
        <v>5795</v>
      </c>
      <c r="D39" s="1572"/>
      <c r="E39" s="1572"/>
      <c r="F39" s="1572"/>
      <c r="G39" s="1572"/>
      <c r="H39" s="1572"/>
      <c r="I39" s="1572"/>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535383</v>
      </c>
      <c r="N40" s="1603"/>
    </row>
    <row r="41" spans="1:14" ht="13.5" customHeight="1" thickBot="1" x14ac:dyDescent="0.25">
      <c r="A41" s="1425" t="s">
        <v>650</v>
      </c>
      <c r="B41" s="1404"/>
      <c r="C41" s="1593">
        <f>(SUM(C34,C37,C38,C39))</f>
        <v>111386</v>
      </c>
      <c r="D41" s="1593">
        <f t="shared" ref="D41:L41" si="2">SUM(D34,D37,D38:D39)</f>
        <v>0</v>
      </c>
      <c r="E41" s="1593">
        <f t="shared" si="2"/>
        <v>0</v>
      </c>
      <c r="F41" s="1593">
        <f t="shared" si="2"/>
        <v>0</v>
      </c>
      <c r="G41" s="1593">
        <f t="shared" si="2"/>
        <v>0</v>
      </c>
      <c r="H41" s="1593">
        <f t="shared" si="2"/>
        <v>0</v>
      </c>
      <c r="I41" s="1593">
        <f t="shared" si="2"/>
        <v>0</v>
      </c>
      <c r="J41" s="1593">
        <f t="shared" si="2"/>
        <v>0</v>
      </c>
      <c r="K41" s="1593">
        <f t="shared" si="2"/>
        <v>0</v>
      </c>
      <c r="L41" s="1593">
        <f t="shared" si="2"/>
        <v>0</v>
      </c>
      <c r="M41" s="1593">
        <f>SUM(M40)</f>
        <v>535383</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61" right="0.15" top="0.86" bottom="0" header="0.48" footer="0.1"/>
  <pageSetup scale="65" firstPageNumber="3"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3" sqref="D43"/>
      <selection pane="bottomLeft" activeCell="D43" sqref="D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0"/>
      <c r="D3" s="1311"/>
      <c r="E3" s="1311"/>
      <c r="F3" s="1311"/>
      <c r="G3" s="1311"/>
      <c r="H3" s="1311"/>
      <c r="I3" s="1311"/>
      <c r="J3" s="1311"/>
      <c r="K3" s="1312"/>
      <c r="L3" s="446"/>
    </row>
    <row r="4" spans="1:13" ht="15.75" customHeight="1" x14ac:dyDescent="0.2">
      <c r="A4" s="1536" t="s">
        <v>1482</v>
      </c>
      <c r="B4" s="1537">
        <v>1000</v>
      </c>
      <c r="C4" s="1605">
        <f>'Revenues 9-14'!C109</f>
        <v>874</v>
      </c>
      <c r="D4" s="1605">
        <f>'Revenues 9-14'!D109</f>
        <v>0</v>
      </c>
      <c r="E4" s="1605">
        <f>'Revenues 9-14'!E109</f>
        <v>0</v>
      </c>
      <c r="F4" s="1605">
        <f>'Revenues 9-14'!F109</f>
        <v>0</v>
      </c>
      <c r="G4" s="1605">
        <f>'Revenues 9-14'!G109</f>
        <v>0</v>
      </c>
      <c r="H4" s="1605">
        <f>'Revenues 9-14'!H109</f>
        <v>0</v>
      </c>
      <c r="I4" s="1605">
        <f>'Revenues 9-14'!I109</f>
        <v>0</v>
      </c>
      <c r="J4" s="1605">
        <f>'Revenues 9-14'!J109</f>
        <v>0</v>
      </c>
      <c r="K4" s="1605">
        <f>'Revenues 9-14'!K109</f>
        <v>0</v>
      </c>
      <c r="L4" s="325"/>
    </row>
    <row r="5" spans="1:13" ht="15.75" customHeight="1" x14ac:dyDescent="0.2">
      <c r="A5" s="1313" t="s">
        <v>1483</v>
      </c>
      <c r="B5" s="1314">
        <v>2000</v>
      </c>
      <c r="C5" s="1606">
        <f>'Revenues 9-14'!C114</f>
        <v>304033</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146756</v>
      </c>
      <c r="D6" s="1606">
        <f>'Revenues 9-14'!D170</f>
        <v>0</v>
      </c>
      <c r="E6" s="1606">
        <f>'Revenues 9-14'!E170</f>
        <v>0</v>
      </c>
      <c r="F6" s="1606">
        <f>'Revenues 9-14'!F170</f>
        <v>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4600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456263</v>
      </c>
      <c r="D8" s="1593">
        <f t="shared" ref="D8:K8" si="0">SUM(D4:D7)</f>
        <v>0</v>
      </c>
      <c r="E8" s="1593">
        <f t="shared" si="0"/>
        <v>0</v>
      </c>
      <c r="F8" s="1593">
        <f t="shared" si="0"/>
        <v>0</v>
      </c>
      <c r="G8" s="1593">
        <f t="shared" si="0"/>
        <v>0</v>
      </c>
      <c r="H8" s="1593">
        <f t="shared" si="0"/>
        <v>0</v>
      </c>
      <c r="I8" s="1593">
        <f t="shared" si="0"/>
        <v>0</v>
      </c>
      <c r="J8" s="1593">
        <f t="shared" si="0"/>
        <v>0</v>
      </c>
      <c r="K8" s="1593">
        <f t="shared" si="0"/>
        <v>0</v>
      </c>
      <c r="L8" s="325"/>
    </row>
    <row r="9" spans="1:13" ht="15.75" thickTop="1" x14ac:dyDescent="0.2">
      <c r="A9" s="449" t="s">
        <v>1634</v>
      </c>
      <c r="B9" s="450">
        <v>3998</v>
      </c>
      <c r="C9" s="1585">
        <v>0</v>
      </c>
      <c r="D9" s="1612"/>
      <c r="E9" s="1585"/>
      <c r="F9" s="1585"/>
      <c r="G9" s="1613"/>
      <c r="H9" s="1585"/>
      <c r="I9" s="1608" t="s">
        <v>1159</v>
      </c>
      <c r="J9" s="1582"/>
      <c r="K9" s="1585"/>
      <c r="L9" s="325"/>
    </row>
    <row r="10" spans="1:13" s="452" customFormat="1" ht="13.5" thickBot="1" x14ac:dyDescent="0.25">
      <c r="A10" s="1425" t="s">
        <v>1163</v>
      </c>
      <c r="B10" s="1406"/>
      <c r="C10" s="1593">
        <f>SUM(C8:C9)</f>
        <v>456263</v>
      </c>
      <c r="D10" s="1593">
        <f t="shared" ref="D10:K10" si="1">SUM(D8:D9)</f>
        <v>0</v>
      </c>
      <c r="E10" s="1593">
        <f t="shared" si="1"/>
        <v>0</v>
      </c>
      <c r="F10" s="1593">
        <f t="shared" si="1"/>
        <v>0</v>
      </c>
      <c r="G10" s="1593">
        <f t="shared" si="1"/>
        <v>0</v>
      </c>
      <c r="H10" s="1593">
        <f t="shared" si="1"/>
        <v>0</v>
      </c>
      <c r="I10" s="1593">
        <f t="shared" si="1"/>
        <v>0</v>
      </c>
      <c r="J10" s="1593">
        <f t="shared" si="1"/>
        <v>0</v>
      </c>
      <c r="K10" s="1593">
        <f t="shared" si="1"/>
        <v>0</v>
      </c>
      <c r="L10" s="451"/>
    </row>
    <row r="11" spans="1:13" s="452" customFormat="1" ht="16.7" customHeight="1" thickTop="1" x14ac:dyDescent="0.2">
      <c r="A11" s="2215" t="s">
        <v>1166</v>
      </c>
      <c r="B11" s="2216"/>
      <c r="C11" s="1601"/>
      <c r="D11" s="1602"/>
      <c r="E11" s="1602"/>
      <c r="F11" s="1602"/>
      <c r="G11" s="1602"/>
      <c r="H11" s="1602"/>
      <c r="I11" s="1602"/>
      <c r="J11" s="1602"/>
      <c r="K11" s="1614"/>
      <c r="L11" s="451"/>
    </row>
    <row r="12" spans="1:13" ht="15.75" customHeight="1" x14ac:dyDescent="0.2">
      <c r="A12" s="1313" t="s">
        <v>453</v>
      </c>
      <c r="B12" s="1315">
        <v>1000</v>
      </c>
      <c r="C12" s="1605">
        <f>'Expenditures 15-22'!K33</f>
        <v>103</v>
      </c>
      <c r="D12" s="1615" t="s">
        <v>1159</v>
      </c>
      <c r="E12" s="1574" t="s">
        <v>1159</v>
      </c>
      <c r="F12" s="1574" t="s">
        <v>1159</v>
      </c>
      <c r="G12" s="1605">
        <f>'Expenditures 15-22'!K229</f>
        <v>0</v>
      </c>
      <c r="H12" s="1616"/>
      <c r="I12" s="1574" t="s">
        <v>1159</v>
      </c>
      <c r="J12" s="1574" t="s">
        <v>1159</v>
      </c>
      <c r="K12" s="1616" t="s">
        <v>1159</v>
      </c>
      <c r="L12" s="325"/>
    </row>
    <row r="13" spans="1:13" ht="15.75" customHeight="1" x14ac:dyDescent="0.2">
      <c r="A13" s="1313" t="s">
        <v>454</v>
      </c>
      <c r="B13" s="1315">
        <v>2000</v>
      </c>
      <c r="C13" s="1606">
        <f>'Expenditures 15-22'!K74</f>
        <v>93698</v>
      </c>
      <c r="D13" s="1606">
        <f>'Expenditures 15-22'!K129</f>
        <v>0</v>
      </c>
      <c r="E13" s="1575" t="s">
        <v>1159</v>
      </c>
      <c r="F13" s="1606">
        <f>'Expenditures 15-22'!K184</f>
        <v>0</v>
      </c>
      <c r="G13" s="1606">
        <f>'Expenditures 15-22'!K279</f>
        <v>0</v>
      </c>
      <c r="H13" s="1606">
        <f>'Expenditures 15-22'!K303</f>
        <v>0</v>
      </c>
      <c r="I13" s="1574" t="s">
        <v>1159</v>
      </c>
      <c r="J13" s="1606">
        <f>'Expenditures 15-22'!K330</f>
        <v>0</v>
      </c>
      <c r="K13" s="1617">
        <f>'Expenditures 15-22'!K352</f>
        <v>0</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304033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397834</v>
      </c>
      <c r="D17" s="1593">
        <f t="shared" si="2"/>
        <v>0</v>
      </c>
      <c r="E17" s="1593">
        <f t="shared" si="2"/>
        <v>0</v>
      </c>
      <c r="F17" s="1593">
        <f t="shared" si="2"/>
        <v>0</v>
      </c>
      <c r="G17" s="1593">
        <f t="shared" si="2"/>
        <v>0</v>
      </c>
      <c r="H17" s="1593">
        <f t="shared" si="2"/>
        <v>0</v>
      </c>
      <c r="I17" s="1574"/>
      <c r="J17" s="1593">
        <f>SUM(J12:J16)</f>
        <v>0</v>
      </c>
      <c r="K17" s="1593">
        <f>SUM(K12:K16)</f>
        <v>0</v>
      </c>
      <c r="L17" s="325"/>
    </row>
    <row r="18" spans="1:12" ht="15" customHeight="1" thickTop="1" x14ac:dyDescent="0.2">
      <c r="A18" s="1429" t="s">
        <v>1635</v>
      </c>
      <c r="B18" s="1430">
        <v>4180</v>
      </c>
      <c r="C18" s="1605">
        <f t="shared" ref="C18:H18" si="3">C9</f>
        <v>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397834</v>
      </c>
      <c r="D19" s="1593">
        <f t="shared" si="4"/>
        <v>0</v>
      </c>
      <c r="E19" s="1593">
        <f t="shared" si="4"/>
        <v>0</v>
      </c>
      <c r="F19" s="1593">
        <f t="shared" si="4"/>
        <v>0</v>
      </c>
      <c r="G19" s="1593">
        <f t="shared" si="4"/>
        <v>0</v>
      </c>
      <c r="H19" s="1593">
        <f t="shared" si="4"/>
        <v>0</v>
      </c>
      <c r="I19" s="1574"/>
      <c r="J19" s="1593">
        <f>SUM(J17:J18)</f>
        <v>0</v>
      </c>
      <c r="K19" s="1593">
        <f>SUM(K17:K18)</f>
        <v>0</v>
      </c>
      <c r="L19" s="325"/>
    </row>
    <row r="20" spans="1:12" ht="16.5" thickTop="1" thickBot="1" x14ac:dyDescent="0.25">
      <c r="A20" s="2231" t="s">
        <v>1636</v>
      </c>
      <c r="B20" s="2232"/>
      <c r="C20" s="1621">
        <f>C8-C17</f>
        <v>58429</v>
      </c>
      <c r="D20" s="1621">
        <f t="shared" ref="D20:K20" si="5">D8-D17</f>
        <v>0</v>
      </c>
      <c r="E20" s="1621">
        <f t="shared" si="5"/>
        <v>0</v>
      </c>
      <c r="F20" s="1621">
        <f t="shared" si="5"/>
        <v>0</v>
      </c>
      <c r="G20" s="1621">
        <f t="shared" si="5"/>
        <v>0</v>
      </c>
      <c r="H20" s="1621">
        <f t="shared" si="5"/>
        <v>0</v>
      </c>
      <c r="I20" s="1621">
        <f t="shared" si="5"/>
        <v>0</v>
      </c>
      <c r="J20" s="1621">
        <f t="shared" si="5"/>
        <v>0</v>
      </c>
      <c r="K20" s="1621">
        <f t="shared" si="5"/>
        <v>0</v>
      </c>
      <c r="L20" s="325"/>
    </row>
    <row r="21" spans="1:12" ht="16.7" customHeight="1" thickTop="1" x14ac:dyDescent="0.2">
      <c r="A21" s="2243" t="s">
        <v>591</v>
      </c>
      <c r="B21" s="2244"/>
      <c r="C21" s="1601"/>
      <c r="D21" s="1602"/>
      <c r="E21" s="1602"/>
      <c r="F21" s="1602"/>
      <c r="G21" s="1602"/>
      <c r="H21" s="1602"/>
      <c r="I21" s="1602"/>
      <c r="J21" s="1602"/>
      <c r="K21" s="1614"/>
      <c r="L21" s="453"/>
    </row>
    <row r="22" spans="1:12" ht="15.75" customHeight="1" collapsed="1" x14ac:dyDescent="0.2">
      <c r="A22" s="2239" t="s">
        <v>592</v>
      </c>
      <c r="B22" s="2240"/>
      <c r="C22" s="1581"/>
      <c r="D22" s="1581"/>
      <c r="E22" s="1581"/>
      <c r="F22" s="1581"/>
      <c r="G22" s="1581"/>
      <c r="H22" s="1581"/>
      <c r="I22" s="1581"/>
      <c r="J22" s="1581"/>
      <c r="K22" s="1581"/>
      <c r="L22" s="325"/>
    </row>
    <row r="23" spans="1:12" s="433" customFormat="1" ht="15.75" customHeight="1" x14ac:dyDescent="0.2">
      <c r="A23" s="2235" t="s">
        <v>290</v>
      </c>
      <c r="B23" s="2236"/>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7" t="s">
        <v>974</v>
      </c>
      <c r="B32" s="2238"/>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5" t="s">
        <v>371</v>
      </c>
      <c r="B44" s="2246"/>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1" t="s">
        <v>437</v>
      </c>
      <c r="B76" s="2222"/>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3" t="s">
        <v>1167</v>
      </c>
      <c r="B77" s="2224"/>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7" t="s">
        <v>593</v>
      </c>
      <c r="B78" s="2228"/>
      <c r="C78" s="1628">
        <f t="shared" ref="C78:K78" si="9">C20+C77</f>
        <v>58429</v>
      </c>
      <c r="D78" s="1628">
        <f t="shared" si="9"/>
        <v>0</v>
      </c>
      <c r="E78" s="1628">
        <f t="shared" si="9"/>
        <v>0</v>
      </c>
      <c r="F78" s="1628">
        <f t="shared" si="9"/>
        <v>0</v>
      </c>
      <c r="G78" s="1628">
        <f t="shared" si="9"/>
        <v>0</v>
      </c>
      <c r="H78" s="1628">
        <f t="shared" si="9"/>
        <v>0</v>
      </c>
      <c r="I78" s="1628">
        <f t="shared" si="9"/>
        <v>0</v>
      </c>
      <c r="J78" s="1628">
        <f t="shared" si="9"/>
        <v>0</v>
      </c>
      <c r="K78" s="1628">
        <f t="shared" si="9"/>
        <v>0</v>
      </c>
      <c r="L78" s="457"/>
    </row>
    <row r="79" spans="1:12" ht="13.5" thickTop="1" x14ac:dyDescent="0.2">
      <c r="A79" s="1843" t="str">
        <f>"Fund Balances - July 1, "&amp;'AFR20'!E2-1</f>
        <v>Fund Balances - July 1, 2019</v>
      </c>
      <c r="B79" s="458"/>
      <c r="C79" s="1582">
        <v>52957</v>
      </c>
      <c r="D79" s="1629"/>
      <c r="E79" s="1629"/>
      <c r="F79" s="1629"/>
      <c r="G79" s="1629"/>
      <c r="H79" s="1629"/>
      <c r="I79" s="1629"/>
      <c r="J79" s="1629"/>
      <c r="K79" s="1629"/>
      <c r="L79" s="325"/>
    </row>
    <row r="80" spans="1:12" x14ac:dyDescent="0.2">
      <c r="A80" s="2233" t="s">
        <v>1772</v>
      </c>
      <c r="B80" s="2234"/>
      <c r="C80" s="1573"/>
      <c r="D80" s="1573"/>
      <c r="E80" s="1573"/>
      <c r="F80" s="1573"/>
      <c r="G80" s="1573"/>
      <c r="H80" s="1573"/>
      <c r="I80" s="1573"/>
      <c r="J80" s="1573"/>
      <c r="K80" s="1573"/>
      <c r="L80" s="325"/>
    </row>
    <row r="81" spans="1:12" ht="13.5" thickBot="1" x14ac:dyDescent="0.25">
      <c r="A81" s="2225" t="str">
        <f>"Fund Balances - June 30, "&amp;'AFR20'!E2</f>
        <v>Fund Balances - June 30, 2020</v>
      </c>
      <c r="B81" s="2226"/>
      <c r="C81" s="1593">
        <f>(SUM(C78:C80))</f>
        <v>111386</v>
      </c>
      <c r="D81" s="1593">
        <f>SUM(D78:D80)</f>
        <v>0</v>
      </c>
      <c r="E81" s="1593">
        <f t="shared" ref="E81:K81" si="10">SUM(E78:E80)</f>
        <v>0</v>
      </c>
      <c r="F81" s="1593">
        <f t="shared" si="10"/>
        <v>0</v>
      </c>
      <c r="G81" s="1593">
        <f t="shared" si="10"/>
        <v>0</v>
      </c>
      <c r="H81" s="1593">
        <f t="shared" si="10"/>
        <v>0</v>
      </c>
      <c r="I81" s="1593">
        <f t="shared" si="10"/>
        <v>0</v>
      </c>
      <c r="J81" s="1593">
        <f t="shared" si="10"/>
        <v>0</v>
      </c>
      <c r="K81" s="1593">
        <f t="shared" si="10"/>
        <v>0</v>
      </c>
      <c r="L81" s="325"/>
    </row>
    <row r="82" spans="1:12" ht="0.75" customHeight="1" thickTop="1" thickBot="1" x14ac:dyDescent="0.25">
      <c r="A82" s="459" t="s">
        <v>340</v>
      </c>
      <c r="B82" s="460"/>
      <c r="C82" s="461">
        <f>(C81-C79)</f>
        <v>58429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0.52456323056757581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8000000000000003" right="0.2" top="1" bottom="0.32" header="0.48" footer="0.17"/>
  <pageSetup scale="70"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7" activePane="bottomLeft" state="frozen"/>
      <selection activeCell="D43" sqref="D43"/>
      <selection pane="bottomLeft"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c r="D5" s="1585"/>
      <c r="E5" s="1572"/>
      <c r="F5" s="1630"/>
      <c r="G5" s="1572"/>
      <c r="H5" s="1572"/>
      <c r="I5" s="1572"/>
      <c r="J5" s="1573"/>
      <c r="K5" s="1572"/>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410</v>
      </c>
      <c r="B8" s="429">
        <v>1150</v>
      </c>
      <c r="C8" s="1579"/>
      <c r="D8" s="1579"/>
      <c r="E8" s="1581"/>
      <c r="F8" s="1581"/>
      <c r="G8" s="1585"/>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874</v>
      </c>
      <c r="D65" s="1572"/>
      <c r="E65" s="1572"/>
      <c r="F65" s="1573"/>
      <c r="G65" s="1572"/>
      <c r="H65" s="1572"/>
      <c r="I65" s="1572"/>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874</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c r="D107" s="1572"/>
      <c r="E107" s="1572"/>
      <c r="F107" s="1572"/>
      <c r="G107" s="1572"/>
      <c r="H107" s="1572"/>
      <c r="I107" s="1572"/>
      <c r="J107" s="1573"/>
      <c r="K107" s="1572"/>
    </row>
    <row r="108" spans="1:12" ht="12.75" customHeight="1" thickBot="1" x14ac:dyDescent="0.25">
      <c r="A108" s="1405" t="s">
        <v>484</v>
      </c>
      <c r="B108" s="1407"/>
      <c r="C108" s="1632">
        <f>SUM(C95:C107)</f>
        <v>0</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874</v>
      </c>
      <c r="D109" s="1640">
        <f t="shared" si="4"/>
        <v>0</v>
      </c>
      <c r="E109" s="1640">
        <f t="shared" si="4"/>
        <v>0</v>
      </c>
      <c r="F109" s="1640">
        <f t="shared" si="4"/>
        <v>0</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209264</v>
      </c>
      <c r="D111" s="1585"/>
      <c r="E111" s="1639"/>
      <c r="F111" s="1585"/>
      <c r="G111" s="1585"/>
      <c r="H111" s="1639"/>
      <c r="I111" s="1574"/>
      <c r="J111" s="1574"/>
      <c r="K111" s="1574"/>
    </row>
    <row r="112" spans="1:12" ht="12.75" customHeight="1" x14ac:dyDescent="0.2">
      <c r="A112" s="427" t="s">
        <v>819</v>
      </c>
      <c r="B112" s="429">
        <v>2200</v>
      </c>
      <c r="C112" s="1631">
        <v>94769</v>
      </c>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304033</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c r="D117" s="1585"/>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0</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146756</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146756</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c r="G152" s="1573"/>
      <c r="H152" s="1574"/>
      <c r="I152" s="1574"/>
      <c r="J152" s="1574"/>
      <c r="K152" s="1574"/>
    </row>
    <row r="153" spans="1:11" ht="12.75" customHeight="1" x14ac:dyDescent="0.2">
      <c r="A153" s="427" t="s">
        <v>1048</v>
      </c>
      <c r="B153" s="478">
        <v>3510</v>
      </c>
      <c r="C153" s="1631"/>
      <c r="D153" s="1572"/>
      <c r="E153" s="1639"/>
      <c r="F153" s="1572"/>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0</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9" t="s">
        <v>395</v>
      </c>
      <c r="B169" s="2250"/>
      <c r="C169" s="1657">
        <f t="shared" ref="C169:K169" si="6">SUM(C132,C141,C145,C146:C150,C155,C156:C167,C168)</f>
        <v>146756</v>
      </c>
      <c r="D169" s="1657">
        <f t="shared" si="6"/>
        <v>0</v>
      </c>
      <c r="E169" s="1657">
        <f t="shared" si="6"/>
        <v>0</v>
      </c>
      <c r="F169" s="1657">
        <f t="shared" si="6"/>
        <v>0</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146756</v>
      </c>
      <c r="D170" s="1640">
        <f t="shared" si="7"/>
        <v>0</v>
      </c>
      <c r="E170" s="1640">
        <f t="shared" si="7"/>
        <v>0</v>
      </c>
      <c r="F170" s="1640">
        <f t="shared" si="7"/>
        <v>0</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1" t="s">
        <v>1475</v>
      </c>
      <c r="B172" s="2252"/>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5" t="s">
        <v>1646</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9" t="s">
        <v>1645</v>
      </c>
      <c r="B176" s="2260"/>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7" t="s">
        <v>780</v>
      </c>
      <c r="B181" s="225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1780</v>
      </c>
      <c r="B182" s="2254"/>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0</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v>4600</v>
      </c>
      <c r="D220" s="1572"/>
      <c r="E220" s="1574"/>
      <c r="F220" s="1574"/>
      <c r="G220" s="1572"/>
      <c r="H220" s="1574"/>
      <c r="I220" s="1574"/>
      <c r="J220" s="1574"/>
      <c r="K220" s="1574"/>
    </row>
    <row r="221" spans="1:11" ht="12.75" customHeight="1" thickBot="1" x14ac:dyDescent="0.25">
      <c r="A221" s="1414" t="s">
        <v>1076</v>
      </c>
      <c r="B221" s="1415"/>
      <c r="C221" s="1632">
        <f>SUM(C219:C220)</f>
        <v>4600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c r="D263" s="1650"/>
      <c r="E263" s="1574"/>
      <c r="F263" s="1650"/>
      <c r="G263" s="1650"/>
      <c r="H263" s="1574"/>
      <c r="I263" s="1574"/>
      <c r="J263" s="1574"/>
      <c r="K263" s="1574"/>
    </row>
    <row r="264" spans="1:11" ht="12.75" customHeight="1" thickTop="1" thickBot="1" x14ac:dyDescent="0.25">
      <c r="A264" s="427" t="s">
        <v>374</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4600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4600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456263</v>
      </c>
      <c r="D268" s="1640">
        <f t="shared" si="12"/>
        <v>0</v>
      </c>
      <c r="E268" s="1640">
        <f t="shared" si="12"/>
        <v>0</v>
      </c>
      <c r="F268" s="1640">
        <f t="shared" si="12"/>
        <v>0</v>
      </c>
      <c r="G268" s="1640">
        <f t="shared" si="12"/>
        <v>0</v>
      </c>
      <c r="H268" s="1640">
        <f t="shared" si="12"/>
        <v>0</v>
      </c>
      <c r="I268" s="1640">
        <f t="shared" si="12"/>
        <v>0</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36" right="0.15" top="0.74" bottom="0.39" header="0.48" footer="0.17"/>
  <pageSetup scale="70" firstPageNumber="7"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T41" sqref="T41"/>
      <selection pane="bottomLeft" activeCell="E45" sqref="E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c r="D5" s="1572"/>
      <c r="E5" s="1572"/>
      <c r="F5" s="1572"/>
      <c r="G5" s="1572"/>
      <c r="H5" s="1572"/>
      <c r="I5" s="1573"/>
      <c r="J5" s="1573"/>
      <c r="K5" s="1671">
        <f>SUM(C5:J5)</f>
        <v>0</v>
      </c>
      <c r="L5" s="1572"/>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c r="D8" s="1572"/>
      <c r="E8" s="1572"/>
      <c r="F8" s="1572"/>
      <c r="G8" s="1572"/>
      <c r="H8" s="1572"/>
      <c r="I8" s="1573"/>
      <c r="J8" s="1573"/>
      <c r="K8" s="1671">
        <f t="shared" si="0"/>
        <v>0</v>
      </c>
      <c r="L8" s="1572"/>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c r="D10" s="1572"/>
      <c r="E10" s="1572"/>
      <c r="F10" s="1572"/>
      <c r="G10" s="1572"/>
      <c r="H10" s="1572"/>
      <c r="I10" s="1573"/>
      <c r="J10" s="1573"/>
      <c r="K10" s="1671">
        <f t="shared" si="0"/>
        <v>0</v>
      </c>
      <c r="L10" s="1572"/>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v>103</v>
      </c>
      <c r="G13" s="1572"/>
      <c r="H13" s="1572"/>
      <c r="I13" s="1573"/>
      <c r="J13" s="1573"/>
      <c r="K13" s="1671">
        <f t="shared" si="0"/>
        <v>103</v>
      </c>
      <c r="L13" s="1572"/>
    </row>
    <row r="14" spans="1:14" x14ac:dyDescent="0.2">
      <c r="A14" s="1273" t="s">
        <v>957</v>
      </c>
      <c r="B14" s="503">
        <v>1500</v>
      </c>
      <c r="C14" s="1572"/>
      <c r="D14" s="1572"/>
      <c r="E14" s="1572"/>
      <c r="F14" s="1572"/>
      <c r="G14" s="1572"/>
      <c r="H14" s="1572"/>
      <c r="I14" s="1573"/>
      <c r="J14" s="1573"/>
      <c r="K14" s="1671">
        <f t="shared" si="0"/>
        <v>0</v>
      </c>
      <c r="L14" s="1572"/>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0</v>
      </c>
      <c r="D33" s="1673">
        <f t="shared" ref="D33:L33" si="1">SUM(D5:D32)</f>
        <v>0</v>
      </c>
      <c r="E33" s="1673">
        <f t="shared" si="1"/>
        <v>0</v>
      </c>
      <c r="F33" s="1673">
        <f t="shared" si="1"/>
        <v>103</v>
      </c>
      <c r="G33" s="1673">
        <f t="shared" si="1"/>
        <v>0</v>
      </c>
      <c r="H33" s="1673">
        <f t="shared" si="1"/>
        <v>0</v>
      </c>
      <c r="I33" s="1673">
        <f t="shared" si="1"/>
        <v>0</v>
      </c>
      <c r="J33" s="1673">
        <f t="shared" si="1"/>
        <v>0</v>
      </c>
      <c r="K33" s="1673">
        <f t="shared" si="1"/>
        <v>103</v>
      </c>
      <c r="L33" s="1673">
        <f t="shared" si="1"/>
        <v>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v>1800</v>
      </c>
      <c r="G37" s="1572"/>
      <c r="H37" s="1572"/>
      <c r="I37" s="1573"/>
      <c r="J37" s="1573"/>
      <c r="K37" s="1671">
        <f t="shared" si="2"/>
        <v>1800</v>
      </c>
      <c r="L37" s="1572">
        <v>1800</v>
      </c>
    </row>
    <row r="38" spans="1:14" x14ac:dyDescent="0.2">
      <c r="A38" s="1273" t="s">
        <v>196</v>
      </c>
      <c r="B38" s="503">
        <v>2130</v>
      </c>
      <c r="C38" s="1572"/>
      <c r="D38" s="1572"/>
      <c r="E38" s="1572"/>
      <c r="F38" s="1572"/>
      <c r="G38" s="1572"/>
      <c r="H38" s="1572"/>
      <c r="I38" s="1573"/>
      <c r="J38" s="1573"/>
      <c r="K38" s="1671">
        <f t="shared" si="2"/>
        <v>0</v>
      </c>
      <c r="L38" s="1572"/>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0</v>
      </c>
      <c r="F42" s="1673">
        <f t="shared" si="3"/>
        <v>1800</v>
      </c>
      <c r="G42" s="1673">
        <f t="shared" si="3"/>
        <v>0</v>
      </c>
      <c r="H42" s="1673">
        <f t="shared" si="3"/>
        <v>0</v>
      </c>
      <c r="I42" s="1673">
        <f t="shared" si="3"/>
        <v>0</v>
      </c>
      <c r="J42" s="1673">
        <f t="shared" si="3"/>
        <v>0</v>
      </c>
      <c r="K42" s="1673">
        <f t="shared" si="3"/>
        <v>1800</v>
      </c>
      <c r="L42" s="1673">
        <f t="shared" si="3"/>
        <v>1800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22293</v>
      </c>
      <c r="D44" s="1585">
        <v>3121</v>
      </c>
      <c r="E44" s="1585">
        <v>2685</v>
      </c>
      <c r="F44" s="1585"/>
      <c r="G44" s="1585"/>
      <c r="H44" s="1585"/>
      <c r="I44" s="1573"/>
      <c r="J44" s="1573"/>
      <c r="K44" s="1677">
        <f>SUM(C44:J44)</f>
        <v>28099</v>
      </c>
      <c r="L44" s="1585">
        <v>42548</v>
      </c>
    </row>
    <row r="45" spans="1:14" x14ac:dyDescent="0.2">
      <c r="A45" s="1273" t="s">
        <v>810</v>
      </c>
      <c r="B45" s="503">
        <v>2220</v>
      </c>
      <c r="C45" s="1572"/>
      <c r="D45" s="1572"/>
      <c r="E45" s="1572"/>
      <c r="F45" s="1572"/>
      <c r="G45" s="1572"/>
      <c r="H45" s="1572"/>
      <c r="I45" s="1573"/>
      <c r="J45" s="1573"/>
      <c r="K45" s="1677">
        <f>SUM(C45:J45)</f>
        <v>0</v>
      </c>
      <c r="L45" s="1572"/>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22293</v>
      </c>
      <c r="D47" s="1673">
        <f t="shared" ref="D47:K47" si="4">SUM(D44:D46)</f>
        <v>3121</v>
      </c>
      <c r="E47" s="1673">
        <f t="shared" si="4"/>
        <v>2685</v>
      </c>
      <c r="F47" s="1673">
        <f t="shared" si="4"/>
        <v>0</v>
      </c>
      <c r="G47" s="1673">
        <f t="shared" si="4"/>
        <v>0</v>
      </c>
      <c r="H47" s="1673">
        <f t="shared" si="4"/>
        <v>0</v>
      </c>
      <c r="I47" s="1673">
        <f t="shared" si="4"/>
        <v>0</v>
      </c>
      <c r="J47" s="1673">
        <f t="shared" si="4"/>
        <v>0</v>
      </c>
      <c r="K47" s="1673">
        <f t="shared" si="4"/>
        <v>28099</v>
      </c>
      <c r="L47" s="1673">
        <f>SUM(L44:L46)</f>
        <v>42548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c r="F49" s="1585"/>
      <c r="G49" s="1585"/>
      <c r="H49" s="1585"/>
      <c r="I49" s="1573"/>
      <c r="J49" s="1573"/>
      <c r="K49" s="1677">
        <f>SUM(C49:J49)</f>
        <v>0</v>
      </c>
      <c r="L49" s="1585"/>
    </row>
    <row r="50" spans="1:14" x14ac:dyDescent="0.2">
      <c r="A50" s="1273" t="s">
        <v>813</v>
      </c>
      <c r="B50" s="503">
        <v>2320</v>
      </c>
      <c r="C50" s="1572">
        <v>53002</v>
      </c>
      <c r="D50" s="1572">
        <v>6819</v>
      </c>
      <c r="E50" s="1572">
        <v>2862</v>
      </c>
      <c r="F50" s="1572">
        <v>1048</v>
      </c>
      <c r="G50" s="1572"/>
      <c r="H50" s="1572"/>
      <c r="I50" s="1573"/>
      <c r="J50" s="1573"/>
      <c r="K50" s="1677">
        <f>SUM(C50:J50)</f>
        <v>63731</v>
      </c>
      <c r="L50" s="1572">
        <v>63040</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53002</v>
      </c>
      <c r="D53" s="1673">
        <f t="shared" ref="D53:L53" si="5">SUM(D49:D52)</f>
        <v>6819</v>
      </c>
      <c r="E53" s="1673">
        <f t="shared" si="5"/>
        <v>2862</v>
      </c>
      <c r="F53" s="1673">
        <f t="shared" si="5"/>
        <v>1048</v>
      </c>
      <c r="G53" s="1673">
        <f t="shared" si="5"/>
        <v>0</v>
      </c>
      <c r="H53" s="1673">
        <f t="shared" si="5"/>
        <v>0</v>
      </c>
      <c r="I53" s="1673">
        <f t="shared" si="5"/>
        <v>0</v>
      </c>
      <c r="J53" s="1673">
        <f t="shared" si="5"/>
        <v>0</v>
      </c>
      <c r="K53" s="1673">
        <f t="shared" si="5"/>
        <v>63731</v>
      </c>
      <c r="L53" s="1673">
        <f t="shared" si="5"/>
        <v>63040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c r="D55" s="1585"/>
      <c r="E55" s="1585"/>
      <c r="F55" s="1585"/>
      <c r="G55" s="1585"/>
      <c r="H55" s="1585"/>
      <c r="I55" s="1573"/>
      <c r="J55" s="1573"/>
      <c r="K55" s="1677">
        <f>SUM(C55:J55)</f>
        <v>0</v>
      </c>
      <c r="L55" s="1585"/>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0</v>
      </c>
      <c r="D57" s="1678">
        <f t="shared" ref="D57:K57" si="6">SUM(D55:D56)</f>
        <v>0</v>
      </c>
      <c r="E57" s="1678">
        <f t="shared" si="6"/>
        <v>0</v>
      </c>
      <c r="F57" s="1678">
        <f t="shared" si="6"/>
        <v>0</v>
      </c>
      <c r="G57" s="1678">
        <f t="shared" si="6"/>
        <v>0</v>
      </c>
      <c r="H57" s="1678">
        <f t="shared" si="6"/>
        <v>0</v>
      </c>
      <c r="I57" s="1678">
        <f t="shared" si="6"/>
        <v>0</v>
      </c>
      <c r="J57" s="1678">
        <f t="shared" si="6"/>
        <v>0</v>
      </c>
      <c r="K57" s="1678">
        <f t="shared" si="6"/>
        <v>0</v>
      </c>
      <c r="L57" s="1673">
        <f>SUM(L55:L56)</f>
        <v>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c r="D60" s="1572"/>
      <c r="E60" s="1572">
        <v>68</v>
      </c>
      <c r="F60" s="1572"/>
      <c r="G60" s="1572"/>
      <c r="H60" s="1572"/>
      <c r="I60" s="1573"/>
      <c r="J60" s="1573"/>
      <c r="K60" s="1677">
        <f t="shared" si="7"/>
        <v>68</v>
      </c>
      <c r="L60" s="1572"/>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c r="D63" s="1572"/>
      <c r="E63" s="1572"/>
      <c r="F63" s="1572"/>
      <c r="G63" s="1572"/>
      <c r="H63" s="1572"/>
      <c r="I63" s="1573"/>
      <c r="J63" s="1573"/>
      <c r="K63" s="1677">
        <f t="shared" si="7"/>
        <v>0</v>
      </c>
      <c r="L63" s="1572"/>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0</v>
      </c>
      <c r="D65" s="1673">
        <f t="shared" ref="D65:L65" si="8">SUM(D59:D64)</f>
        <v>0</v>
      </c>
      <c r="E65" s="1673">
        <f t="shared" si="8"/>
        <v>68</v>
      </c>
      <c r="F65" s="1673">
        <f t="shared" si="8"/>
        <v>0</v>
      </c>
      <c r="G65" s="1673">
        <f t="shared" si="8"/>
        <v>0</v>
      </c>
      <c r="H65" s="1673">
        <f t="shared" si="8"/>
        <v>0</v>
      </c>
      <c r="I65" s="1673">
        <f t="shared" si="8"/>
        <v>0</v>
      </c>
      <c r="J65" s="1673">
        <f t="shared" si="8"/>
        <v>0</v>
      </c>
      <c r="K65" s="1673">
        <f t="shared" si="8"/>
        <v>68</v>
      </c>
      <c r="L65" s="1673">
        <f t="shared" si="8"/>
        <v>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75295</v>
      </c>
      <c r="D74" s="1680">
        <f t="shared" ref="D74:K74" si="10">SUM(D42,D47,D53,D57,D65,D72,D73)</f>
        <v>9940</v>
      </c>
      <c r="E74" s="1680">
        <f t="shared" si="10"/>
        <v>5615</v>
      </c>
      <c r="F74" s="1680">
        <f t="shared" si="10"/>
        <v>2848</v>
      </c>
      <c r="G74" s="1680">
        <f t="shared" si="10"/>
        <v>0</v>
      </c>
      <c r="H74" s="1680">
        <f t="shared" si="10"/>
        <v>0</v>
      </c>
      <c r="I74" s="1680">
        <f t="shared" si="10"/>
        <v>0</v>
      </c>
      <c r="J74" s="1680">
        <f t="shared" si="10"/>
        <v>0</v>
      </c>
      <c r="K74" s="1680">
        <f t="shared" si="10"/>
        <v>93698</v>
      </c>
      <c r="L74" s="1680">
        <f>SUM(L42,L47,L53,L57,L65,L72,L73)</f>
        <v>107388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v>2800</v>
      </c>
    </row>
    <row r="79" spans="1:14" x14ac:dyDescent="0.2">
      <c r="A79" s="1273" t="s">
        <v>301</v>
      </c>
      <c r="B79" s="503">
        <v>4120</v>
      </c>
      <c r="C79" s="1672"/>
      <c r="D79" s="1672"/>
      <c r="E79" s="1572"/>
      <c r="F79" s="1672"/>
      <c r="G79" s="1672"/>
      <c r="H79" s="1572"/>
      <c r="I79" s="1581"/>
      <c r="J79" s="1581"/>
      <c r="K79" s="1671">
        <f t="shared" si="11"/>
        <v>0</v>
      </c>
      <c r="L79" s="1572"/>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2800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v>304033</v>
      </c>
      <c r="I96" s="1581"/>
      <c r="J96" s="1581"/>
      <c r="K96" s="1680">
        <f t="shared" si="12"/>
        <v>304033</v>
      </c>
      <c r="L96" s="1625">
        <v>333941</v>
      </c>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304033</v>
      </c>
      <c r="I100" s="1581"/>
      <c r="J100" s="1581"/>
      <c r="K100" s="1680">
        <f>SUM(K93:K99)</f>
        <v>304033</v>
      </c>
      <c r="L100" s="1680">
        <f>SUM(L93:L99)</f>
        <v>333941</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304033</v>
      </c>
      <c r="I102" s="1581"/>
      <c r="J102" s="1581"/>
      <c r="K102" s="1680">
        <f>SUM(K84,K92,K100,K101)</f>
        <v>304033</v>
      </c>
      <c r="L102" s="1680">
        <f>SUM(L84,L92,L100,L101)</f>
        <v>336741</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75295</v>
      </c>
      <c r="D114" s="1673">
        <f t="shared" ref="D114:K114" si="13">SUM(D33,D74,D75,D102,D112,D113)</f>
        <v>9940</v>
      </c>
      <c r="E114" s="1673">
        <f t="shared" si="13"/>
        <v>5615</v>
      </c>
      <c r="F114" s="1673">
        <f t="shared" si="13"/>
        <v>2951</v>
      </c>
      <c r="G114" s="1673">
        <f t="shared" si="13"/>
        <v>0</v>
      </c>
      <c r="H114" s="1673">
        <f>SUM(H33,H74,H75,H102,H112,H113)</f>
        <v>304033</v>
      </c>
      <c r="I114" s="1673">
        <f t="shared" si="13"/>
        <v>0</v>
      </c>
      <c r="J114" s="1673">
        <f t="shared" si="13"/>
        <v>0</v>
      </c>
      <c r="K114" s="1673">
        <f t="shared" si="13"/>
        <v>397834</v>
      </c>
      <c r="L114" s="1673">
        <f>SUM(L33,L74,L75,L102,L112,L113)</f>
        <v>444129</v>
      </c>
    </row>
    <row r="115" spans="1:14" ht="13.5" thickTop="1" x14ac:dyDescent="0.2">
      <c r="A115" s="2286" t="s">
        <v>989</v>
      </c>
      <c r="B115" s="2287"/>
      <c r="C115" s="1674"/>
      <c r="D115" s="1674"/>
      <c r="E115" s="1674"/>
      <c r="F115" s="1674"/>
      <c r="G115" s="1674"/>
      <c r="H115" s="1674"/>
      <c r="I115" s="1674"/>
      <c r="J115" s="1674"/>
      <c r="K115" s="1688">
        <f>'Revenues 9-14'!C268-'Expenditures 15-22'!K114</f>
        <v>58429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4" t="s">
        <v>293</v>
      </c>
      <c r="B117" s="2265"/>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c r="F124" s="1572"/>
      <c r="G124" s="1572"/>
      <c r="H124" s="1572"/>
      <c r="I124" s="1573"/>
      <c r="J124" s="1573"/>
      <c r="K124" s="1673">
        <f>SUM(C124:J124)</f>
        <v>0</v>
      </c>
      <c r="L124" s="1572"/>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0</v>
      </c>
      <c r="H127" s="1673">
        <f t="shared" si="14"/>
        <v>0</v>
      </c>
      <c r="I127" s="1673">
        <f t="shared" si="14"/>
        <v>0</v>
      </c>
      <c r="J127" s="1673">
        <f t="shared" si="14"/>
        <v>0</v>
      </c>
      <c r="K127" s="1673">
        <f t="shared" si="14"/>
        <v>0</v>
      </c>
      <c r="L127" s="1673">
        <f t="shared" si="14"/>
        <v>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0</v>
      </c>
      <c r="H129" s="1680">
        <f t="shared" si="15"/>
        <v>0</v>
      </c>
      <c r="I129" s="1680">
        <f t="shared" si="15"/>
        <v>0</v>
      </c>
      <c r="J129" s="1680">
        <f t="shared" si="15"/>
        <v>0</v>
      </c>
      <c r="K129" s="1680">
        <f t="shared" si="15"/>
        <v>0</v>
      </c>
      <c r="L129" s="1680">
        <f t="shared" si="15"/>
        <v>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6" t="s">
        <v>616</v>
      </c>
      <c r="B151" s="2258"/>
      <c r="C151" s="1673">
        <f>SUM(C129,C130,C139,C149,C150)</f>
        <v>0</v>
      </c>
      <c r="D151" s="1673">
        <f t="shared" ref="D151:K151" si="16">SUM(D129,D130,D139,D149,D150)</f>
        <v>0</v>
      </c>
      <c r="E151" s="1673">
        <f t="shared" si="16"/>
        <v>0</v>
      </c>
      <c r="F151" s="1673">
        <f t="shared" si="16"/>
        <v>0</v>
      </c>
      <c r="G151" s="1673">
        <f t="shared" si="16"/>
        <v>0</v>
      </c>
      <c r="H151" s="1673">
        <f t="shared" si="16"/>
        <v>0</v>
      </c>
      <c r="I151" s="1673">
        <f t="shared" si="16"/>
        <v>0</v>
      </c>
      <c r="J151" s="1673">
        <f t="shared" si="16"/>
        <v>0</v>
      </c>
      <c r="K151" s="1673">
        <f t="shared" si="16"/>
        <v>0</v>
      </c>
      <c r="L151" s="1673">
        <f>SUM(L129,L130,L139,L149,L150)</f>
        <v>0</v>
      </c>
    </row>
    <row r="152" spans="1:14" ht="12.75" customHeight="1" thickTop="1" x14ac:dyDescent="0.2">
      <c r="A152" s="2279" t="s">
        <v>1168</v>
      </c>
      <c r="B152" s="2280"/>
      <c r="C152" s="1674"/>
      <c r="D152" s="1674"/>
      <c r="E152" s="1674"/>
      <c r="F152" s="1674"/>
      <c r="G152" s="1674"/>
      <c r="H152" s="1674"/>
      <c r="I152" s="1674"/>
      <c r="J152" s="1672"/>
      <c r="K152" s="1688">
        <f>'Revenues 9-14'!D268-'Expenditures 15-22'!K151</f>
        <v>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4" t="s">
        <v>617</v>
      </c>
      <c r="B154" s="2266"/>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c r="I169" s="1672"/>
      <c r="J169" s="1672"/>
      <c r="K169" s="1671">
        <f>SUM(C169:H169)</f>
        <v>0</v>
      </c>
      <c r="L169" s="1694"/>
    </row>
    <row r="170" spans="1:14" ht="33.75" customHeight="1" x14ac:dyDescent="0.2">
      <c r="A170" s="543" t="s">
        <v>1651</v>
      </c>
      <c r="B170" s="545" t="s">
        <v>31</v>
      </c>
      <c r="C170" s="1672"/>
      <c r="D170" s="1672"/>
      <c r="E170" s="1672"/>
      <c r="F170" s="1672"/>
      <c r="G170" s="1672"/>
      <c r="H170" s="1645"/>
      <c r="I170" s="1672"/>
      <c r="J170" s="1672"/>
      <c r="K170" s="1671">
        <f>SUM(C170:J170)</f>
        <v>0</v>
      </c>
      <c r="L170" s="1645"/>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86" t="s">
        <v>989</v>
      </c>
      <c r="B175" s="2287"/>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c r="D182" s="1572"/>
      <c r="E182" s="1572"/>
      <c r="F182" s="1572"/>
      <c r="G182" s="1572"/>
      <c r="H182" s="1572"/>
      <c r="I182" s="1573"/>
      <c r="J182" s="1573"/>
      <c r="K182" s="1671">
        <f>SUM(C182:J182)</f>
        <v>0</v>
      </c>
      <c r="L182" s="1572"/>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0</v>
      </c>
      <c r="G184" s="1680">
        <f t="shared" si="17"/>
        <v>0</v>
      </c>
      <c r="H184" s="1680">
        <f t="shared" si="17"/>
        <v>0</v>
      </c>
      <c r="I184" s="1680">
        <f t="shared" si="17"/>
        <v>0</v>
      </c>
      <c r="J184" s="1680">
        <f t="shared" si="17"/>
        <v>0</v>
      </c>
      <c r="K184" s="1680">
        <f>SUM(K180,K182,K183)</f>
        <v>0</v>
      </c>
      <c r="L184" s="1680">
        <f>SUM(L180, L182:L183)</f>
        <v>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0</v>
      </c>
      <c r="D210" s="1673">
        <f>SUM(D184,D185)</f>
        <v>0</v>
      </c>
      <c r="E210" s="1673">
        <f>SUM(E184,E185,E196)</f>
        <v>0</v>
      </c>
      <c r="F210" s="1673">
        <f>SUM(F184,F185)</f>
        <v>0</v>
      </c>
      <c r="G210" s="1673">
        <f>SUM(G184,G185)</f>
        <v>0</v>
      </c>
      <c r="H210" s="1673">
        <f>SUM(H184,H185,H196,H208,H209)</f>
        <v>0</v>
      </c>
      <c r="I210" s="1673">
        <f>SUM(I184,I185)</f>
        <v>0</v>
      </c>
      <c r="J210" s="1673">
        <f>SUM(J184,J185)</f>
        <v>0</v>
      </c>
      <c r="K210" s="1671">
        <f>SUM(K184,K185,K196,K208,K209)</f>
        <v>0</v>
      </c>
      <c r="L210" s="1673">
        <f>SUM(L184,L185,L196,L208,L209)</f>
        <v>0</v>
      </c>
    </row>
    <row r="211" spans="1:14" ht="13.5" thickTop="1" x14ac:dyDescent="0.2">
      <c r="A211" s="2286" t="s">
        <v>989</v>
      </c>
      <c r="B211" s="2287"/>
      <c r="C211" s="1674"/>
      <c r="D211" s="1674"/>
      <c r="E211" s="1674"/>
      <c r="F211" s="1674"/>
      <c r="G211" s="1674"/>
      <c r="H211" s="1674"/>
      <c r="I211" s="1672"/>
      <c r="J211" s="1672"/>
      <c r="K211" s="1688">
        <f>'Revenues 9-14'!F268-'Expenditures 15-22'!K210</f>
        <v>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1" t="s">
        <v>959</v>
      </c>
      <c r="B213" s="2282"/>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c r="E215" s="1672"/>
      <c r="F215" s="1672"/>
      <c r="G215" s="1672"/>
      <c r="H215" s="1672"/>
      <c r="I215" s="1672"/>
      <c r="J215" s="1672"/>
      <c r="K215" s="1671">
        <f>D215</f>
        <v>0</v>
      </c>
      <c r="L215" s="1572"/>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c r="E217" s="1672"/>
      <c r="F217" s="1672"/>
      <c r="G217" s="1672"/>
      <c r="H217" s="1672"/>
      <c r="I217" s="1672"/>
      <c r="J217" s="1672"/>
      <c r="K217" s="1671">
        <f t="shared" si="19"/>
        <v>0</v>
      </c>
      <c r="L217" s="1572"/>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c r="E219" s="1672"/>
      <c r="F219" s="1672"/>
      <c r="G219" s="1672"/>
      <c r="H219" s="1672"/>
      <c r="I219" s="1672"/>
      <c r="J219" s="1672"/>
      <c r="K219" s="1671">
        <f t="shared" si="19"/>
        <v>0</v>
      </c>
      <c r="L219" s="1572"/>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c r="E223" s="1672"/>
      <c r="F223" s="1672"/>
      <c r="G223" s="1672"/>
      <c r="H223" s="1672"/>
      <c r="I223" s="1672"/>
      <c r="J223" s="1672"/>
      <c r="K223" s="1671">
        <f t="shared" si="19"/>
        <v>0</v>
      </c>
      <c r="L223" s="1572"/>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c r="E246" s="1672"/>
      <c r="F246" s="1672"/>
      <c r="G246" s="1672"/>
      <c r="H246" s="1672"/>
      <c r="I246" s="1672"/>
      <c r="J246" s="1672"/>
      <c r="K246" s="1677">
        <f t="shared" ref="K246:K256" si="21">D246</f>
        <v>0</v>
      </c>
      <c r="L246" s="1572"/>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c r="E259" s="1672"/>
      <c r="F259" s="1672"/>
      <c r="G259" s="1672"/>
      <c r="H259" s="1672"/>
      <c r="I259" s="1672"/>
      <c r="J259" s="1672"/>
      <c r="K259" s="1677">
        <f>D259</f>
        <v>0</v>
      </c>
      <c r="L259" s="1585"/>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c r="E264" s="1672"/>
      <c r="F264" s="1672"/>
      <c r="G264" s="1672"/>
      <c r="H264" s="1672"/>
      <c r="I264" s="1672"/>
      <c r="J264" s="1672"/>
      <c r="K264" s="1677">
        <f t="shared" ref="K264:K269" si="22">D264</f>
        <v>0</v>
      </c>
      <c r="L264" s="1572"/>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c r="E266" s="1672"/>
      <c r="F266" s="1672"/>
      <c r="G266" s="1672"/>
      <c r="H266" s="1672"/>
      <c r="I266" s="1672"/>
      <c r="J266" s="1672"/>
      <c r="K266" s="1677">
        <f t="shared" si="22"/>
        <v>0</v>
      </c>
      <c r="L266" s="1572"/>
    </row>
    <row r="267" spans="1:14" x14ac:dyDescent="0.2">
      <c r="A267" s="1273" t="s">
        <v>947</v>
      </c>
      <c r="B267" s="503">
        <v>2550</v>
      </c>
      <c r="C267" s="1672"/>
      <c r="D267" s="1572"/>
      <c r="E267" s="1672"/>
      <c r="F267" s="1672"/>
      <c r="G267" s="1672"/>
      <c r="H267" s="1672"/>
      <c r="I267" s="1672"/>
      <c r="J267" s="1672"/>
      <c r="K267" s="1677">
        <f t="shared" si="22"/>
        <v>0</v>
      </c>
      <c r="L267" s="1572"/>
    </row>
    <row r="268" spans="1:14" x14ac:dyDescent="0.2">
      <c r="A268" s="1273" t="s">
        <v>100</v>
      </c>
      <c r="B268" s="503">
        <v>2560</v>
      </c>
      <c r="C268" s="1672"/>
      <c r="D268" s="1572"/>
      <c r="E268" s="1672"/>
      <c r="F268" s="1672"/>
      <c r="G268" s="1672"/>
      <c r="H268" s="1672"/>
      <c r="I268" s="1672"/>
      <c r="J268" s="1672"/>
      <c r="K268" s="1677">
        <f t="shared" si="22"/>
        <v>0</v>
      </c>
      <c r="L268" s="1572"/>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7" t="s">
        <v>502</v>
      </c>
      <c r="B295" s="2278"/>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286" t="s">
        <v>989</v>
      </c>
      <c r="B296" s="2287"/>
      <c r="C296" s="1672"/>
      <c r="D296" s="1674"/>
      <c r="E296" s="1672"/>
      <c r="F296" s="1672"/>
      <c r="G296" s="1672"/>
      <c r="H296" s="1706"/>
      <c r="I296" s="1672"/>
      <c r="J296" s="1672"/>
      <c r="K296" s="1688">
        <f>'Revenues 9-14'!G268-'Expenditures 15-22'!K295</f>
        <v>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9" t="s">
        <v>142</v>
      </c>
      <c r="B298" s="2263"/>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4" t="s">
        <v>275</v>
      </c>
      <c r="B312" s="2275"/>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0" t="s">
        <v>989</v>
      </c>
      <c r="B313" s="2271"/>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3" t="s">
        <v>148</v>
      </c>
      <c r="B315" s="228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5" t="s">
        <v>892</v>
      </c>
      <c r="B317" s="2284"/>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2" t="s">
        <v>989</v>
      </c>
      <c r="B343" s="2273"/>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2" t="s">
        <v>960</v>
      </c>
      <c r="B345" s="2263"/>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86" t="s">
        <v>989</v>
      </c>
      <c r="B368" s="2287"/>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36" right="0.2" top="0.74" bottom="0.32" header="0.48" footer="0.17"/>
  <pageSetup scale="70" firstPageNumber="13"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schemas.microsoft.com/office/2006/documentManagement/types"/>
    <ds:schemaRef ds:uri="http://www.w3.org/XML/1998/namespace"/>
    <ds:schemaRef ds:uri="4d435f69-8686-490b-bd6d-b153bf22ab50"/>
    <ds:schemaRef ds:uri="http://purl.org/dc/elements/1.1/"/>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2020-10-07T16:26:12Z</cp:lastPrinted>
  <dcterms:created xsi:type="dcterms:W3CDTF">2003-10-29T19:06:34Z</dcterms:created>
  <dcterms:modified xsi:type="dcterms:W3CDTF">2020-10-26T15:24:21Z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