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13_ncr:1_{A8631E57-CF90-4405-8750-590BDDD451A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B4"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50" i="34" l="1"/>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57" i="184" l="1"/>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<sst xmlns="http://schemas.openxmlformats.org/spreadsheetml/2006/main" count="5166" uniqueCount="2086">
  <si>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</si>
  <si>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</si>
  <si>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</si>
  <si>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</si>
  <si>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</si>
  <si>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</si>
  <si>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</si>
  <si>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</si>
  <si>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</si>
  <si>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</si>
  <si>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</si>
  <si>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</si>
  <si>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</si>
  <si>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</si>
  <si>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</si>
  <si>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</si>
  <si>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</si>
  <si>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</si>
  <si>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</si>
  <si>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</si>
  <si>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</si>
  <si>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</si>
  <si>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</si>
  <si>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</si>
  <si>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</si>
  <si>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</si>
  <si>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</si>
  <si>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</si>
  <si>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</si>
  <si>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</si>
  <si>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</si>
  <si>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</si>
  <si>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</si>
  <si>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</si>
  <si>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</si>
  <si>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</si>
  <si>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</si>
  <si>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</si>
  <si>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</si>
  <si>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</si>
  <si>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</si>
  <si>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</si>
  <si>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</si>
  <si>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</si>
  <si>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</si>
  <si>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</si>
  <si>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</si>
  <si>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</si>
  <si>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</si>
  <si>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</si>
  <si>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</si>
  <si>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</si>
  <si>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</si>
  <si>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</si>
  <si>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</si>
  <si>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</si>
  <si>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</si>
  <si>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</si>
  <si>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</si>
  <si>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</si>
  <si>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</si>
  <si>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</si>
  <si>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</si>
  <si>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</si>
  <si>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</si>
  <si>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</si>
  <si>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</si>
  <si>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</si>
  <si>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</si>
  <si>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</si>
  <si>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</si>
  <si>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</si>
  <si>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</si>
  <si>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</si>
  <si>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</si>
  <si>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</si>
  <si>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</si>
  <si>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</si>
  <si>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</si>
  <si>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</si>
  <si>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</si>
  <si>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</si>
  <si>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</si>
  <si>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</si>
  <si>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</si>
  <si>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</si>
  <si>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</si>
  <si>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</si>
  <si>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</si>
  <si>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</si>
  <si>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</si>
  <si>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</si>
  <si>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</si>
  <si>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</si>
  <si>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</si>
  <si>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</si>
  <si>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</si>
  <si>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</si>
  <si>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</si>
  <si>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</si>
  <si>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</si>
  <si>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</si>
  <si>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</si>
  <si>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</si>
  <si>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</si>
  <si>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</si>
  <si>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</si>
  <si>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</si>
  <si>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</si>
  <si>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</si>
  <si>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</si>
  <si>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</si>
  <si>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</si>
  <si>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</si>
  <si>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</si>
  <si>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</si>
  <si>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</si>
  <si>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</si>
  <si>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</si>
  <si>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</si>
  <si>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</si>
  <si>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</si>
  <si>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</si>
  <si>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</si>
  <si>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</si>
  <si>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</si>
  <si>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</si>
  <si>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</si>
  <si>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</si>
  <si>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</si>
  <si>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</si>
  <si>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</si>
  <si>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</si>
  <si>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</si>
  <si>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</si>
  <si>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</si>
  <si>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</si>
  <si>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</si>
  <si>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</si>
  <si>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</si>
  <si>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</si>
  <si>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</si>
  <si>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</si>
  <si>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</si>
  <si>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</si>
  <si>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</si>
  <si>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</si>
  <si>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</si>
  <si>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</si>
  <si>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</si>
  <si>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</si>
  <si>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</si>
  <si>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</si>
  <si>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</si>
  <si>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</si>
  <si>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</si>
  <si>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</si>
  <si>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</si>
  <si>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</si>
  <si>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</si>
  <si>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</si>
  <si>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</si>
  <si>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</si>
  <si>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</si>
  <si>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</si>
  <si>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</si>
  <si>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</si>
  <si>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</si>
  <si>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</si>
  <si>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</si>
  <si>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</si>
  <si>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</si>
  <si>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</si>
  <si>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</si>
  <si>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</si>
  <si>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</si>
  <si>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</si>
  <si>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</si>
  <si>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</si>
  <si>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</si>
  <si>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</si>
  <si>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</si>
  <si>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</si>
  <si>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</si>
  <si>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</si>
  <si>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</si>
  <si>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</si>
  <si>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</si>
  <si>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</si>
  <si>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</si>
  <si>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</si>
  <si>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</si>
  <si>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</si>
  <si>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</si>
  <si>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</si>
  <si>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</si>
  <si>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</si>
  <si>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</si>
  <si>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</si>
  <si>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</si>
  <si>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</si>
  <si>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</si>
  <si>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</si>
  <si>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</si>
  <si>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</si>
  <si>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</si>
  <si>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</si>
  <si>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</si>
  <si>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</si>
  <si>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</si>
  <si>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</si>
  <si>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</si>
  <si>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</si>
  <si>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</si>
  <si>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</si>
  <si>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</si>
  <si>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</si>
  <si>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</si>
  <si>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</si>
  <si>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</si>
  <si>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</si>
  <si>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</si>
  <si>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</si>
  <si>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</si>
  <si>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</si>
  <si>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</si>
  <si>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</si>
  <si>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</si>
  <si>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</si>
  <si>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</si>
  <si>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</si>
  <si>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</si>
  <si>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</si>
  <si>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</si>
  <si>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</si>
  <si>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</si>
  <si>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</si>
  <si>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</si>
  <si>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</si>
  <si>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</si>
  <si>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</si>
  <si>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</si>
  <si>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</si>
  <si>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</si>
  <si>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</si>
  <si>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</si>
  <si>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</si>
  <si>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</si>
  <si>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</si>
  <si>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</si>
  <si>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</si>
  <si>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</si>
  <si>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</si>
  <si>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</si>
  <si>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</si>
  <si>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</si>
  <si>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</si>
  <si>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</si>
  <si>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</si>
  <si>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</si>
  <si>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</si>
  <si>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</si>
  <si>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</si>
  <si>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</si>
  <si>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</si>
  <si>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</si>
  <si>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</si>
  <si>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</si>
  <si>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</si>
  <si>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</si>
  <si>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</si>
  <si>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</si>
  <si>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</si>
  <si>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</si>
  <si>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</si>
  <si>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</si>
  <si>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</si>
  <si>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</si>
  <si>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</si>
  <si>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</si>
  <si>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</si>
  <si>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</si>
  <si>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</si>
  <si>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</si>
  <si>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</si>
  <si>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</si>
  <si>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</si>
  <si>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</si>
  <si>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</si>
  <si>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</si>
  <si>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</si>
  <si>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</si>
  <si>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</si>
  <si>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</si>
  <si>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</si>
  <si>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</si>
  <si>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</si>
  <si>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</si>
  <si>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</si>
  <si>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</si>
  <si>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</si>
  <si>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</si>
  <si>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</si>
  <si>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</si>
  <si>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</si>
  <si>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</si>
  <si>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</si>
  <si>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</si>
  <si>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</si>
  <si>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</si>
  <si>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</si>
  <si>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</si>
  <si>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</si>
  <si>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</si>
  <si>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</si>
  <si>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</si>
  <si>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</si>
  <si>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</si>
  <si>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</si>
  <si>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</si>
  <si>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</si>
  <si>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</si>
  <si>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</si>
  <si>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</si>
  <si>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</si>
  <si>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</si>
  <si>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</si>
  <si>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</si>
  <si>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</si>
  <si>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</si>
  <si>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</si>
  <si>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</si>
  <si>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</si>
  <si>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</si>
  <si>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</si>
  <si>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</si>
  <si>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</si>
  <si>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</si>
  <si>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</si>
  <si>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</si>
  <si>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</si>
  <si>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</si>
  <si>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</si>
  <si>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</si>
  <si>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</si>
  <si>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</si>
  <si>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</si>
  <si>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</si>
  <si>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</si>
  <si>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</si>
  <si>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</si>
  <si>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</si>
  <si>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</si>
  <si>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</si>
  <si>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</si>
  <si>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</si>
  <si>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</si>
  <si>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</si>
  <si>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</si>
  <si>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</si>
  <si>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</si>
  <si>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</si>
  <si>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</si>
  <si>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</si>
  <si>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</si>
  <si>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</si>
  <si>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</si>
  <si>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</si>
  <si>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</si>
  <si>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</si>
  <si>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</si>
  <si>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</si>
  <si>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</si>
  <si>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</si>
  <si>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</si>
  <si>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</si>
  <si>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</si>
  <si>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</si>
  <si>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</si>
  <si>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</si>
  <si>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</si>
  <si>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</si>
  <si>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</si>
  <si>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</si>
  <si>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</si>
  <si>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</si>
  <si>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</si>
  <si>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</si>
  <si>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</si>
  <si>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</si>
  <si>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</si>
  <si>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</si>
  <si>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</si>
  <si>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</si>
  <si>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</si>
  <si>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</si>
  <si>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</si>
  <si>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</si>
  <si>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</si>
  <si>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</si>
  <si>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</si>
  <si>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</si>
  <si>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</si>
  <si>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</si>
  <si>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</si>
  <si>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</si>
  <si>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</si>
  <si>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</si>
  <si>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</si>
  <si>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</si>
  <si>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</si>
  <si>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</si>
  <si>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</si>
  <si>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</si>
  <si>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</si>
  <si>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</si>
  <si>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</si>
  <si>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</si>
  <si>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</si>
  <si>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</si>
  <si>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</si>
  <si>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</si>
  <si>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</si>
  <si>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</si>
  <si>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</si>
  <si>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</si>
  <si>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</si>
  <si>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</si>
  <si>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</si>
  <si>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</si>
  <si>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</si>
  <si>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</si>
  <si>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</si>
  <si>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</si>
  <si>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</si>
  <si>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</si>
  <si>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</si>
  <si>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</si>
  <si>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</si>
  <si>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</si>
  <si>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</si>
  <si>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</si>
  <si>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</si>
  <si>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</si>
  <si>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</si>
  <si>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</si>
  <si>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</si>
  <si>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</si>
  <si>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</si>
  <si>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</si>
  <si>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</si>
  <si>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</si>
  <si>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</si>
  <si>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</si>
  <si>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</si>
  <si>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</si>
  <si>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</si>
  <si>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</si>
  <si>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</si>
  <si>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</si>
  <si>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</si>
  <si>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</si>
  <si>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</si>
  <si>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</si>
  <si>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</si>
  <si>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</si>
  <si>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</si>
  <si>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</si>
  <si>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</si>
  <si>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</si>
  <si>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</si>
  <si>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</si>
  <si>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</si>
  <si>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</si>
  <si>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</si>
  <si>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</si>
  <si>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</si>
  <si>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</si>
  <si>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</si>
  <si>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</si>
  <si>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</si>
  <si>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</si>
  <si>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</si>
  <si>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</si>
  <si>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</si>
  <si>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</si>
  <si>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</si>
  <si>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</si>
  <si>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</si>
  <si>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</si>
  <si>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</si>
  <si>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</si>
  <si>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</si>
  <si>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</si>
  <si>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</si>
  <si>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</si>
  <si>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</si>
  <si>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</si>
  <si>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</si>
  <si>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</si>
  <si>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</si>
  <si>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</si>
  <si>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</si>
  <si>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</si>
  <si>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</si>
  <si>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</si>
  <si>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</si>
  <si>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</si>
  <si>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</si>
  <si>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</si>
  <si>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</si>
  <si>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</si>
  <si>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</si>
  <si>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</si>
  <si>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</si>
  <si>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</si>
  <si>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</si>
  <si>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</si>
  <si>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</si>
  <si>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</si>
  <si>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</si>
  <si>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</si>
  <si>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</si>
  <si>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</si>
  <si>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</si>
  <si>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</si>
  <si>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</si>
  <si>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</si>
  <si>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</si>
  <si>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</si>
  <si>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</si>
  <si>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</si>
  <si>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</si>
  <si>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</si>
  <si>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</si>
  <si>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</si>
  <si>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</si>
  <si>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</si>
  <si>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</si>
  <si>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</si>
  <si>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</si>
  <si>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</si>
  <si>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</si>
  <si>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</si>
  <si>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</si>
  <si>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</si>
  <si>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</si>
  <si>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</si>
  <si>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</si>
  <si>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</si>
  <si>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</si>
  <si>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</si>
  <si>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</si>
  <si>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</si>
  <si>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</si>
  <si>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</si>
  <si>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</si>
  <si>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</si>
  <si>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</si>
  <si>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</si>
  <si>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</si>
  <si>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</si>
  <si>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</si>
  <si>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</si>
  <si>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</si>
  <si>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</si>
  <si>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</si>
  <si>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</si>
  <si>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</si>
  <si>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</si>
  <si>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</si>
  <si>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</si>
  <si>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</si>
  <si>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</si>
  <si>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</si>
  <si>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</si>
  <si>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</si>
  <si>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</si>
  <si>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</si>
  <si>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</si>
  <si>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</si>
  <si>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</si>
  <si>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</si>
  <si>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</si>
  <si>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</si>
  <si>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</si>
  <si>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</si>
  <si>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</si>
  <si>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</si>
  <si>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</si>
  <si>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</si>
  <si>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</si>
  <si>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</si>
  <si>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</si>
  <si>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</si>
  <si>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</si>
  <si>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</si>
  <si>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</si>
  <si>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</si>
  <si>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</si>
  <si>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</si>
  <si>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</si>
  <si>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</si>
  <si>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</si>
  <si>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</si>
  <si>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</si>
  <si>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</si>
  <si>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</si>
  <si>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</si>
  <si>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</si>
  <si>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</si>
  <si>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</si>
  <si>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</si>
  <si>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</si>
  <si>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</si>
  <si>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</si>
  <si>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</si>
  <si>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</si>
  <si>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</si>
  <si>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</si>
  <si>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</si>
  <si>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</si>
  <si>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</si>
  <si>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</si>
  <si>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</si>
  <si>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</si>
  <si>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</si>
  <si>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</si>
  <si>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</si>
  <si>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</si>
  <si>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</si>
  <si>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</si>
  <si>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</si>
  <si>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</si>
  <si>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</si>
  <si>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</si>
  <si>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</si>
  <si>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</si>
  <si>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</si>
  <si>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</si>
  <si>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</si>
  <si>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</si>
  <si>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</si>
  <si>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</si>
  <si>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</si>
  <si>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</si>
  <si>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</si>
  <si>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</si>
  <si>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</si>
  <si>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</si>
  <si>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</si>
  <si>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</si>
  <si>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</si>
  <si>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</si>
  <si>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</si>
  <si>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</si>
  <si>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</si>
  <si>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</si>
  <si>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</si>
  <si>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</si>
  <si>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</si>
  <si>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</si>
  <si>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</si>
  <si>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</si>
  <si>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</si>
  <si>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</si>
  <si>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</si>
  <si>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</si>
  <si>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</si>
  <si>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</si>
  <si>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</si>
  <si>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</si>
  <si>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</si>
  <si>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</si>
  <si>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</si>
  <si>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</si>
  <si>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</si>
  <si>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</si>
  <si>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</si>
  <si>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</si>
  <si>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</si>
  <si>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</si>
  <si>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</si>
  <si>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</si>
  <si>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</si>
  <si>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</si>
  <si>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</si>
  <si>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</si>
  <si>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</si>
  <si>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</si>
  <si>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</si>
  <si>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</si>
  <si>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</si>
  <si>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</si>
  <si>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</si>
  <si>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</si>
  <si>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</si>
  <si>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</si>
  <si>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</si>
  <si>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</si>
  <si>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</si>
  <si>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</si>
  <si>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</si>
  <si>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</si>
  <si>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</si>
  <si>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</si>
  <si>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</si>
  <si>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</si>
  <si>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</si>
  <si>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</si>
  <si>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</si>
  <si>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</si>
  <si>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</si>
  <si>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</si>
  <si>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</si>
  <si>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</si>
  <si>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</si>
  <si>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</si>
  <si>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</si>
  <si>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</si>
  <si>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</si>
  <si>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</si>
  <si>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</si>
  <si>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</si>
  <si>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</si>
  <si>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</si>
  <si>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</si>
  <si>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</si>
  <si>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</si>
  <si>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</si>
  <si>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</si>
  <si>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</si>
  <si>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</si>
  <si>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</si>
  <si>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</si>
  <si>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</si>
  <si>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</si>
  <si>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</si>
  <si>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</si>
  <si>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</si>
  <si>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</si>
  <si>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</si>
  <si>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</si>
  <si>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</si>
  <si>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</si>
  <si>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</si>
  <si>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</si>
  <si>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</si>
  <si>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</si>
  <si>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</si>
  <si>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</si>
  <si>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</si>
  <si>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</si>
  <si>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</si>
  <si>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</si>
  <si>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</si>
  <si>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</si>
  <si>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</si>
  <si>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</si>
  <si>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</si>
  <si>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</si>
  <si>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</si>
  <si>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</si>
  <si>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</si>
  <si>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</si>
  <si>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</si>
  <si>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</si>
  <si>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</si>
  <si>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</si>
  <si>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</si>
  <si>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</si>
  <si>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</si>
  <si>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</si>
  <si>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</si>
  <si>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</si>
  <si>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</si>
  <si>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</si>
  <si>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</si>
  <si>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</si>
  <si>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</si>
  <si>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</si>
  <si>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</si>
  <si>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</si>
  <si>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</si>
  <si>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</si>
  <si>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</si>
  <si>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</si>
  <si>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</si>
  <si>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</si>
  <si>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</si>
  <si>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</si>
  <si>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</si>
  <si>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</si>
  <si>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</si>
  <si>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</si>
  <si>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</si>
  <si>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</si>
  <si>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</si>
  <si>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</si>
  <si>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</si>
  <si>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</si>
  <si>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</si>
  <si>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</si>
  <si>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</si>
  <si>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</si>
  <si>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</si>
  <si>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</si>
  <si>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</si>
  <si>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</si>
  <si>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</si>
  <si>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</si>
  <si>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</si>
  <si>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</si>
  <si>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</si>
  <si>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</si>
  <si>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</si>
  <si>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</si>
  <si>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</si>
  <si>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</si>
  <si>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</si>
  <si>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</si>
  <si>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</si>
  <si>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</si>
  <si>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</si>
  <si>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</si>
  <si>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</si>
  <si>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</si>
  <si>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</si>
  <si>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</si>
  <si>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</si>
  <si>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</si>
  <si>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</si>
  <si>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</si>
  <si>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</si>
  <si>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</si>
  <si>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</si>
  <si>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</si>
  <si>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</si>
  <si>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</si>
  <si>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</si>
  <si>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</si>
  <si>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</si>
  <si>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</si>
  <si>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</si>
  <si>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</si>
  <si>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</si>
  <si>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</si>
  <si>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</si>
  <si>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</si>
  <si>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</si>
  <si>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</si>
  <si>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</si>
  <si>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</si>
  <si>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</si>
  <si>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</si>
  <si>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</si>
  <si>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</si>
  <si>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</si>
  <si>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</si>
  <si>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</si>
  <si>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</si>
  <si>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</si>
  <si>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</si>
  <si>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</si>
  <si>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</si>
  <si>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</si>
  <si>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</si>
  <si>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</si>
  <si>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</si>
  <si>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</si>
  <si>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</si>
  <si>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</si>
  <si>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</si>
  <si>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</si>
  <si>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</si>
  <si>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</si>
  <si>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</si>
  <si>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</si>
  <si>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</si>
  <si>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</si>
  <si>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</si>
  <si>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</si>
  <si>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</si>
  <si>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</si>
  <si>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</si>
  <si>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</si>
  <si>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</si>
  <si>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</si>
  <si>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</si>
  <si>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</si>
  <si>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</si>
  <si>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</si>
  <si>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</si>
  <si>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</si>
  <si>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</si>
  <si>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</si>
  <si>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</si>
  <si>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</si>
  <si>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</si>
  <si>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</si>
  <si>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</si>
  <si>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</si>
  <si>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</si>
  <si>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</si>
  <si>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</si>
  <si>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</si>
  <si>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</si>
  <si>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</si>
  <si>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</si>
  <si>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</si>
  <si>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</si>
  <si>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</si>
  <si>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</si>
  <si>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</si>
  <si>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</si>
  <si>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</si>
  <si>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</si>
  <si>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</si>
  <si>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</si>
  <si>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</si>
  <si>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</si>
  <si>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</si>
  <si>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</si>
  <si>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</si>
  <si>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</si>
  <si>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</si>
  <si>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</si>
  <si>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</si>
  <si>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</si>
  <si>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</si>
  <si>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</si>
  <si>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</si>
  <si>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</si>
  <si>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</si>
  <si>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</si>
  <si>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</si>
  <si>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</si>
  <si>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</si>
  <si>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</si>
  <si>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</si>
  <si>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</si>
  <si>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</si>
  <si>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</si>
  <si>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</si>
  <si>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</si>
  <si>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</si>
  <si>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</si>
  <si>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</si>
  <si>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</si>
  <si>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</si>
  <si>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</si>
  <si>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</si>
  <si>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</si>
  <si>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</si>
  <si>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</si>
  <si>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</si>
  <si>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</si>
  <si>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</si>
  <si>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</si>
  <si>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</si>
  <si>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</si>
  <si>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</si>
  <si>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</si>
  <si>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</si>
  <si>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</si>
  <si>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</si>
  <si>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</si>
  <si>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</si>
  <si>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</si>
  <si>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</si>
  <si>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</si>
  <si>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</si>
  <si>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</si>
  <si>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</si>
  <si>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</si>
  <si>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</si>
  <si>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</si>
  <si>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</si>
  <si>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</si>
  <si>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</si>
  <si>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</si>
  <si>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</si>
  <si>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</si>
  <si>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</si>
  <si>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</si>
  <si>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</si>
  <si>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</si>
  <si>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</si>
  <si>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</si>
  <si>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</si>
  <si>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</si>
  <si>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</si>
  <si>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</si>
  <si>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</si>
  <si>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</si>
  <si>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</si>
  <si>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</si>
  <si>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</si>
  <si>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</si>
  <si>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</si>
  <si>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</si>
  <si>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</si>
  <si>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</si>
  <si>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</si>
  <si>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</si>
  <si>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</si>
  <si>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</si>
  <si>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</si>
  <si>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</si>
  <si>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</si>
  <si>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</si>
  <si>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</si>
  <si>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</si>
  <si>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</si>
  <si>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</si>
  <si>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</si>
  <si>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</si>
  <si>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</si>
  <si>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</si>
  <si>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</si>
  <si>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</si>
  <si>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</si>
  <si>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</si>
  <si>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</si>
  <si>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</si>
  <si>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</si>
  <si>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</si>
  <si>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</si>
  <si>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</si>
  <si>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</si>
  <si>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</si>
  <si>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</si>
  <si>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</si>
  <si>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</si>
  <si>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</si>
  <si>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</si>
  <si>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</si>
  <si>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</si>
  <si>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</si>
  <si>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</si>
  <si>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</si>
  <si>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</si>
  <si>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</si>
  <si>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</si>
  <si>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</si>
  <si>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</si>
  <si>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</si>
  <si>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</si>
  <si>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</si>
  <si>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</si>
  <si>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</si>
  <si>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</si>
  <si>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</si>
  <si>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</si>
  <si>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</si>
  <si>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</si>
  <si>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</si>
  <si>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</si>
  <si>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</si>
  <si>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</si>
  <si>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</si>
  <si>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</si>
  <si>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</si>
  <si>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</si>
  <si>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</si>
  <si>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</si>
  <si>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</si>
  <si>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</si>
  <si>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</si>
  <si>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</si>
  <si>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</si>
  <si>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</si>
  <si>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</si>
  <si>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</si>
  <si>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</si>
  <si>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</si>
  <si>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</si>
  <si>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</si>
  <si>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</si>
  <si>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</si>
  <si>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</si>
  <si>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</si>
  <si>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</si>
  <si>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</si>
  <si>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</si>
  <si>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</si>
  <si>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</si>
  <si>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</si>
  <si>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</si>
  <si>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</si>
  <si>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</si>
  <si>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</si>
  <si>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</si>
  <si>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</si>
  <si>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</si>
  <si>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</si>
  <si>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</si>
  <si>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</si>
  <si>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</si>
  <si>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</si>
  <si>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</si>
  <si>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</si>
  <si>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</si>
  <si>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</si>
  <si>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</si>
  <si>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</si>
  <si>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</si>
  <si>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</si>
  <si>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</si>
  <si>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</si>
  <si>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</si>
  <si>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</si>
  <si>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</si>
  <si>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</si>
  <si>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</si>
  <si>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</si>
  <si>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</si>
  <si>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</si>
  <si>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</si>
  <si>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</si>
  <si>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</si>
  <si>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</si>
  <si>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</si>
  <si>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</si>
  <si>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</si>
  <si>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</si>
  <si>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</si>
  <si>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</si>
  <si>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</si>
  <si>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</si>
  <si>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</si>
  <si>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</si>
  <si>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</si>
  <si>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</si>
  <si>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</si>
  <si>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</si>
  <si>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</si>
  <si>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</si>
  <si>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</si>
  <si>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</si>
  <si>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</si>
  <si>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</si>
  <si>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</si>
  <si>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</si>
  <si>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</si>
  <si>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</si>
  <si>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</si>
  <si>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</si>
  <si>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</si>
  <si>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</si>
  <si>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</si>
  <si>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</si>
  <si>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</si>
  <si>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</si>
  <si>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</si>
  <si>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</si>
  <si>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</si>
  <si>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</si>
  <si>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</si>
  <si>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</si>
  <si>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</si>
  <si>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</si>
  <si>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</si>
  <si>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</si>
  <si>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</si>
  <si>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</si>
  <si>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</si>
  <si>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</si>
  <si>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</si>
  <si>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</si>
  <si>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</si>
  <si>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</si>
  <si>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</si>
  <si>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</si>
  <si>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</si>
  <si>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</si>
  <si>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</si>
  <si>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</si>
  <si>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</si>
  <si>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</si>
  <si>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</si>
  <si>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</si>
  <si>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</si>
  <si>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</si>
  <si>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</si>
  <si>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</si>
  <si>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</si>
  <si>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</si>
  <si>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</si>
  <si>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</si>
  <si>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</si>
  <si>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</si>
  <si>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</si>
  <si>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</si>
  <si>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</si>
  <si>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</si>
  <si>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</si>
  <si>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</si>
  <si>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</si>
  <si>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</si>
  <si>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</si>
  <si>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</si>
  <si>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</si>
  <si>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</si>
  <si>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</si>
  <si>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</si>
  <si>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</si>
  <si>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</si>
  <si>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</si>
  <si>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</si>
  <si>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</si>
  <si>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</si>
  <si>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</si>
  <si>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</si>
  <si>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</si>
  <si>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</si>
  <si>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</si>
  <si>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</si>
  <si>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</si>
  <si>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</si>
  <si>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</si>
  <si>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</si>
  <si>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</si>
  <si>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</si>
  <si>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</si>
  <si>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</si>
  <si>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</si>
  <si>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</si>
  <si>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</si>
  <si>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</si>
  <si>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</si>
  <si>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</si>
  <si>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</si>
  <si>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</si>
  <si>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</si>
  <si>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</si>
  <si>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</si>
  <si>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</si>
  <si>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</si>
  <si>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</si>
  <si>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</si>
  <si>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</si>
  <si>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</si>
  <si>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</si>
  <si>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</si>
  <si>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</si>
  <si>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</si>
  <si>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</si>
  <si>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</si>
  <si>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</si>
  <si>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</si>
  <si>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</si>
  <si>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</si>
  <si>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</si>
  <si>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</si>
  <si>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</si>
  <si>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</si>
  <si>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</si>
  <si>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</si>
  <si>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</si>
  <si>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</si>
  <si>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</si>
  <si>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</si>
  <si>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</si>
  <si>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</si>
  <si>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</si>
  <si>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</si>
  <si>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</si>
  <si>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</si>
  <si>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</si>
  <si>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</si>
  <si>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</si>
  <si>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</si>
  <si>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</si>
  <si>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</si>
  <si>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</si>
  <si>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</si>
  <si>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</si>
  <si>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</si>
  <si>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</si>
  <si>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</si>
  <si>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</si>
  <si>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</si>
  <si>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</si>
  <si>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</si>
  <si>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</si>
  <si>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</si>
  <si>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</si>
  <si>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</si>
  <si>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</si>
  <si>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</si>
  <si>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</si>
  <si>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</si>
  <si>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</si>
  <si>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</si>
  <si>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</si>
  <si>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</si>
  <si>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</si>
  <si>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</si>
  <si>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</si>
  <si>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</si>
  <si>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</si>
  <si>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</si>
  <si>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</si>
  <si>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</si>
  <si>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</si>
  <si>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</si>
  <si>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</si>
  <si>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</si>
  <si>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</si>
  <si>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</si>
  <si>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</si>
  <si>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</si>
  <si>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</si>
  <si>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</si>
  <si>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</si>
  <si>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</si>
  <si>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</si>
  <si>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</si>
  <si>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</si>
  <si>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</si>
  <si>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</si>
  <si>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</si>
  <si>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</si>
  <si>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</si>
  <si>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</si>
  <si>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</si>
  <si>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</si>
  <si>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</si>
  <si>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</si>
  <si>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</si>
  <si>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</si>
  <si>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</si>
  <si>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</si>
  <si>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</si>
  <si>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</si>
  <si>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</si>
  <si>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</si>
  <si>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</si>
  <si>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</si>
  <si>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</si>
  <si>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</si>
  <si>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</si>
  <si>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</si>
  <si>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</si>
  <si>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</si>
  <si>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</si>
  <si>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</si>
  <si>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</si>
  <si>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</si>
  <si>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</si>
  <si>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</si>
  <si>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</si>
  <si>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</si>
  <si>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</si>
  <si>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</si>
  <si>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</si>
  <si>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</si>
  <si>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</si>
  <si>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</si>
  <si>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</si>
  <si>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</si>
  <si>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</si>
  <si>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</si>
  <si>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</si>
  <si>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</si>
  <si>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</si>
  <si>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</si>
  <si>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</si>
  <si>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</si>
  <si>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</si>
  <si>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</si>
  <si>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</si>
  <si>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</si>
  <si>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</si>
  <si>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</si>
  <si>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</si>
  <si>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</si>
  <si>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</si>
  <si>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</si>
  <si>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</si>
  <si>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</si>
  <si>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</si>
  <si>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</si>
  <si>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</si>
  <si>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</si>
  <si>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</si>
  <si>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</si>
  <si>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</si>
  <si>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</si>
  <si>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</si>
  <si>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</si>
  <si>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</si>
  <si>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</si>
  <si>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</si>
  <si>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</si>
  <si>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</si>
  <si>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</si>
  <si>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</si>
  <si>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</si>
  <si>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</si>
  <si>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</si>
  <si>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</si>
  <si>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</si>
  <si>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</si>
  <si>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</si>
  <si>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</si>
  <si>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</si>
  <si>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</si>
  <si>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</si>
  <si>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</si>
  <si>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</si>
  <si>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</si>
  <si>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</si>
  <si>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</si>
  <si>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</si>
  <si>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</si>
  <si>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</si>
  <si>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</si>
  <si>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</si>
  <si>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</si>
  <si>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</si>
  <si>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</si>
  <si>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</si>
  <si>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</si>
  <si>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</si>
  <si>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</si>
  <si>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</si>
  <si>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</si>
  <si>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</si>
  <si>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</si>
  <si>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</si>
  <si>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</si>
  <si>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</si>
  <si>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</si>
  <si>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</si>
  <si>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</si>
  <si>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</si>
  <si>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</si>
  <si>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</si>
  <si>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</si>
  <si>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</si>
  <si>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</si>
  <si>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</si>
  <si>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</si>
  <si>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</si>
  <si>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</si>
  <si>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</si>
  <si>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</si>
  <si>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</si>
  <si>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</si>
  <si>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</si>
  <si>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</si>
  <si>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</si>
  <si>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</si>
  <si>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</si>
  <si>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</si>
  <si>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</si>
  <si>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</si>
  <si>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</si>
  <si>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</si>
  <si>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</si>
  <si>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</si>
  <si>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</si>
  <si>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</si>
  <si>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</si>
  <si>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</si>
  <si>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</si>
  <si>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</si>
  <si>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</si>
  <si>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</si>
  <si>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</si>
  <si>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</si>
  <si>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</si>
  <si>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</si>
  <si>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</si>
  <si>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</si>
  <si>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</si>
  <si>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</si>
  <si>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</si>
  <si>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</si>
  <si>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</si>
  <si>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</si>
  <si>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</si>
  <si>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</si>
  <si>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</si>
  <si>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</si>
  <si>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</si>
  <si>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</si>
  <si>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</si>
  <si>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</si>
  <si>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</si>
  <si>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</si>
  <si>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</si>
  <si>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</si>
  <si>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</si>
  <si>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</si>
  <si>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</si>
  <si>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</si>
  <si>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</si>
  <si>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</si>
  <si>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</si>
  <si>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</si>
  <si>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</si>
  <si>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</si>
  <si>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</si>
  <si>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</si>
  <si>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</si>
  <si>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</si>
  <si>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</si>
  <si>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</si>
  <si>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</si>
  <si>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</si>
  <si>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</si>
  <si>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</si>
  <si>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</si>
  <si>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</si>
  <si>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</si>
  <si>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</si>
  <si>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</si>
  <si>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</si>
  <si>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</si>
  <si>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</si>
  <si>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</si>
  <si>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</si>
  <si>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</si>
  <si>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</si>
  <si>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</si>
  <si>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</si>
  <si>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</si>
  <si>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</si>
  <si>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</si>
  <si>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</si>
  <si>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</si>
  <si>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</si>
  <si>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</si>
  <si>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</si>
  <si>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</si>
  <si>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</si>
  <si>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</si>
  <si>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</si>
  <si>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</si>
  <si>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</si>
  <si>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</si>
  <si>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</si>
  <si>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</si>
  <si>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</si>
  <si>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</si>
  <si>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</si>
  <si>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</si>
  <si>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</si>
  <si>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</si>
  <si>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</si>
  <si>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</si>
  <si>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</si>
  <si>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</si>
  <si>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</si>
  <si>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</si>
  <si>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</si>
  <si>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</si>
  <si>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</si>
  <si>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</si>
  <si>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</si>
  <si>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</si>
  <si>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</si>
  <si>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</si>
  <si>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</si>
  <si>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</si>
  <si>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</si>
  <si>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</si>
  <si>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</si>
  <si>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</si>
  <si>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</si>
  <si>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</si>
  <si>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</si>
  <si>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</si>
  <si>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</si>
  <si>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</si>
  <si>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</si>
  <si>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</si>
  <si>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</si>
  <si>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</si>
  <si>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</si>
  <si>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</si>
  <si>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</si>
  <si>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</si>
  <si>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</si>
  <si>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</si>
  <si>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</si>
  <si>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</si>
  <si>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</si>
  <si>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</si>
  <si>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</si>
  <si>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</si>
  <si>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</si>
  <si>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</si>
  <si>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</si>
  <si>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</si>
  <si>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</si>
  <si>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</si>
  <si>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</si>
  <si>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</si>
  <si>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</si>
  <si>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</si>
  <si>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</si>
  <si>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</si>
  <si>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</si>
  <si>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</si>
  <si>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</si>
  <si>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</si>
  <si>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</si>
  <si>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</si>
  <si>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</si>
  <si>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</si>
  <si>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</si>
  <si>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</si>
  <si>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</si>
  <si>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</si>
  <si>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</si>
  <si>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</si>
  <si>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</si>
  <si>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</si>
  <si>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</si>
  <si>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</si>
  <si>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</si>
  <si>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</si>
  <si>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</si>
  <si>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</si>
  <si>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</si>
  <si>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</si>
  <si>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</si>
  <si>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</si>
  <si>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</si>
  <si>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</si>
  <si>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</si>
  <si>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</si>
  <si>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</si>
  <si>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</si>
  <si>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</si>
  <si>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</si>
  <si>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</si>
  <si>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</si>
  <si>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</si>
  <si>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</si>
  <si>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</si>
  <si>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</si>
  <si>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</si>
  <si>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</si>
  <si>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</si>
  <si>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</si>
  <si>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</si>
  <si>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</si>
  <si>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</si>
  <si>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</si>
  <si>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</si>
  <si>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</si>
  <si>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</si>
  <si>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</si>
  <si>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</si>
  <si>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</si>
  <si>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</si>
  <si>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</si>
  <si>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</si>
  <si>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</si>
  <si>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</si>
  <si>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</si>
  <si>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</si>
  <si>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</si>
  <si>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</si>
  <si>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</si>
  <si>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</si>
  <si>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</si>
  <si>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</si>
  <si>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</si>
  <si>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</si>
  <si>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</si>
  <si>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</si>
  <si>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</si>
  <si>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</si>
  <si>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</si>
  <si>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</si>
  <si>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</si>
  <si>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</si>
  <si>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</si>
  <si>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</si>
  <si>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</si>
  <si>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</si>
  <si>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</si>
  <si>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</si>
  <si>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</si>
  <si>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</si>
  <si>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</si>
  <si>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</si>
  <si>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</si>
  <si>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</si>
  <si>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</si>
  <si>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</si>
  <si>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</si>
  <si>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</si>
  <si>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</si>
  <si>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</si>
  <si>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</si>
  <si>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</si>
  <si>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</si>
  <si>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</si>
  <si>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</si>
  <si>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</si>
  <si>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</si>
  <si>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</si>
  <si>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</si>
  <si>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</si>
  <si>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</si>
  <si>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</si>
  <si>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</si>
  <si>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</si>
  <si>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</si>
  <si>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</si>
  <si>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</si>
  <si>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</si>
  <si>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</si>
  <si>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</si>
  <si>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</si>
  <si>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</si>
  <si>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</si>
  <si>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</si>
  <si>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</si>
  <si>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</si>
  <si>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</si>
  <si>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</si>
  <si>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</si>
  <si>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</si>
  <si>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</si>
  <si>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</si>
  <si>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</si>
  <si>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</si>
  <si>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</si>
  <si>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</si>
  <si>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</si>
  <si>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</si>
  <si>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</si>
  <si>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</si>
  <si>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</si>
  <si>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</si>
  <si>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</si>
  <si>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</si>
  <si>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</si>
  <si>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</si>
  <si>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</si>
  <si>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</si>
  <si>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</si>
  <si>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</si>
  <si>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</si>
  <si>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</si>
  <si>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</si>
  <si>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</si>
  <si>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</si>
  <si>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</si>
  <si>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</si>
  <si>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</si>
  <si>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</si>
  <si>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</si>
  <si>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</si>
  <si>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</si>
  <si>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</si>
  <si>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</si>
  <si>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</si>
  <si>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</si>
  <si>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</si>
  <si>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</si>
  <si>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</si>
  <si>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</si>
  <si>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</si>
  <si>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</si>
  <si>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</si>
  <si>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</si>
  <si>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</si>
  <si>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</si>
  <si>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</si>
  <si>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</si>
  <si>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</si>
  <si>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</si>
  <si>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</si>
  <si>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</si>
  <si>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</si>
  <si>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</si>
  <si>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</si>
  <si>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</si>
  <si>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</si>
  <si>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</si>
  <si>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</si>
  <si>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</si>
  <si>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</si>
  <si>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</si>
  <si>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</si>
  <si>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</si>
  <si>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</si>
  <si>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</si>
  <si>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</si>
  <si>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</si>
  <si>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</si>
  <si>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</si>
  <si>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</si>
  <si>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</si>
  <si>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</si>
  <si>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</si>
  <si>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</si>
  <si>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</si>
  <si>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</si>
  <si>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</si>
  <si>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</si>
  <si>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</si>
  <si>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</si>
  <si>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</si>
  <si>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</si>
  <si>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</si>
  <si>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</si>
  <si>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</si>
  <si>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</si>
  <si>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</si>
  <si>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</si>
  <si>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</si>
  <si>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</si>
  <si>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</si>
  <si>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</si>
  <si>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</si>
  <si>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</si>
  <si>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</si>
  <si>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</si>
  <si>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</si>
  <si>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</si>
  <si>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</si>
  <si>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</si>
  <si>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</si>
  <si>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</si>
  <si>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</si>
  <si>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</si>
  <si>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</si>
  <si>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</si>
  <si>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</si>
  <si>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</si>
  <si>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</si>
  <si>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</si>
  <si>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</si>
  <si>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</si>
  <si>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</si>
  <si>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</si>
  <si>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</si>
  <si>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</si>
  <si>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</si>
  <si>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</si>
  <si>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</si>
  <si>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</si>
  <si>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</si>
  <si>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</si>
  <si>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</si>
  <si>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</si>
  <si>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</si>
  <si>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</si>
  <si>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</si>
  <si>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</si>
  <si>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</si>
  <si>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</si>
  <si>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</si>
  <si>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</si>
  <si>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</si>
  <si>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</si>
  <si>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</si>
  <si>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</si>
  <si>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</si>
  <si>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</si>
  <si>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</si>
  <si>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</si>
  <si>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</si>
  <si>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</si>
  <si>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</si>
  <si>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</si>
  <si>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</si>
  <si>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</si>
  <si>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</si>
  <si>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</si>
  <si>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</si>
  <si>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</si>
  <si>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</si>
  <si>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</si>
  <si>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</si>
  <si>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</si>
  <si>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</si>
  <si>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</si>
  <si>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</si>
  <si>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</si>
  <si>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</si>
  <si>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</si>
  <si>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</si>
  <si>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</si>
  <si>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</si>
  <si>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</si>
  <si>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</si>
  <si>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</si>
  <si>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</si>
  <si>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</si>
  <si>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</si>
  <si>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</si>
  <si>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</si>
  <si>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</si>
  <si>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</si>
  <si>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</si>
  <si>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</si>
  <si>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</si>
  <si>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</si>
  <si>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</si>
  <si>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</si>
  <si>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</si>
  <si>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</si>
  <si>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</si>
  <si>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</si>
  <si>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</si>
  <si>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</si>
  <si>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</si>
  <si>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</si>
  <si>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</si>
  <si>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</si>
  <si>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</si>
  <si>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</si>
  <si>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</si>
  <si>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</si>
  <si>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</si>
  <si>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</si>
  <si>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</si>
  <si>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</si>
  <si>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</si>
  <si>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</si>
  <si>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</si>
  <si>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</si>
  <si>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</si>
  <si>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</si>
  <si>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</si>
  <si>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</si>
  <si>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</si>
  <si>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</si>
  <si>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</si>
  <si>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</si>
  <si>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</si>
  <si>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</si>
  <si>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</si>
  <si>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</si>
  <si>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</si>
  <si>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</si>
  <si>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</si>
  <si>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</si>
  <si>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</si>
  <si>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</si>
  <si>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</si>
  <si>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</si>
  <si>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</si>
  <si>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</si>
  <si>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</si>
  <si>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</si>
  <si>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</si>
  <si>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</si>
  <si>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</si>
  <si>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</si>
  <si>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</si>
  <si>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</si>
  <si>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</si>
  <si>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</si>
  <si>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</si>
  <si>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</si>
  <si>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</si>
  <si>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</si>
  <si>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</si>
  <si>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</si>
  <si>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</si>
  <si>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</si>
  <si>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</si>
  <si>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</si>
  <si>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</si>
  <si>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</si>
  <si>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</si>
  <si>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</si>
  <si>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</si>
  <si>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</si>
  <si>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</si>
  <si>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</si>
  <si>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</si>
  <si>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</si>
  <si>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</si>
  <si>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</si>
  <si>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</si>
  <si>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</si>
  <si>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</si>
  <si>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</si>
  <si>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</si>
  <si>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</si>
  <si>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</si>
  <si>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</si>
  <si>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</si>
  <si>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</si>
  <si>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</si>
  <si>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</si>
  <si>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</si>
  <si>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</si>
  <si>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</si>
  <si>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</si>
  <si>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</si>
  <si>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</si>
  <si>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</si>
  <si>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</si>
  <si>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</si>
  <si>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</si>
  <si>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</si>
  <si>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</si>
  <si>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</si>
  <si>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</si>
  <si>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</si>
  <si>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</si>
  <si>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</si>
  <si>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</si>
  <si>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</si>
  <si>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</si>
  <si>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</si>
  <si>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</si>
  <si>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</si>
  <si>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</si>
  <si>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</si>
  <si>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</si>
  <si>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</si>
  <si>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</si>
  <si>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</si>
  <si>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</si>
  <si>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</si>
  <si>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</si>
  <si>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</si>
  <si>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</si>
  <si>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</si>
  <si>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</si>
  <si>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</si>
  <si>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</si>
  <si>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</si>
  <si>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</si>
  <si>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</si>
  <si>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</si>
  <si>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</si>
  <si>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</si>
  <si>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</si>
  <si>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</si>
  <si>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</si>
  <si>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</si>
  <si>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</si>
  <si>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</si>
  <si>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</si>
  <si>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</si>
  <si>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</si>
  <si>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</si>
  <si>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</si>
  <si>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</si>
  <si>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</si>
  <si>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</si>
  <si>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</si>
  <si>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</si>
  <si>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</si>
  <si>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</si>
  <si>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Marion</t>
  </si>
  <si>
    <t>200 East Schwartz</t>
  </si>
  <si>
    <t>Ron Daniels</t>
  </si>
  <si>
    <t>rdaniels@ROE13.org</t>
  </si>
  <si>
    <t>618-548-6385</t>
  </si>
  <si>
    <t>618-548-6598</t>
  </si>
  <si>
    <t>N/A</t>
  </si>
  <si>
    <t>10-4799:  Perkins Revenue ($153,655)</t>
  </si>
  <si>
    <t>10-1999:  Other Income ($3,119)</t>
  </si>
  <si>
    <t>The System is responsible for the preparation of the annual financial reports including disclosures.</t>
  </si>
  <si>
    <t>The System relies on the audit firm to prepare these financial statements and disclosures.</t>
  </si>
  <si>
    <t>The audit firm prepares the financial statements and disclosures, and then goes over them with the System's management and board.  The System does not maintain an accountant on staff to prepare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</si>
  <si>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</si>
  <si>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System does not maintain staff with the technical training to prepare their own financial statements and disclosures.</t>
  </si>
  <si>
    <t>Due to the cost/benefit, we do not recommend any changes at this time.  We will continue to work with the System to ensure both management and the board have a thorough understanding of these financial statements and disclosures.</t>
  </si>
  <si>
    <t>Due to the cost/benefit of addressing this issue, no action is planned at this time.</t>
  </si>
  <si>
    <t>The Treasurer is required to carry a bond in an amount that is in compliance with a legally set minimum level.</t>
  </si>
  <si>
    <t>The treasurer's bond level was below the minimum level based upon calculations performed during our audit.</t>
  </si>
  <si>
    <t>A treasurer's bond is in place but the level of coverage does not meet the minimum required level of coverage.</t>
  </si>
  <si>
    <t>The treasurer's bond coverage is not in compliance with the legal requirements.</t>
  </si>
  <si>
    <t>The District's cash in bank levels fluctuate over time based on the timing of revenues received and the minimum level of coverage is based on the total cash in the bank.</t>
  </si>
  <si>
    <t>We recommend that the treasurer's bond coverage be increased to a sufficient level to meet this compliance.</t>
  </si>
  <si>
    <t>The treasurer's bond coverage will be increased as recommended.</t>
  </si>
  <si>
    <t>Schedule of Short-Term Debt and Schedule of Long-Term Debt:  There is no debt = N/A</t>
  </si>
  <si>
    <t xml:space="preserve"> Marion/Clinton/Wash Co CTE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</si>
</sst>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2305050</xdr:colOff>
          <xdr:row>2</xdr:row>
          <xdr:rowOff>28575</xdr:rowOff>
        </xdr:from>
        <xdr:to>
          <xdr:col>1</xdr:col>
          <xdr:colOff>3238500</xdr:colOff>
          <xdr:row>7</xdr:row>
          <xdr:rowOff>9525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323850</xdr:colOff>
          <xdr:row>6</xdr:row>
          <xdr:rowOff>142875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142875</xdr:rowOff>
        </xdr:from>
        <xdr:to>
          <xdr:col>5</xdr:col>
          <xdr:colOff>323850</xdr:colOff>
          <xdr:row>6</xdr:row>
          <xdr:rowOff>123825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1"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4"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c r="C5" s="26" t="s">
        <v>904</v>
      </c>
      <c r="D5" s="81"/>
      <c r="E5" s="81"/>
      <c r="H5" s="38"/>
      <c r="I5" s="2124" t="s">
        <v>675</v>
      </c>
      <c r="J5" s="2069"/>
      <c r="K5" s="2069"/>
      <c r="L5" s="2069"/>
      <c r="M5" s="2069"/>
      <c r="N5" s="2069"/>
      <c r="O5" s="2069"/>
      <c r="P5" s="2069"/>
      <c r="Q5" s="2069"/>
      <c r="R5" s="2069"/>
      <c r="S5" s="2069"/>
      <c r="AF5" s="1827"/>
    </row>
    <row r="6" spans="1:32" ht="14.1" customHeight="1" x14ac:dyDescent="0.2">
      <c r="B6" s="101" t="s">
        <v>2051</v>
      </c>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13000000046</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2061</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2085</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2062</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62881</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2055</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t="s">
        <v>2058</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c r="B23" s="2104"/>
      <c r="C23" s="2104"/>
      <c r="D23" s="2104"/>
      <c r="E23" s="2104"/>
      <c r="F23" s="2104"/>
      <c r="G23" s="2104"/>
      <c r="H23" s="2105"/>
      <c r="T23" s="2043" t="s">
        <v>2059</v>
      </c>
      <c r="U23" s="2044"/>
      <c r="V23" s="2044"/>
      <c r="W23" s="2044"/>
      <c r="X23" s="2059">
        <v>44530</v>
      </c>
      <c r="Y23" s="2060"/>
      <c r="Z23" s="2060"/>
      <c r="AA23" s="2061"/>
    </row>
    <row r="24" spans="1:27" ht="14.1" customHeight="1" x14ac:dyDescent="0.2">
      <c r="A24" s="85" t="s">
        <v>672</v>
      </c>
      <c r="B24" s="46"/>
      <c r="C24" s="46"/>
      <c r="D24" s="46"/>
      <c r="E24" s="46"/>
      <c r="F24" s="46"/>
      <c r="G24" s="46"/>
      <c r="H24" s="58"/>
      <c r="J24" s="2145" t="str">
        <f>IF(B5="x",IF(AUDITCHECK!D29="AFR form Incomplete.","",IF(AUDITCHECK!D29="Deficit reduction plan is required.","School District must complete a deficit reduction plan in the 2020-2021 Budget",)),"")</f>
        <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62881</v>
      </c>
      <c r="B25" s="2081"/>
      <c r="C25" s="2081"/>
      <c r="D25" s="2081"/>
      <c r="E25" s="2081"/>
      <c r="F25" s="2081"/>
      <c r="G25" s="2081"/>
      <c r="H25" s="2082"/>
      <c r="I25" s="110"/>
      <c r="J25" s="2147"/>
      <c r="K25" s="2147"/>
      <c r="L25" s="2147"/>
      <c r="M25" s="2147"/>
      <c r="N25" s="2147"/>
      <c r="O25" s="2147"/>
      <c r="P25" s="2147"/>
      <c r="Q25" s="2147"/>
      <c r="R25" s="2147"/>
      <c r="S25" s="2148"/>
      <c r="T25" s="2040" t="s">
        <v>2060</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2063</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2064</v>
      </c>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2065</v>
      </c>
      <c r="B42" s="2130"/>
      <c r="C42" s="2131"/>
      <c r="D42" s="2144" t="s">
        <v>2066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48"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44" footer="0.28999999999999998"/>
  <pageSetup firstPageNumber="29" orientation="landscape" useFirstPageNumber="1" r:id="rId1"/>
  <headerFooter alignWithMargins="0">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D57" sqref="D5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6"/>
      <c r="D4" s="1656"/>
      <c r="E4" s="1656"/>
      <c r="F4" s="1732">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1" t="s">
        <v>627</v>
      </c>
      <c r="B15" s="2292"/>
      <c r="C15" s="1732">
        <f>SUM(C6:C14)</f>
        <v>0</v>
      </c>
      <c r="D15" s="1732">
        <f>SUM(D6:D14)</f>
        <v>0</v>
      </c>
      <c r="E15" s="1732">
        <f>SUM(E6:E14)</f>
        <v>0</v>
      </c>
      <c r="F15" s="1732">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385</v>
      </c>
      <c r="B19" s="2315"/>
      <c r="C19" s="1733"/>
      <c r="D19" s="1664"/>
      <c r="E19" s="1733"/>
      <c r="F19" s="1732">
        <f>SUM(C19+D19)-E19</f>
        <v>0</v>
      </c>
    </row>
    <row r="20" spans="1:11" ht="12.75" customHeight="1" thickTop="1" thickBot="1" x14ac:dyDescent="0.25">
      <c r="A20" s="2314" t="s">
        <v>445</v>
      </c>
      <c r="B20" s="2315"/>
      <c r="C20" s="1733"/>
      <c r="D20" s="1664"/>
      <c r="E20" s="1733"/>
      <c r="F20" s="1732">
        <f>SUM(C20+D20)-E20</f>
        <v>0</v>
      </c>
    </row>
    <row r="21" spans="1:11" ht="14.25" thickTop="1" thickBot="1" x14ac:dyDescent="0.25">
      <c r="A21" s="2291" t="s">
        <v>628</v>
      </c>
      <c r="B21" s="2292"/>
      <c r="C21" s="1732">
        <f>SUM(C17:C20)</f>
        <v>0</v>
      </c>
      <c r="D21" s="1732">
        <f>SUM(D17:D20)</f>
        <v>0</v>
      </c>
      <c r="E21" s="1732">
        <f>SUM(E17:E20)</f>
        <v>0</v>
      </c>
      <c r="F21" s="1732">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6"/>
      <c r="D23" s="1656"/>
      <c r="E23" s="1656"/>
      <c r="F23" s="1732">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6"/>
      <c r="D25" s="1656"/>
      <c r="E25" s="1656"/>
      <c r="F25" s="1732">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4"/>
      <c r="D27" s="1664"/>
      <c r="E27" s="1664"/>
      <c r="F27" s="173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7" footer="0.2"/>
  <pageSetup scale="73" firstPageNumber="40" fitToHeight="0" orientation="landscape" useFirstPageNumber="1" r:id="rId1"/>
  <headerFooter alignWithMargins="0">
    <oddHeader>&amp;C Marion, Clinton, Washington Counties Career and Technical Education System</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8"/>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4"/>
      <c r="H3" s="1744"/>
      <c r="I3" s="1744"/>
      <c r="J3" s="1745"/>
      <c r="K3" s="1745"/>
    </row>
    <row r="4" spans="1:11" x14ac:dyDescent="0.2">
      <c r="A4" s="2327" t="s">
        <v>366</v>
      </c>
      <c r="B4" s="2328"/>
      <c r="C4" s="2328"/>
      <c r="D4" s="2328"/>
      <c r="E4" s="2309"/>
      <c r="F4" s="620"/>
      <c r="G4" s="1746"/>
      <c r="H4" s="1747"/>
      <c r="I4" s="1746"/>
      <c r="J4" s="1748"/>
      <c r="K4" s="1748"/>
    </row>
    <row r="5" spans="1:11" x14ac:dyDescent="0.2">
      <c r="A5" s="2347" t="s">
        <v>1060</v>
      </c>
      <c r="B5" s="2318"/>
      <c r="C5" s="2318"/>
      <c r="D5" s="2318"/>
      <c r="E5" s="2348"/>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7" t="s">
        <v>1790</v>
      </c>
      <c r="B10" s="2318"/>
      <c r="C10" s="2318"/>
      <c r="D10" s="2318"/>
      <c r="E10" s="2349"/>
      <c r="F10" s="633" t="s">
        <v>857</v>
      </c>
      <c r="G10" s="1753"/>
      <c r="H10" s="1754"/>
      <c r="I10" s="1744"/>
      <c r="J10" s="1745"/>
      <c r="K10" s="1745"/>
    </row>
    <row r="11" spans="1:11" x14ac:dyDescent="0.2">
      <c r="A11" s="2347" t="s">
        <v>159</v>
      </c>
      <c r="B11" s="2318"/>
      <c r="C11" s="2318"/>
      <c r="D11" s="2318"/>
      <c r="E11" s="2348"/>
      <c r="F11" s="622" t="s">
        <v>847</v>
      </c>
      <c r="G11" s="1749"/>
      <c r="H11" s="1744"/>
      <c r="I11" s="1744"/>
      <c r="J11" s="1745"/>
      <c r="K11" s="1751"/>
    </row>
    <row r="12" spans="1:11" ht="13.5" thickBot="1" x14ac:dyDescent="0.25">
      <c r="A12" s="2335" t="s">
        <v>899</v>
      </c>
      <c r="B12" s="2336"/>
      <c r="C12" s="2336"/>
      <c r="D12" s="2336"/>
      <c r="E12" s="2337"/>
      <c r="F12" s="1433"/>
      <c r="G12" s="1755">
        <f>SUM(G5:G11)</f>
        <v>0</v>
      </c>
      <c r="H12" s="1755">
        <f>SUM(H5:H11)</f>
        <v>0</v>
      </c>
      <c r="I12" s="1755">
        <f>SUM(I5:I11)</f>
        <v>0</v>
      </c>
      <c r="J12" s="1755">
        <f>SUM(J5:J11)</f>
        <v>0</v>
      </c>
      <c r="K12" s="1755">
        <f>SUM(K5:K11)</f>
        <v>0</v>
      </c>
    </row>
    <row r="13" spans="1:11" ht="13.5" thickTop="1" x14ac:dyDescent="0.2">
      <c r="A13" s="2329" t="s">
        <v>367</v>
      </c>
      <c r="B13" s="2330"/>
      <c r="C13" s="2330"/>
      <c r="D13" s="2330"/>
      <c r="E13" s="2331"/>
      <c r="F13" s="634"/>
      <c r="G13" s="1756"/>
      <c r="H13" s="1757"/>
      <c r="I13" s="1758"/>
      <c r="J13" s="1758"/>
      <c r="K13" s="1758"/>
    </row>
    <row r="14" spans="1:11" x14ac:dyDescent="0.2">
      <c r="A14" s="2353" t="s">
        <v>453</v>
      </c>
      <c r="B14" s="2353"/>
      <c r="C14" s="2353"/>
      <c r="D14" s="2353"/>
      <c r="E14" s="2354"/>
      <c r="F14" s="635" t="s">
        <v>849</v>
      </c>
      <c r="G14" s="1753"/>
      <c r="H14" s="1744"/>
      <c r="I14" s="1749"/>
      <c r="J14" s="1751"/>
      <c r="K14" s="1745"/>
    </row>
    <row r="15" spans="1:11" x14ac:dyDescent="0.2">
      <c r="A15" s="2318" t="s">
        <v>4</v>
      </c>
      <c r="B15" s="2318"/>
      <c r="C15" s="2318"/>
      <c r="D15" s="2318"/>
      <c r="E15" s="2348"/>
      <c r="F15" s="635" t="s">
        <v>850</v>
      </c>
      <c r="G15" s="1749"/>
      <c r="H15" s="1744"/>
      <c r="I15" s="1744"/>
      <c r="J15" s="1745"/>
      <c r="K15" s="1745"/>
    </row>
    <row r="16" spans="1:11" x14ac:dyDescent="0.2">
      <c r="A16" s="2318" t="s">
        <v>295</v>
      </c>
      <c r="B16" s="2318"/>
      <c r="C16" s="2318"/>
      <c r="D16" s="2318"/>
      <c r="E16" s="2348"/>
      <c r="F16" s="635" t="s">
        <v>917</v>
      </c>
      <c r="G16" s="1750"/>
      <c r="H16" s="1746"/>
      <c r="I16" s="1746"/>
      <c r="J16" s="1748"/>
      <c r="K16" s="1748"/>
    </row>
    <row r="17" spans="1:15" x14ac:dyDescent="0.2">
      <c r="A17" s="2342" t="s">
        <v>929</v>
      </c>
      <c r="B17" s="2342"/>
      <c r="C17" s="2342"/>
      <c r="D17" s="2342"/>
      <c r="E17" s="2343"/>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38" t="s">
        <v>633</v>
      </c>
      <c r="B21" s="2338"/>
      <c r="C21" s="2338"/>
      <c r="D21" s="2338"/>
      <c r="E21" s="2338"/>
      <c r="F21" s="1434"/>
      <c r="G21" s="1760"/>
      <c r="H21" s="1764"/>
      <c r="I21" s="1764"/>
      <c r="J21" s="1765">
        <f>SUM(J18:J20)</f>
        <v>0</v>
      </c>
      <c r="K21" s="1761"/>
    </row>
    <row r="22" spans="1:15" ht="13.5" thickTop="1" x14ac:dyDescent="0.2">
      <c r="A22" s="2318" t="s">
        <v>1792</v>
      </c>
      <c r="B22" s="2318"/>
      <c r="C22" s="2318"/>
      <c r="D22" s="2318"/>
      <c r="E22" s="2348"/>
      <c r="F22" s="635" t="s">
        <v>857</v>
      </c>
      <c r="G22" s="1753"/>
      <c r="H22" s="1744"/>
      <c r="I22" s="1744"/>
      <c r="J22" s="1766"/>
      <c r="K22" s="1745"/>
    </row>
    <row r="23" spans="1:15" ht="13.5" thickBot="1" x14ac:dyDescent="0.25">
      <c r="A23" s="2339" t="s">
        <v>900</v>
      </c>
      <c r="B23" s="2338"/>
      <c r="C23" s="2338"/>
      <c r="D23" s="2338"/>
      <c r="E23" s="2338"/>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0" t="str">
        <f>"Ending Cash Basis Fund Balance as of June 30, "&amp;'AFR20'!E2</f>
        <v>Ending Cash Basis Fund Balance as of June 30, 2020</v>
      </c>
      <c r="B24" s="2341"/>
      <c r="C24" s="2341"/>
      <c r="D24" s="2341"/>
      <c r="E24" s="234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48" right="0.17" top="0.68" bottom="0.4" header="0.35" footer="0.2"/>
  <pageSetup scale="82" firstPageNumber="31" orientation="landscape" useFirstPageNumber="1" r:id="rId1"/>
  <headerFooter>
    <oddHeader xml:space="preserve">&amp;C&amp;"Arial,Bold"Schedule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57" sqref="D5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1112473</v>
      </c>
      <c r="D12" s="1771">
        <v>87148</v>
      </c>
      <c r="E12" s="1771"/>
      <c r="F12" s="1765">
        <f>(C12+D12)-E12</f>
        <v>1199621</v>
      </c>
      <c r="G12" s="681">
        <v>10</v>
      </c>
      <c r="H12" s="619">
        <v>607245</v>
      </c>
      <c r="I12" s="619">
        <v>119415</v>
      </c>
      <c r="J12" s="619"/>
      <c r="K12" s="1442">
        <f>(H12+I12)-J12</f>
        <v>726660</v>
      </c>
      <c r="L12" s="1442">
        <f>F12-K12</f>
        <v>472961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1112473</v>
      </c>
      <c r="D16" s="1765">
        <f>SUM(D3,D5:D6,D8:D10,D12:D15)</f>
        <v>87148</v>
      </c>
      <c r="E16" s="1765">
        <f>SUM(E3,E5:E6,E8:E10,E12:E15)</f>
        <v>0</v>
      </c>
      <c r="F16" s="1765">
        <f>SUM(F3,F5:F6,F8:F10,F12:F15)</f>
        <v>1199621</v>
      </c>
      <c r="G16" s="681"/>
      <c r="H16" s="1435">
        <f>SUM(H3,H6,H8:H10,H12:H14,)</f>
        <v>607245</v>
      </c>
      <c r="I16" s="1435">
        <f>SUM(I3,I6,I8:I10,I12:I14,)</f>
        <v>119415</v>
      </c>
      <c r="J16" s="1435">
        <f>SUM(J3,J6,J8:J10,J12:J14,)</f>
        <v>0</v>
      </c>
      <c r="K16" s="1435">
        <f>(H16+I16)-J16</f>
        <v>726660</v>
      </c>
      <c r="L16" s="1435">
        <f>F16-K16</f>
        <v>472961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119415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7" footer="0.33"/>
  <pageSetup scale="80" firstPageNumber="41" orientation="landscape" useFirstPageNumber="1" r:id="rId1"/>
  <headerFooter alignWithMargins="0">
    <oddHeader>&amp;C  Marion, Clinton, Washington Counties Career and Technical Education System</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 colorId="8" zoomScale="110" zoomScaleNormal="110" workbookViewId="0">
      <selection activeCell="C44" sqref="C4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483976</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483976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25375</v>
      </c>
      <c r="G53" s="701"/>
    </row>
    <row r="54" spans="1:7" x14ac:dyDescent="0.2">
      <c r="A54" s="705" t="s">
        <v>456</v>
      </c>
      <c r="B54" s="705" t="s">
        <v>1459</v>
      </c>
      <c r="C54" s="724" t="s">
        <v>975</v>
      </c>
      <c r="D54" s="720" t="s">
        <v>1086</v>
      </c>
      <c r="E54" s="704"/>
      <c r="F54" s="1782">
        <f>'Expenditures 15-22'!G114</f>
        <v>87149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112524</v>
      </c>
      <c r="G77" s="701"/>
    </row>
    <row r="78" spans="1:9" s="728" customFormat="1" ht="12" customHeight="1" thickTop="1" thickBot="1" x14ac:dyDescent="0.25">
      <c r="A78" s="1450"/>
      <c r="B78" s="1448"/>
      <c r="C78" s="1445"/>
      <c r="D78" s="1449" t="s">
        <v>2012</v>
      </c>
      <c r="E78" s="1447"/>
      <c r="F78" s="1788">
        <f>(F14-F77)</f>
        <v>371452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397482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153655</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551137</v>
      </c>
    </row>
    <row r="176" spans="1:7" ht="12" customHeight="1" x14ac:dyDescent="0.2">
      <c r="A176" s="1443"/>
      <c r="B176" s="1453"/>
      <c r="C176" s="1454"/>
      <c r="D176" s="1455" t="s">
        <v>2014</v>
      </c>
      <c r="E176" s="1456"/>
      <c r="F176" s="1793">
        <f>'PCTC-OEPP 27-28'!F78-F175</f>
        <v>-179685</v>
      </c>
    </row>
    <row r="177" spans="1:9" ht="12" customHeight="1" x14ac:dyDescent="0.2">
      <c r="A177" s="1443"/>
      <c r="B177" s="1453"/>
      <c r="C177" s="1454"/>
      <c r="D177" s="1455" t="s">
        <v>1794</v>
      </c>
      <c r="E177" s="1456"/>
      <c r="F177" s="1793">
        <f>'Cap Outlay Deprec 26'!I18</f>
        <v>119415</v>
      </c>
    </row>
    <row r="178" spans="1:9" ht="12" customHeight="1" x14ac:dyDescent="0.2">
      <c r="A178" s="1443"/>
      <c r="B178" s="1453"/>
      <c r="C178" s="1454"/>
      <c r="D178" s="1455" t="s">
        <v>2015</v>
      </c>
      <c r="E178" s="1456"/>
      <c r="F178" s="1793">
        <f>F176+F177</f>
        <v>-60270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38" footer="0.31"/>
  <pageSetup scale="72" firstPageNumber="33" orientation="portrait" useFirstPageNumber="1" r:id="rId2"/>
  <headerFooter differentOddEven="1" alignWithMargins="0">
    <oddHeader xml:space="preserve">&amp;C </oddHeader>
    <oddFooter>&amp;C&amp;14- &amp;P -</oddFoot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J27" sqref="J27"/>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1912"/>
      <c r="B18" s="1907"/>
      <c r="C18" s="1913"/>
      <c r="D18" s="1885"/>
      <c r="E18" s="1905">
        <f t="shared" ref="E18:E33" si="0">IF(D18&lt;25000,D18,"25,000")</f>
        <v>0</v>
      </c>
      <c r="F18" s="1905" t="str">
        <f t="shared" ref="F18:F33"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8"/>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0</v>
      </c>
      <c r="E35" s="1892">
        <f>SUM(E18:E34)</f>
        <v>0</v>
      </c>
      <c r="F35" s="1893">
        <f>SUM(F18:F34)</f>
        <v>0</v>
      </c>
    </row>
  </sheetData>
  <sheetProtection selectLockedCells="1"/>
  <mergeCells count="6">
    <mergeCell ref="A15:F15"/>
    <mergeCell ref="A4:F5"/>
    <mergeCell ref="A7:F7"/>
    <mergeCell ref="A10:F10"/>
    <mergeCell ref="A11:F11"/>
    <mergeCell ref="A13:F13"/>
  </mergeCells>
  <pageMargins left="0.4" right="0.2" top="0.61" bottom="0.25" header="0.35" footer="0.3"/>
  <pageSetup scale="80" firstPageNumber="35" fitToHeight="0" orientation="landscape" useFirstPageNumber="1" r:id="rId1"/>
  <headerFooter>
    <oddHeader>&amp;C Marion, Clinton, Washington Counties Career and Technical Education System</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236087</v>
      </c>
      <c r="F19" s="1802"/>
      <c r="G19" s="1804">
        <f>'Expenditures 15-22'!K33-SUM('Expenditures 15-22'!G33,'Expenditures 15-22'!I33)+'Expenditures 15-22'!D229</f>
        <v>236087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31262</v>
      </c>
      <c r="F21" s="1805"/>
      <c r="G21" s="1808">
        <f>'Expenditures 15-22'!K42-SUM('Expenditures 15-22'!G42,'Expenditures 15-22'!I42)+'Expenditures 15-22'!K120-SUM('Expenditures 15-22'!G120,'Expenditures 15-22'!I120)+'Expenditures 15-22'!K180-SUM('Expenditures 15-22'!G180,'Expenditures 15-22'!I180)+'Expenditures 15-22'!D238</f>
        <v>31262</v>
      </c>
      <c r="H21" s="817"/>
      <c r="I21" s="157"/>
    </row>
    <row r="22" spans="1:9" s="542" customFormat="1" ht="12" customHeight="1" x14ac:dyDescent="0.2">
      <c r="A22" s="824" t="s">
        <v>560</v>
      </c>
      <c r="B22" s="825"/>
      <c r="C22" s="823">
        <v>2200</v>
      </c>
      <c r="D22" s="1805"/>
      <c r="E22" s="1807">
        <f>'Expenditures 15-22'!K47-SUM('Expenditures 15-22'!G47,'Expenditures 15-22'!I47)+'Expenditures 15-22'!D243</f>
        <v>34367</v>
      </c>
      <c r="F22" s="1805"/>
      <c r="G22" s="1808">
        <f>'Expenditures 15-22'!K47-SUM('Expenditures 15-22'!G47,'Expenditures 15-22'!I47)+'Expenditures 15-22'!D243</f>
        <v>34367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46060</v>
      </c>
      <c r="F23" s="1805"/>
      <c r="G23" s="1807">
        <f>'Expenditures 15-22'!K53-SUM('Expenditures 15-22'!G53,'Expenditures 15-22'!I53)+'Expenditures 15-22'!D257+'Expenditures 15-22'!K330-SUM('Expenditures 15-22'!G330,'Expenditures 15-22'!I330)</f>
        <v>46060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23676</v>
      </c>
      <c r="E27" s="1807">
        <f>E8</f>
        <v>0</v>
      </c>
      <c r="F27" s="1807">
        <f>'Expenditures 15-22'!K60-SUM('Expenditures 15-22'!G60,'Expenditures 15-22'!I60)+'Expenditures 15-22'!D264-E8</f>
        <v>23676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29'!F35</f>
        <v>0</v>
      </c>
      <c r="F40" s="1805"/>
      <c r="G40" s="1809">
        <f>-'Contracts Paid in CY 29'!F35</f>
        <v>0</v>
      </c>
    </row>
    <row r="41" spans="1:7" ht="12" customHeight="1" x14ac:dyDescent="0.2">
      <c r="A41" s="828" t="s">
        <v>155</v>
      </c>
      <c r="B41" s="829"/>
      <c r="C41" s="830"/>
      <c r="D41" s="1809">
        <f>SUM(D19:D39)</f>
        <v>23676</v>
      </c>
      <c r="E41" s="1809">
        <f>SUM(E19:E40)</f>
        <v>347776</v>
      </c>
      <c r="F41" s="1809">
        <f>SUM(F19:F39)</f>
        <v>23676</v>
      </c>
      <c r="G41" s="1809">
        <f>SUM(G19:G40)</f>
        <v>347776</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23676</v>
      </c>
      <c r="F43" s="1458" t="s">
        <v>470</v>
      </c>
      <c r="G43" s="1810">
        <f>F41</f>
        <v>23676</v>
      </c>
    </row>
    <row r="44" spans="1:7" ht="12" customHeight="1" x14ac:dyDescent="0.2">
      <c r="A44" s="817"/>
      <c r="B44" s="157"/>
      <c r="C44" s="831"/>
      <c r="D44" s="1458" t="s">
        <v>471</v>
      </c>
      <c r="E44" s="1810">
        <f>E41</f>
        <v>347776</v>
      </c>
      <c r="F44" s="1458" t="s">
        <v>471</v>
      </c>
      <c r="G44" s="1810">
        <f>G41</f>
        <v>347776</v>
      </c>
    </row>
    <row r="45" spans="1:7" ht="12" customHeight="1" x14ac:dyDescent="0.2">
      <c r="A45" s="817"/>
      <c r="B45" s="157"/>
      <c r="C45" s="157"/>
      <c r="D45" s="1459" t="s">
        <v>999</v>
      </c>
      <c r="E45" s="1811">
        <f>(E43/E44)</f>
        <v>6.80783032756717E-2</v>
      </c>
      <c r="F45" s="1459" t="s">
        <v>999</v>
      </c>
      <c r="G45" s="1811">
        <f>(G43/G44)</f>
        <v>6.80783032756717E-2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36" orientation="landscape" useFirstPageNumber="1" r:id="rId1"/>
  <headerFooter alignWithMargins="0">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9" t="s">
        <v>1363</v>
      </c>
      <c r="B1" s="2399"/>
      <c r="C1" s="2399"/>
      <c r="D1" s="2399"/>
      <c r="E1" s="2399"/>
      <c r="F1" s="239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0" t="s">
        <v>1529</v>
      </c>
      <c r="B5" s="2401"/>
      <c r="C5" s="2402"/>
      <c r="D5" s="2402"/>
      <c r="E5" s="2402"/>
      <c r="F5" s="2402"/>
      <c r="G5" s="1507"/>
      <c r="L5" s="1507"/>
      <c r="M5" s="1855"/>
      <c r="N5" s="1855"/>
      <c r="O5" s="1855"/>
    </row>
    <row r="6" spans="1:15" ht="12" customHeight="1" x14ac:dyDescent="0.25">
      <c r="A6" s="1480"/>
      <c r="B6" s="1481"/>
      <c r="C6" s="2403" t="str">
        <f>COVER!A17</f>
        <v xml:space="preserve"> Marion/Clinton/Wash Co CTE</v>
      </c>
      <c r="D6" s="2403"/>
      <c r="E6" s="2403"/>
      <c r="F6" s="1482"/>
      <c r="G6" s="1507"/>
      <c r="L6" s="1507"/>
      <c r="M6" s="1855"/>
      <c r="N6" s="1855"/>
      <c r="O6" s="1855"/>
    </row>
    <row r="7" spans="1:15" ht="11.25" customHeight="1" thickBot="1" x14ac:dyDescent="0.3">
      <c r="A7" s="1480"/>
      <c r="B7" s="1481"/>
      <c r="C7" s="2404">
        <f>COVER!A13</f>
        <v>13000000046</v>
      </c>
      <c r="D7" s="2404"/>
      <c r="E7" s="240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9" right="0.2" top="0.68" bottom="0.61" header="0.17" footer="0.31"/>
  <pageSetup scale="83" firstPageNumber="37" orientation="landscape" useFirstPageNumber="1" r:id="rId1"/>
  <headerFoot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19" t="str">
        <f>COVER!A17</f>
        <v xml:space="preserve"> Marion/Clinton/Wash Co CTE</v>
      </c>
      <c r="K6" s="2419"/>
      <c r="L6" s="2420"/>
      <c r="M6" s="838"/>
      <c r="N6" s="1998"/>
    </row>
    <row r="7" spans="1:14" x14ac:dyDescent="0.2">
      <c r="A7" s="2421" t="s">
        <v>864</v>
      </c>
      <c r="B7" s="2422"/>
      <c r="C7" s="2422"/>
      <c r="D7" s="2422"/>
      <c r="E7" s="2423"/>
      <c r="F7" s="839"/>
      <c r="G7" s="838"/>
      <c r="H7" s="838"/>
      <c r="I7" s="1924" t="s">
        <v>369</v>
      </c>
      <c r="J7" s="2424">
        <f>COVER!A13</f>
        <v>13000000046</v>
      </c>
      <c r="K7" s="2424"/>
      <c r="L7" s="2424"/>
      <c r="M7" s="838"/>
      <c r="N7" s="1998"/>
    </row>
    <row r="8" spans="1:14" x14ac:dyDescent="0.2">
      <c r="A8" s="2000"/>
      <c r="B8" s="1925"/>
      <c r="C8" s="1925"/>
      <c r="D8" s="1925"/>
      <c r="E8" s="1926"/>
      <c r="F8" s="1927"/>
      <c r="G8" s="1910"/>
      <c r="H8" s="1910"/>
      <c r="I8" s="1910"/>
      <c r="J8" s="1910"/>
      <c r="K8" s="1910"/>
      <c r="L8" s="1910"/>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5" t="s">
        <v>478</v>
      </c>
      <c r="B11" s="2426"/>
      <c r="C11" s="242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46060</v>
      </c>
      <c r="F12" s="1942"/>
      <c r="G12" s="1968">
        <f>G68</f>
        <v>0</v>
      </c>
      <c r="H12" s="1944">
        <f t="shared" ref="H12:H18" si="0">SUM(E12:G12)</f>
        <v>46060</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8" t="s">
        <v>7</v>
      </c>
      <c r="C18" s="2429"/>
      <c r="D18" s="243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46060</v>
      </c>
      <c r="F19" s="1950">
        <f t="shared" si="2"/>
        <v>0</v>
      </c>
      <c r="G19" s="1950">
        <f t="shared" ref="G19" si="3">SUM(G12:G17)-G18</f>
        <v>0</v>
      </c>
      <c r="H19" s="1950">
        <f t="shared" si="2"/>
        <v>46060</v>
      </c>
      <c r="I19" s="1950">
        <f t="shared" si="2"/>
        <v>0</v>
      </c>
      <c r="J19" s="1950">
        <f t="shared" si="2"/>
        <v>0</v>
      </c>
      <c r="K19" s="1950">
        <f t="shared" si="2"/>
        <v>0</v>
      </c>
      <c r="L19" s="1950">
        <f t="shared" si="2"/>
        <v>0</v>
      </c>
      <c r="M19" s="838"/>
      <c r="N19" s="1998"/>
    </row>
    <row r="20" spans="1:14" ht="13.5" thickTop="1" x14ac:dyDescent="0.2">
      <c r="A20" s="2003">
        <v>9</v>
      </c>
      <c r="B20" s="2431" t="s">
        <v>2021</v>
      </c>
      <c r="C20" s="2431"/>
      <c r="D20" s="2432"/>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3"/>
      <c r="D27" s="2433"/>
      <c r="E27" s="843"/>
      <c r="F27" s="2434"/>
      <c r="G27" s="2434"/>
      <c r="H27" s="2434"/>
      <c r="I27" s="838"/>
      <c r="J27" s="838"/>
      <c r="K27" s="838"/>
      <c r="L27" s="838"/>
      <c r="M27" s="838"/>
      <c r="N27" s="1998"/>
    </row>
    <row r="28" spans="1:14" x14ac:dyDescent="0.2">
      <c r="A28" s="1997"/>
      <c r="B28" s="2007"/>
      <c r="C28" s="1957" t="s">
        <v>1026</v>
      </c>
      <c r="D28" s="844"/>
      <c r="E28" s="1958"/>
      <c r="F28" s="2435" t="s">
        <v>1492</v>
      </c>
      <c r="G28" s="2435"/>
      <c r="H28" s="2435"/>
      <c r="I28" s="838"/>
      <c r="J28" s="838"/>
      <c r="K28" s="838"/>
      <c r="L28" s="838"/>
      <c r="M28" s="838"/>
      <c r="N28" s="1998"/>
    </row>
    <row r="29" spans="1:14" x14ac:dyDescent="0.2">
      <c r="A29" s="1997"/>
      <c r="B29" s="2007"/>
      <c r="C29" s="2436"/>
      <c r="D29" s="2436"/>
      <c r="E29" s="845"/>
      <c r="F29" s="2436"/>
      <c r="G29" s="2436"/>
      <c r="H29" s="2436"/>
      <c r="I29" s="838"/>
      <c r="J29" s="838"/>
      <c r="K29" s="838"/>
      <c r="L29" s="838"/>
      <c r="M29" s="838"/>
      <c r="N29" s="1998"/>
    </row>
    <row r="30" spans="1:14" x14ac:dyDescent="0.2">
      <c r="A30" s="1997"/>
      <c r="B30" s="2007"/>
      <c r="C30" s="1960" t="s">
        <v>1544</v>
      </c>
      <c r="D30" s="838"/>
      <c r="E30" s="1959"/>
      <c r="F30" s="2418" t="s">
        <v>1493</v>
      </c>
      <c r="G30" s="2418"/>
      <c r="H30" s="241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9" t="s">
        <v>2024</v>
      </c>
      <c r="D34" s="2440"/>
      <c r="E34" s="2440"/>
      <c r="F34" s="2440"/>
      <c r="G34" s="2440"/>
      <c r="H34" s="2440"/>
      <c r="I34" s="2440"/>
      <c r="J34" s="2440"/>
      <c r="K34" s="2016"/>
      <c r="L34" s="838"/>
      <c r="M34" s="838"/>
      <c r="N34" s="1998"/>
    </row>
    <row r="35" spans="1:14" x14ac:dyDescent="0.2">
      <c r="A35" s="1997"/>
      <c r="B35" s="838"/>
      <c r="C35" s="2440"/>
      <c r="D35" s="2440"/>
      <c r="E35" s="2440"/>
      <c r="F35" s="2440"/>
      <c r="G35" s="2440"/>
      <c r="H35" s="2440"/>
      <c r="I35" s="2440"/>
      <c r="J35" s="244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9" t="s">
        <v>2025</v>
      </c>
      <c r="D37" s="2440"/>
      <c r="E37" s="2440"/>
      <c r="F37" s="2440"/>
      <c r="G37" s="2440"/>
      <c r="H37" s="2440"/>
      <c r="I37" s="2440"/>
      <c r="J37" s="2440"/>
      <c r="K37" s="2016"/>
      <c r="L37" s="2018"/>
      <c r="M37" s="838"/>
      <c r="N37" s="1998"/>
    </row>
    <row r="38" spans="1:14" x14ac:dyDescent="0.2">
      <c r="A38" s="1997"/>
      <c r="B38" s="838"/>
      <c r="C38" s="2440"/>
      <c r="D38" s="2440"/>
      <c r="E38" s="2440"/>
      <c r="F38" s="2440"/>
      <c r="G38" s="2440"/>
      <c r="H38" s="2440"/>
      <c r="I38" s="2440"/>
      <c r="J38" s="244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1" t="s">
        <v>2026</v>
      </c>
      <c r="D40" s="2442"/>
      <c r="E40" s="2442"/>
      <c r="F40" s="2442"/>
      <c r="G40" s="2442"/>
      <c r="H40" s="2442"/>
      <c r="I40" s="2442"/>
      <c r="J40" s="244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19" t="str">
        <f>J6</f>
        <v xml:space="preserve"> Marion/Clinton/Wash Co CTE</v>
      </c>
      <c r="M52" s="2419"/>
      <c r="N52" s="2449"/>
    </row>
    <row r="53" spans="1:14" x14ac:dyDescent="0.2">
      <c r="A53" s="1982"/>
      <c r="B53" s="1983"/>
      <c r="C53" s="1983"/>
      <c r="D53" s="1983"/>
      <c r="E53" s="1983"/>
      <c r="F53" s="1983"/>
      <c r="G53" s="1983"/>
      <c r="H53" s="1983"/>
      <c r="I53" s="1983"/>
      <c r="J53" s="1983"/>
      <c r="K53" s="1924" t="s">
        <v>369</v>
      </c>
      <c r="L53" s="2424">
        <f>J7</f>
        <v>13000000046</v>
      </c>
      <c r="M53" s="2424"/>
      <c r="N53" s="245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1"/>
      <c r="B55" s="2452"/>
      <c r="C55" s="2452"/>
      <c r="D55" s="1970"/>
      <c r="E55" s="1970"/>
      <c r="F55" s="1970"/>
      <c r="G55" s="2453" t="s">
        <v>2030</v>
      </c>
      <c r="H55" s="2453"/>
      <c r="I55" s="2453"/>
      <c r="J55" s="2453"/>
      <c r="K55" s="2453"/>
      <c r="L55" s="2453"/>
      <c r="M55" s="2453"/>
      <c r="N55" s="2454"/>
    </row>
    <row r="56" spans="1:14" ht="63.75" x14ac:dyDescent="0.2">
      <c r="A56" s="2455" t="s">
        <v>2031</v>
      </c>
      <c r="B56" s="2456"/>
      <c r="C56" s="245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8" t="s">
        <v>296</v>
      </c>
      <c r="B57" s="2459"/>
      <c r="C57" s="245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7" t="s">
        <v>2041</v>
      </c>
      <c r="B58" s="2438"/>
      <c r="C58" s="243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0" t="s">
        <v>297</v>
      </c>
      <c r="B59" s="2461"/>
      <c r="C59" s="246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0" t="s">
        <v>236</v>
      </c>
      <c r="B60" s="2461"/>
      <c r="C60" s="246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0" t="s">
        <v>697</v>
      </c>
      <c r="B61" s="2461"/>
      <c r="C61" s="2461"/>
      <c r="D61" s="1967">
        <v>2365</v>
      </c>
      <c r="E61" s="1977">
        <f>'Expenditures 15-22'!K323</f>
        <v>0</v>
      </c>
      <c r="F61" s="1972"/>
      <c r="G61" s="2031"/>
      <c r="H61" s="2032"/>
      <c r="I61" s="2032"/>
      <c r="J61" s="2032"/>
      <c r="K61" s="2032"/>
      <c r="L61" s="2032"/>
      <c r="M61" s="2032"/>
      <c r="N61" s="1975">
        <f t="shared" si="4"/>
        <v>0</v>
      </c>
    </row>
    <row r="62" spans="1:14" ht="24" customHeight="1" x14ac:dyDescent="0.2">
      <c r="A62" s="2460" t="s">
        <v>237</v>
      </c>
      <c r="B62" s="2461"/>
      <c r="C62" s="2461"/>
      <c r="D62" s="1967">
        <v>2366</v>
      </c>
      <c r="E62" s="1977">
        <f>'Expenditures 15-22'!K324</f>
        <v>0</v>
      </c>
      <c r="F62" s="1972"/>
      <c r="G62" s="2031"/>
      <c r="H62" s="2032"/>
      <c r="I62" s="2032"/>
      <c r="J62" s="2032"/>
      <c r="K62" s="2032"/>
      <c r="L62" s="2032"/>
      <c r="M62" s="2032"/>
      <c r="N62" s="1975">
        <f t="shared" si="4"/>
        <v>0</v>
      </c>
    </row>
    <row r="63" spans="1:14" ht="24" customHeight="1" x14ac:dyDescent="0.2">
      <c r="A63" s="2437" t="s">
        <v>1022</v>
      </c>
      <c r="B63" s="2438"/>
      <c r="C63" s="2438"/>
      <c r="D63" s="1967">
        <v>2367</v>
      </c>
      <c r="E63" s="1977">
        <f>'Expenditures 15-22'!K325</f>
        <v>0</v>
      </c>
      <c r="F63" s="1972"/>
      <c r="G63" s="2031"/>
      <c r="H63" s="2032"/>
      <c r="I63" s="2032"/>
      <c r="J63" s="2032"/>
      <c r="K63" s="2032"/>
      <c r="L63" s="2032"/>
      <c r="M63" s="2032"/>
      <c r="N63" s="1975">
        <f t="shared" si="4"/>
        <v>0</v>
      </c>
    </row>
    <row r="64" spans="1:14" ht="24" customHeight="1" x14ac:dyDescent="0.2">
      <c r="A64" s="2460" t="s">
        <v>1023</v>
      </c>
      <c r="B64" s="2461"/>
      <c r="C64" s="2461"/>
      <c r="D64" s="1967">
        <v>2368</v>
      </c>
      <c r="E64" s="1977">
        <f>'Expenditures 15-22'!K326</f>
        <v>0</v>
      </c>
      <c r="F64" s="1972"/>
      <c r="G64" s="2031"/>
      <c r="H64" s="2032"/>
      <c r="I64" s="2032"/>
      <c r="J64" s="2032"/>
      <c r="K64" s="2032"/>
      <c r="L64" s="2032"/>
      <c r="M64" s="2032"/>
      <c r="N64" s="1975">
        <f t="shared" si="4"/>
        <v>0</v>
      </c>
    </row>
    <row r="65" spans="1:14" ht="24" customHeight="1" x14ac:dyDescent="0.2">
      <c r="A65" s="2460" t="s">
        <v>965</v>
      </c>
      <c r="B65" s="2461"/>
      <c r="C65" s="2461"/>
      <c r="D65" s="1967">
        <v>2369</v>
      </c>
      <c r="E65" s="1977">
        <f>'Expenditures 15-22'!K327</f>
        <v>0</v>
      </c>
      <c r="F65" s="1972"/>
      <c r="G65" s="2031"/>
      <c r="H65" s="2032"/>
      <c r="I65" s="2032"/>
      <c r="J65" s="2032"/>
      <c r="K65" s="2032"/>
      <c r="L65" s="2032"/>
      <c r="M65" s="2032"/>
      <c r="N65" s="1975">
        <f t="shared" si="4"/>
        <v>0</v>
      </c>
    </row>
    <row r="66" spans="1:14" ht="24" customHeight="1" x14ac:dyDescent="0.2">
      <c r="A66" s="2460" t="s">
        <v>469</v>
      </c>
      <c r="B66" s="2461"/>
      <c r="C66" s="2461"/>
      <c r="D66" s="1967">
        <v>2371</v>
      </c>
      <c r="E66" s="1977">
        <f>'Expenditures 15-22'!K328</f>
        <v>0</v>
      </c>
      <c r="F66" s="1972"/>
      <c r="G66" s="2031"/>
      <c r="H66" s="2032"/>
      <c r="I66" s="2032"/>
      <c r="J66" s="2032"/>
      <c r="K66" s="2032"/>
      <c r="L66" s="2032"/>
      <c r="M66" s="2032"/>
      <c r="N66" s="1975">
        <f t="shared" si="4"/>
        <v>0</v>
      </c>
    </row>
    <row r="67" spans="1:14" ht="24.75" customHeight="1" x14ac:dyDescent="0.2">
      <c r="A67" s="2462" t="s">
        <v>2042</v>
      </c>
      <c r="B67" s="2463"/>
      <c r="C67" s="2463"/>
      <c r="D67" s="1969">
        <v>2372</v>
      </c>
      <c r="E67" s="1978">
        <f>'Expenditures 15-22'!K329</f>
        <v>0</v>
      </c>
      <c r="F67" s="1972"/>
      <c r="G67" s="2033"/>
      <c r="H67" s="2034"/>
      <c r="I67" s="2034"/>
      <c r="J67" s="2034"/>
      <c r="K67" s="2034"/>
      <c r="L67" s="2034"/>
      <c r="M67" s="2034"/>
      <c r="N67" s="1975">
        <f t="shared" si="4"/>
        <v>0</v>
      </c>
    </row>
    <row r="68" spans="1:14" x14ac:dyDescent="0.2">
      <c r="A68" s="2464" t="s">
        <v>1151</v>
      </c>
      <c r="B68" s="2465"/>
      <c r="C68" s="246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57" sqref="D5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2069</v>
      </c>
    </row>
    <row r="6" spans="1:2" x14ac:dyDescent="0.2">
      <c r="A6" s="847">
        <v>2</v>
      </c>
      <c r="B6" s="307" t="s">
        <v>2068</v>
      </c>
    </row>
    <row r="7" spans="1:2" x14ac:dyDescent="0.2">
      <c r="A7" s="847">
        <v>3</v>
      </c>
      <c r="B7" s="307" t="s">
        <v>2084</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1" footer="0.43"/>
  <pageSetup scale="80" firstPageNumber="42" orientation="portrait" useFirstPageNumber="1" r:id="rId1"/>
  <headerFooter alignWithMargins="0">
    <oddHeader>&amp;C  Marion, Clinton, Washington Counties Career and Technical Education System</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E50" sqref="AE5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3" sqref="F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2305050</xdr:colOff>
                <xdr:row>2</xdr:row>
                <xdr:rowOff>28575</xdr:rowOff>
              </from>
              <to>
                <xdr:col>1</xdr:col>
                <xdr:colOff>3238500</xdr:colOff>
                <xdr:row>7</xdr:row>
                <xdr:rowOff>9525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2</xdr:row>
                <xdr:rowOff>0</xdr:rowOff>
              </from>
              <to>
                <xdr:col>3</xdr:col>
                <xdr:colOff>323850</xdr:colOff>
                <xdr:row>6</xdr:row>
                <xdr:rowOff>142875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4</xdr:col>
                <xdr:colOff>0</xdr:colOff>
                <xdr:row>1</xdr:row>
                <xdr:rowOff>142875</xdr:rowOff>
              </from>
              <to>
                <xdr:col>5</xdr:col>
                <xdr:colOff>323850</xdr:colOff>
                <xdr:row>6</xdr:row>
                <xdr:rowOff>123825</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555650</v>
      </c>
      <c r="C8" s="1813">
        <f>'Acct Summary 7-8'!D8</f>
        <v>0</v>
      </c>
      <c r="D8" s="1813">
        <f>'Acct Summary 7-8'!F8</f>
        <v>0</v>
      </c>
      <c r="E8" s="1813">
        <f>'Acct Summary 7-8'!I8</f>
        <v>0</v>
      </c>
      <c r="F8" s="1813">
        <f>SUM(B8:E8)</f>
        <v>555650</v>
      </c>
    </row>
    <row r="9" spans="1:8" s="858" customFormat="1" ht="14.25" customHeight="1" thickBot="1" x14ac:dyDescent="0.25">
      <c r="A9" s="857" t="s">
        <v>1353</v>
      </c>
      <c r="B9" s="1814">
        <f>'Acct Summary 7-8'!C17</f>
        <v>483976</v>
      </c>
      <c r="C9" s="1814">
        <f>'Acct Summary 7-8'!D17</f>
        <v>0</v>
      </c>
      <c r="D9" s="1814">
        <f>'Acct Summary 7-8'!F17</f>
        <v>0</v>
      </c>
      <c r="E9" s="1813"/>
      <c r="F9" s="1813">
        <f>SUM(B9:E9)</f>
        <v>483976</v>
      </c>
    </row>
    <row r="10" spans="1:8" s="858" customFormat="1" ht="14.25" thickTop="1" thickBot="1" x14ac:dyDescent="0.25">
      <c r="A10" s="859" t="s">
        <v>1354</v>
      </c>
      <c r="B10" s="1815">
        <f>(B8-B9)</f>
        <v>71674</v>
      </c>
      <c r="C10" s="1815">
        <f>(C8-C9)</f>
        <v>0</v>
      </c>
      <c r="D10" s="1815">
        <f>(D8-D9)</f>
        <v>0</v>
      </c>
      <c r="E10" s="1814">
        <f>(E8-E9)</f>
        <v>0</v>
      </c>
      <c r="F10" s="1816">
        <f>SUM(F8-F9)</f>
        <v>71674</v>
      </c>
    </row>
    <row r="11" spans="1:8" s="858" customFormat="1" ht="14.25" thickTop="1" thickBot="1" x14ac:dyDescent="0.25">
      <c r="A11" s="860" t="s">
        <v>1903</v>
      </c>
      <c r="B11" s="1817">
        <f>'Acct Summary 7-8'!C81</f>
        <v>325294</v>
      </c>
      <c r="C11" s="1817">
        <f>'Acct Summary 7-8'!D81</f>
        <v>0</v>
      </c>
      <c r="D11" s="1817">
        <f>'Acct Summary 7-8'!F81</f>
        <v>0</v>
      </c>
      <c r="E11" s="1817">
        <f>'Acct Summary 7-8'!I81</f>
        <v>0</v>
      </c>
      <c r="F11" s="1818">
        <f>SUM(B11:E11)</f>
        <v>325294</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29'!$D$35&gt;0,"OK","PLEASE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ENTRY REQUIRED!</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13000000046</v>
      </c>
      <c r="E2" s="1542">
        <v>2020</v>
      </c>
      <c r="F2" s="1542">
        <v>1</v>
      </c>
      <c r="G2" s="1898">
        <v>101000300</v>
      </c>
    </row>
    <row r="3" spans="1:7" ht="15" x14ac:dyDescent="0.25">
      <c r="A3" t="s">
        <v>950</v>
      </c>
      <c r="B3" s="135" t="str">
        <f>COVER!A15</f>
        <v>Marion</v>
      </c>
      <c r="E3" s="1830" t="s">
        <v>1971</v>
      </c>
      <c r="F3" s="1830" t="s">
        <v>1970</v>
      </c>
      <c r="G3" s="1898">
        <v>101000400</v>
      </c>
    </row>
    <row r="4" spans="1:7" ht="15" x14ac:dyDescent="0.25">
      <c r="A4" t="s">
        <v>1000</v>
      </c>
      <c r="B4" s="135" t="str">
        <f>COVER!A17</f>
        <v xml:space="preserve"> Marion/Clinton/Wash Co CTE</v>
      </c>
      <c r="E4" s="1828">
        <v>44119</v>
      </c>
      <c r="F4" s="1829">
        <v>44151</v>
      </c>
      <c r="G4" s="1898">
        <v>101000600</v>
      </c>
    </row>
    <row r="5" spans="1:7" ht="15" x14ac:dyDescent="0.25">
      <c r="A5" t="s">
        <v>699</v>
      </c>
      <c r="B5" s="135" t="str">
        <f>COVER!A38</f>
        <v>Ron Daniels</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f>IF(COVER!J31="x","Yes",IF(COVER!L31="x","No",0))</f>
        <v>0</v>
      </c>
      <c r="G14" s="1898">
        <v>402100300</v>
      </c>
    </row>
    <row r="15" spans="1:7" ht="15" x14ac:dyDescent="0.25">
      <c r="A15" t="s">
        <v>573</v>
      </c>
      <c r="B15" s="135" t="str">
        <f>COVER!T23</f>
        <v>066-005231</v>
      </c>
      <c r="G15" s="1898">
        <v>402100400</v>
      </c>
    </row>
    <row r="16" spans="1:7" ht="15" x14ac:dyDescent="0.25">
      <c r="A16" t="s">
        <v>419</v>
      </c>
      <c r="B16" s="135" t="str">
        <f>COVER!T13</f>
        <v>Leymone Hardcastle &amp; Co., Ltd.</v>
      </c>
      <c r="G16" s="1898">
        <v>402100600</v>
      </c>
    </row>
    <row r="17" spans="1:7" ht="15" x14ac:dyDescent="0.25">
      <c r="A17" t="s">
        <v>878</v>
      </c>
      <c r="B17" s="135" t="str">
        <f>COVER!T15</f>
        <v>Sara E. Hanks</v>
      </c>
      <c r="G17" s="1898">
        <v>402100800</v>
      </c>
    </row>
    <row r="18" spans="1:7" ht="15" x14ac:dyDescent="0.25">
      <c r="A18" t="s">
        <v>1140</v>
      </c>
      <c r="B18" s="135" t="str">
        <f>COVER!T17</f>
        <v>200 West Main Street</v>
      </c>
      <c r="G18" s="1898">
        <v>102200300</v>
      </c>
    </row>
    <row r="19" spans="1:7" ht="15" x14ac:dyDescent="0.25">
      <c r="A19" t="s">
        <v>880</v>
      </c>
      <c r="B19" s="135" t="str">
        <f>COVER!T25</f>
        <v>sara@hardcastlecpa.com</v>
      </c>
      <c r="G19" s="1898">
        <v>102200400</v>
      </c>
    </row>
    <row r="20" spans="1:7" ht="15" x14ac:dyDescent="0.25">
      <c r="A20" t="s">
        <v>881</v>
      </c>
      <c r="B20" s="135" t="str">
        <f>COVER!T19</f>
        <v>Salem</v>
      </c>
      <c r="G20" s="1898">
        <v>102200600</v>
      </c>
    </row>
    <row r="21" spans="1:7" ht="15" x14ac:dyDescent="0.25">
      <c r="A21" t="s">
        <v>476</v>
      </c>
      <c r="B21" s="135" t="str">
        <f>COVER!X19</f>
        <v>IL</v>
      </c>
      <c r="G21" s="1898">
        <v>102200800</v>
      </c>
    </row>
    <row r="22" spans="1:7" ht="15" x14ac:dyDescent="0.25">
      <c r="A22" t="s">
        <v>882</v>
      </c>
      <c r="B22" s="135">
        <f>COVER!Z19</f>
        <v>62881</v>
      </c>
      <c r="G22" s="1898">
        <v>102300300</v>
      </c>
    </row>
    <row r="23" spans="1:7" ht="15" x14ac:dyDescent="0.25">
      <c r="A23" t="s">
        <v>1142</v>
      </c>
      <c r="B23" s="135" t="str">
        <f>COVER!T21</f>
        <v>618-548-1002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Yes</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325294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298650</v>
      </c>
      <c r="D92" s="2" t="str">
        <f t="shared" si="0"/>
        <v>Error?</v>
      </c>
      <c r="G92" s="1898">
        <v>102640600</v>
      </c>
    </row>
    <row r="93" spans="1:7" ht="15" x14ac:dyDescent="0.25">
      <c r="A93" s="5">
        <v>32</v>
      </c>
      <c r="B93" s="1832">
        <f>'Assets-Liab 5-6'!C41</f>
        <v>325294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0</v>
      </c>
      <c r="D123" s="2" t="str">
        <f t="shared" si="0"/>
        <v>Error?</v>
      </c>
      <c r="G123" s="1898">
        <v>203000400</v>
      </c>
    </row>
    <row r="124" spans="1:7" ht="15" x14ac:dyDescent="0.25">
      <c r="A124" s="5">
        <v>63</v>
      </c>
      <c r="B124" s="1832">
        <f>'Assets-Liab 5-6'!D41</f>
        <v>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1199621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1199621</v>
      </c>
      <c r="C279" s="2" t="s">
        <v>569</v>
      </c>
      <c r="D279" s="2" t="str">
        <f t="shared" si="3"/>
        <v>Error?</v>
      </c>
    </row>
    <row r="280" spans="1:4" x14ac:dyDescent="0.2">
      <c r="A280" s="5">
        <v>219</v>
      </c>
      <c r="B280" s="1832">
        <f>'Assets-Liab 5-6'!M40</f>
        <v>1199621</v>
      </c>
      <c r="D280" s="2" t="str">
        <f t="shared" si="3"/>
        <v>Error?</v>
      </c>
    </row>
    <row r="281" spans="1:4" x14ac:dyDescent="0.2">
      <c r="A281" s="5">
        <v>220</v>
      </c>
      <c r="B281" s="1832">
        <f>'Assets-Liab 5-6'!M41</f>
        <v>1199621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44212</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44212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23923</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23923</v>
      </c>
      <c r="C727" s="2" t="s">
        <v>569</v>
      </c>
      <c r="D727" s="2" t="str">
        <f t="shared" si="10"/>
        <v>Error?</v>
      </c>
    </row>
    <row r="728" spans="1:4" x14ac:dyDescent="0.2">
      <c r="A728" s="5">
        <v>667</v>
      </c>
      <c r="B728" s="1832">
        <f>'Expenditures 15-22'!C44</f>
        <v>25284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25284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38500</v>
      </c>
      <c r="D733" s="2" t="str">
        <f t="shared" si="10"/>
        <v>Error?</v>
      </c>
    </row>
    <row r="734" spans="1:4" x14ac:dyDescent="0.2">
      <c r="A734" s="5">
        <v>673</v>
      </c>
      <c r="B734" s="1832">
        <f>'Expenditures 15-22'!C53</f>
        <v>38500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16000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16000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103707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147919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3382</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3382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7339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7339</v>
      </c>
      <c r="C785" s="2" t="s">
        <v>569</v>
      </c>
      <c r="D785" s="2" t="str">
        <f t="shared" si="11"/>
        <v>Error?</v>
      </c>
    </row>
    <row r="786" spans="1:4" x14ac:dyDescent="0.2">
      <c r="A786" s="5">
        <v>725</v>
      </c>
      <c r="B786" s="1832">
        <f>'Expenditures 15-22'!D44</f>
        <v>2145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2145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558</v>
      </c>
      <c r="D791" s="2" t="str">
        <f t="shared" si="11"/>
        <v>Error?</v>
      </c>
    </row>
    <row r="792" spans="1:4" x14ac:dyDescent="0.2">
      <c r="A792" s="5">
        <v>731</v>
      </c>
      <c r="B792" s="1832">
        <f>'Expenditures 15-22'!D53</f>
        <v>558</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1757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1757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11799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15181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49684</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49684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5946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5946</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7002</v>
      </c>
      <c r="D849" s="2" t="str">
        <f t="shared" si="12"/>
        <v>Error?</v>
      </c>
    </row>
    <row r="850" spans="1:4" x14ac:dyDescent="0.2">
      <c r="A850" s="5">
        <v>789</v>
      </c>
      <c r="B850" s="1832">
        <f>'Expenditures 15-22'!E53</f>
        <v>7002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5919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5919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18867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78926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138809</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138809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992</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992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992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139801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87149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87149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87149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15000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15000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323236</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323236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31262</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31262</v>
      </c>
      <c r="C1115" s="2" t="s">
        <v>569</v>
      </c>
      <c r="D1115" s="2" t="str">
        <f t="shared" si="16"/>
        <v>Error?</v>
      </c>
    </row>
    <row r="1116" spans="1:4" x14ac:dyDescent="0.2">
      <c r="A1116" s="5">
        <v>1055</v>
      </c>
      <c r="B1116" s="1832">
        <f>'Expenditures 15-22'!K44</f>
        <v>34367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34367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46060</v>
      </c>
      <c r="C1121" s="2" t="s">
        <v>569</v>
      </c>
      <c r="D1121" s="2" t="str">
        <f t="shared" si="16"/>
        <v>Error?</v>
      </c>
    </row>
    <row r="1122" spans="1:4" x14ac:dyDescent="0.2">
      <c r="A1122" s="5">
        <v>1061</v>
      </c>
      <c r="B1122" s="1832">
        <f>'Expenditures 15-22'!K53</f>
        <v>46060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23676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23676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135365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25375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483976</v>
      </c>
      <c r="C1152" s="2" t="s">
        <v>569</v>
      </c>
      <c r="D1152" s="2" t="str">
        <f t="shared" si="17"/>
        <v>Error?</v>
      </c>
    </row>
    <row r="1153" spans="1:4" x14ac:dyDescent="0.2">
      <c r="A1153" s="5">
        <v>1092</v>
      </c>
      <c r="B1153" s="1832">
        <f>'Expenditures 15-22'!K115</f>
        <v>71674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253620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325294</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1112473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1112473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87148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87148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1199621</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1199621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607245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607245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119415</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119415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726660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726660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472961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472961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26644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4513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397482</v>
      </c>
      <c r="C2553" s="2" t="s">
        <v>569</v>
      </c>
      <c r="D2553" s="2" t="str">
        <f t="shared" si="38"/>
        <v>Error?</v>
      </c>
    </row>
    <row r="2554" spans="1:4" x14ac:dyDescent="0.2">
      <c r="A2554" s="5">
        <v>2493</v>
      </c>
      <c r="B2554" s="1832">
        <f>'Acct Summary 7-8'!C7</f>
        <v>153655</v>
      </c>
      <c r="C2554" s="2" t="s">
        <v>569</v>
      </c>
      <c r="D2554" s="2" t="str">
        <f t="shared" si="38"/>
        <v>Error?</v>
      </c>
    </row>
    <row r="2555" spans="1:4" x14ac:dyDescent="0.2">
      <c r="A2555" s="5">
        <v>2494</v>
      </c>
      <c r="B2555" s="1832">
        <f>'Acct Summary 7-8'!C8</f>
        <v>555650</v>
      </c>
      <c r="C2555" s="2" t="s">
        <v>569</v>
      </c>
      <c r="D2555" s="2" t="str">
        <f t="shared" si="38"/>
        <v>Error?</v>
      </c>
    </row>
    <row r="2556" spans="1:4" x14ac:dyDescent="0.2">
      <c r="A2556" s="5">
        <v>2495</v>
      </c>
      <c r="B2556" s="1832">
        <f>'Acct Summary 7-8'!C12</f>
        <v>323236</v>
      </c>
      <c r="C2556" s="2" t="s">
        <v>569</v>
      </c>
      <c r="D2556" s="2" t="str">
        <f t="shared" si="38"/>
        <v>Error?</v>
      </c>
    </row>
    <row r="2557" spans="1:4" x14ac:dyDescent="0.2">
      <c r="A2557" s="5">
        <v>2496</v>
      </c>
      <c r="B2557" s="1832">
        <f>'Acct Summary 7-8'!C13</f>
        <v>135365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25375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483976</v>
      </c>
      <c r="C2561" s="2" t="s">
        <v>569</v>
      </c>
      <c r="D2561" s="2" t="str">
        <f t="shared" si="39"/>
        <v>Error?</v>
      </c>
    </row>
    <row r="2562" spans="1:4" x14ac:dyDescent="0.2">
      <c r="A2562" s="5">
        <v>2501</v>
      </c>
      <c r="B2562" s="1832">
        <f>'Acct Summary 7-8'!C20</f>
        <v>71674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10375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71674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325294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8101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563751</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8101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492077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325294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153655</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1394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1394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3119</v>
      </c>
      <c r="D5119" s="2" t="str">
        <f t="shared" ref="D5119:D5182" si="79">IF(ISBLANK(B5119),"OK",IF(A5119-B5119=0,"OK","Error?"))</f>
        <v>Error?</v>
      </c>
    </row>
    <row r="5120" spans="1:4" x14ac:dyDescent="0.2">
      <c r="A5120" s="5">
        <v>5059</v>
      </c>
      <c r="B5120" s="1832">
        <f>'Revenues 9-14'!C108</f>
        <v>3119</v>
      </c>
      <c r="C5120" s="2" t="s">
        <v>569</v>
      </c>
      <c r="D5120" s="2" t="str">
        <f t="shared" si="79"/>
        <v>Error?</v>
      </c>
    </row>
    <row r="5121" spans="1:4" x14ac:dyDescent="0.2">
      <c r="A5121" s="5">
        <v>5060</v>
      </c>
      <c r="B5121" s="1832">
        <f>'Revenues 9-14'!C109</f>
        <v>4513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397482</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397482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397482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397482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153655</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153655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153655</v>
      </c>
      <c r="C5326" s="2" t="s">
        <v>569</v>
      </c>
      <c r="D5326" s="2" t="str">
        <f t="shared" si="82"/>
        <v>Error?</v>
      </c>
    </row>
    <row r="5327" spans="1:5" x14ac:dyDescent="0.2">
      <c r="A5327" s="5">
        <v>5266</v>
      </c>
      <c r="B5327" s="1832">
        <f>'Revenues 9-14'!C268</f>
        <v>555650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71674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0.22033606522100008</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10375</v>
      </c>
      <c r="D7008" s="2" t="str">
        <f t="shared" si="108"/>
        <v>Error?</v>
      </c>
    </row>
    <row r="7009" spans="1:4" x14ac:dyDescent="0.2">
      <c r="A7009">
        <v>6948</v>
      </c>
      <c r="B7009" s="1832">
        <f>'Expenditures 15-22'!H99</f>
        <v>15000</v>
      </c>
      <c r="D7009" s="2" t="str">
        <f t="shared" si="108"/>
        <v>Error?</v>
      </c>
    </row>
    <row r="7010" spans="1:4" x14ac:dyDescent="0.2">
      <c r="A7010">
        <v>6949</v>
      </c>
      <c r="B7010" s="1832">
        <f>'Expenditures 15-22'!K99</f>
        <v>25375</v>
      </c>
      <c r="D7010" s="2" t="str">
        <f t="shared" si="108"/>
        <v>Error?</v>
      </c>
    </row>
    <row r="7011" spans="1:4" x14ac:dyDescent="0.2">
      <c r="A7011">
        <v>6950</v>
      </c>
      <c r="B7011" s="1832">
        <f>'Expenditures 15-22'!E100</f>
        <v>10375</v>
      </c>
      <c r="D7011" s="2" t="str">
        <f t="shared" si="108"/>
        <v>Error?</v>
      </c>
    </row>
    <row r="7012" spans="1:4" x14ac:dyDescent="0.2">
      <c r="A7012">
        <v>6951</v>
      </c>
      <c r="B7012" s="1832">
        <f>'Expenditures 15-22'!H100</f>
        <v>15000</v>
      </c>
      <c r="D7012" s="2" t="str">
        <f t="shared" si="108"/>
        <v>Error?</v>
      </c>
    </row>
    <row r="7013" spans="1:4" x14ac:dyDescent="0.2">
      <c r="A7013">
        <v>6952</v>
      </c>
      <c r="B7013" s="1832">
        <f>'Expenditures 15-22'!K100</f>
        <v>25375</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119415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483976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112524</v>
      </c>
      <c r="D7834" s="2" t="str">
        <f t="shared" si="129"/>
        <v>Error?</v>
      </c>
      <c r="E7834" s="4" t="s">
        <v>1998</v>
      </c>
    </row>
    <row r="7835" spans="1:5" x14ac:dyDescent="0.2">
      <c r="A7835">
        <v>7774</v>
      </c>
      <c r="B7835" s="1832">
        <f>'PCTC-OEPP 27-28'!F78</f>
        <v>371452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397482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153655</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551137</v>
      </c>
      <c r="D7877" s="2" t="str">
        <f t="shared" si="129"/>
        <v>Error?</v>
      </c>
      <c r="E7877" s="4" t="s">
        <v>1998</v>
      </c>
    </row>
    <row r="7878" spans="1:5" x14ac:dyDescent="0.2">
      <c r="A7878">
        <v>7817</v>
      </c>
      <c r="B7878" s="1832">
        <f>'PCTC-OEPP 27-28'!F176</f>
        <v>-179685</v>
      </c>
      <c r="D7878" s="2" t="str">
        <f t="shared" si="129"/>
        <v>Error?</v>
      </c>
      <c r="E7878" s="4" t="s">
        <v>1998</v>
      </c>
    </row>
    <row r="7879" spans="1:5" x14ac:dyDescent="0.2">
      <c r="A7879">
        <v>7818</v>
      </c>
      <c r="B7879" s="1832">
        <f>'PCTC-OEPP 27-28'!F178</f>
        <v>-60270</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4" t="str">
        <f>COVER!A17</f>
        <v xml:space="preserve"> Marion/Clinton/Wash Co CTE</v>
      </c>
      <c r="B7" s="2535"/>
      <c r="C7" s="2535"/>
      <c r="D7" s="2536"/>
      <c r="E7" s="2537">
        <f>COVER!A13</f>
        <v>13000000046</v>
      </c>
      <c r="F7" s="2538"/>
      <c r="G7" s="2544" t="str">
        <f>COVER!T23</f>
        <v>066-005231</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17" t="str">
        <f>COVER!T13</f>
        <v>Leymone Hardcastle &amp; Co., Ltd.</v>
      </c>
      <c r="H9" s="2550"/>
      <c r="I9" s="2550"/>
      <c r="J9" s="2550"/>
      <c r="K9" s="2550"/>
      <c r="L9" s="2551"/>
    </row>
    <row r="10" spans="1:29" ht="13.5" customHeight="1" x14ac:dyDescent="0.2">
      <c r="A10" s="2523" t="str">
        <f>COVER!A38</f>
        <v>Ron Daniels</v>
      </c>
      <c r="B10" s="2524"/>
      <c r="C10" s="2524"/>
      <c r="D10" s="2524"/>
      <c r="E10" s="2524"/>
      <c r="F10" s="2525"/>
      <c r="G10" s="2517" t="str">
        <f>COVER!T17</f>
        <v>200 West Main Street</v>
      </c>
      <c r="H10" s="2518"/>
      <c r="I10" s="2518"/>
      <c r="J10" s="2518"/>
      <c r="K10" s="2518"/>
      <c r="L10" s="2519"/>
    </row>
    <row r="11" spans="1:29" ht="13.5" customHeight="1" x14ac:dyDescent="0.2">
      <c r="A11" s="963" t="s">
        <v>1502</v>
      </c>
      <c r="B11" s="964"/>
      <c r="C11" s="965"/>
      <c r="D11" s="970"/>
      <c r="E11" s="965"/>
      <c r="F11" s="969"/>
      <c r="G11" s="2517" t="str">
        <f>COVER!T19</f>
        <v>Salem</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sara@hardcastlecpa.com</v>
      </c>
      <c r="J13" s="2530"/>
      <c r="K13" s="2530"/>
      <c r="L13" s="2531"/>
    </row>
    <row r="14" spans="1:29" ht="13.5" customHeight="1" x14ac:dyDescent="0.2">
      <c r="A14" s="2517" t="str">
        <f>COVER!A19</f>
        <v>200 East Schwartz</v>
      </c>
      <c r="B14" s="2518"/>
      <c r="C14" s="2518"/>
      <c r="D14" s="2518"/>
      <c r="E14" s="2518"/>
      <c r="F14" s="2519"/>
      <c r="G14" s="974" t="s">
        <v>1175</v>
      </c>
      <c r="H14" s="972"/>
      <c r="I14" s="972"/>
      <c r="J14" s="972"/>
      <c r="K14" s="972"/>
      <c r="L14" s="973"/>
    </row>
    <row r="15" spans="1:29" ht="13.5" customHeight="1" x14ac:dyDescent="0.2">
      <c r="A15" s="2517" t="str">
        <f>COVER!A21</f>
        <v>Salem</v>
      </c>
      <c r="B15" s="2518"/>
      <c r="C15" s="2518"/>
      <c r="D15" s="2518"/>
      <c r="E15" s="2518"/>
      <c r="F15" s="2519"/>
      <c r="G15" s="2514" t="str">
        <f>COVER!T15</f>
        <v>Sara E. Hanks</v>
      </c>
      <c r="H15" s="2515"/>
      <c r="I15" s="2515"/>
      <c r="J15" s="2515"/>
      <c r="K15" s="2515"/>
      <c r="L15" s="2516"/>
    </row>
    <row r="16" spans="1:29" ht="12.2" customHeight="1" x14ac:dyDescent="0.2">
      <c r="A16" s="2540">
        <f>COVER!A25</f>
        <v>62881</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1174</v>
      </c>
      <c r="H17" s="972"/>
      <c r="I17" s="972"/>
      <c r="J17" s="972"/>
      <c r="K17" s="976" t="s">
        <v>1173</v>
      </c>
      <c r="L17" s="969"/>
      <c r="M17" s="962"/>
    </row>
    <row r="18" spans="1:13" ht="12.2" customHeight="1" x14ac:dyDescent="0.2">
      <c r="A18" s="2523"/>
      <c r="B18" s="2524"/>
      <c r="C18" s="2524"/>
      <c r="D18" s="2524"/>
      <c r="E18" s="2524"/>
      <c r="F18" s="2525"/>
      <c r="G18" s="2534" t="str">
        <f>COVER!T21</f>
        <v>618-548-1002</v>
      </c>
      <c r="H18" s="2535"/>
      <c r="I18" s="2535"/>
      <c r="J18" s="2535"/>
      <c r="K18" s="2534" t="str">
        <f>COVER!X21</f>
        <v>618-548-1018</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Marion/Clinton/Wash Co CTE</v>
      </c>
      <c r="B1" s="2557"/>
      <c r="C1" s="2557"/>
      <c r="D1" s="2557"/>
    </row>
    <row r="2" spans="1:11" s="991" customFormat="1" ht="12.75" x14ac:dyDescent="0.2">
      <c r="A2" s="2558">
        <f>'Single Audit Cover'!E7</f>
        <v>13000000046</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Marion/Clinton/Wash Co CTE</v>
      </c>
      <c r="B1" s="2561"/>
      <c r="C1" s="2561"/>
      <c r="D1" s="2561"/>
      <c r="E1" s="2561"/>
    </row>
    <row r="2" spans="1:5" x14ac:dyDescent="0.2">
      <c r="A2" s="2562">
        <f>'Single Audit Cover'!E7</f>
        <v>13000000046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153655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153655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153655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153655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Marion/Clinton/Wash Co CTE</v>
      </c>
      <c r="C1" s="2565"/>
      <c r="D1" s="2565"/>
      <c r="E1" s="2565"/>
      <c r="F1" s="2565"/>
      <c r="G1" s="2565"/>
      <c r="H1" s="2565"/>
      <c r="I1" s="2565"/>
      <c r="J1" s="2565"/>
      <c r="K1" s="2565"/>
      <c r="L1" s="2565"/>
      <c r="M1" s="2565"/>
    </row>
    <row r="2" spans="2:14" ht="15" x14ac:dyDescent="0.2">
      <c r="B2" s="2566">
        <f>'Single Audit Cover'!E7</f>
        <v>13000000046</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Marion/Clinton/Wash Co CTE</v>
      </c>
      <c r="B1" s="2578"/>
      <c r="C1" s="2578"/>
      <c r="D1" s="2578"/>
      <c r="E1" s="2578"/>
      <c r="F1" s="2578"/>
    </row>
    <row r="2" spans="1:7" ht="13.5" customHeight="1" x14ac:dyDescent="0.2">
      <c r="A2" s="2566">
        <f>'Single Audit Cover'!E7</f>
        <v>13000000046</v>
      </c>
      <c r="B2" s="2566"/>
      <c r="C2" s="2566"/>
      <c r="D2" s="2566"/>
      <c r="E2" s="2566"/>
      <c r="F2" s="2566"/>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1706</v>
      </c>
      <c r="B7" s="2577"/>
      <c r="C7" s="2577"/>
      <c r="D7" s="2577"/>
      <c r="E7" s="2577"/>
      <c r="F7" s="257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1708</v>
      </c>
      <c r="B13" s="2577"/>
      <c r="C13" s="2577"/>
      <c r="D13" s="2577"/>
      <c r="E13" s="2577"/>
      <c r="F13" s="2577"/>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1" t="s">
        <v>1709</v>
      </c>
      <c r="B32" s="2571"/>
      <c r="C32" s="2571"/>
      <c r="D32" s="2571"/>
      <c r="E32" s="2571"/>
      <c r="F32" s="257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2">
        <f>+C33+C34</f>
        <v>0</v>
      </c>
      <c r="F34" s="257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1573</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1534</v>
      </c>
      <c r="C51" s="2569"/>
      <c r="D51" s="2569"/>
    </row>
    <row r="52" spans="1:5" ht="14.25" customHeight="1" x14ac:dyDescent="0.2">
      <c r="A52" s="1077"/>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E50" sqref="AE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2051</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1" footer="0.4"/>
  <pageSetup scale="85" firstPageNumber="49" orientation="portrait" useFirstPageNumber="1" r:id="rId1"/>
  <headerFooter differentOddEven="1" alignWithMargins="0">
    <oddHeader>&amp;C Marion, Clinton, Washington Counties Career and Technical Education System</oddHeader>
    <oddFooter>&amp;C&amp;14- &amp;P -</oddFooter>
    <evenHeader>&amp;C Marion, Clinton, Washington Counties Career and Technical Education System</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Marion/Clinton/Wash Co CTE</v>
      </c>
      <c r="C1" s="2593"/>
      <c r="D1" s="2593"/>
      <c r="E1" s="2593"/>
      <c r="F1" s="2593"/>
      <c r="G1" s="2593"/>
      <c r="H1" s="2593"/>
      <c r="I1" s="2593"/>
      <c r="J1" s="1178"/>
    </row>
    <row r="2" spans="2:10" s="295" customFormat="1" ht="12.75" customHeight="1" x14ac:dyDescent="0.2">
      <c r="B2" s="2594">
        <f>'Single Audit Cover'!E7</f>
        <v>13000000046</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c r="E29" s="2599"/>
      <c r="F29" s="2599"/>
      <c r="G29" s="2599"/>
      <c r="H29" s="2599"/>
      <c r="I29" s="25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0" t="s">
        <v>1728</v>
      </c>
      <c r="D37" s="2601"/>
      <c r="E37" s="2601"/>
      <c r="F37" s="2602"/>
      <c r="G37" s="2600" t="s">
        <v>1575</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581" t="s">
        <v>1576</v>
      </c>
      <c r="D43" s="2582"/>
      <c r="E43" s="2582"/>
      <c r="F43" s="2583"/>
      <c r="G43" s="2584">
        <f>SUM(G38:I42)</f>
        <v>0</v>
      </c>
      <c r="H43" s="2584"/>
      <c r="I43" s="2584"/>
    </row>
    <row r="44" spans="2:9" ht="12.75" customHeight="1" x14ac:dyDescent="0.2"/>
    <row r="45" spans="2:9" ht="12.75" customHeight="1" x14ac:dyDescent="0.2">
      <c r="B45" s="1917" t="str">
        <f>"Total Federal Expenditures for 7/1/"&amp;MID('AFR20'!E2,3,2)-1&amp;"-6/30/"&amp;MID('AFR20'!E2,3,2)</f>
        <v>Total Federal Expenditures for 7/1/19-6/30/20</v>
      </c>
      <c r="C45" s="1918"/>
      <c r="D45" s="2585">
        <v>0</v>
      </c>
      <c r="E45" s="258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7"/>
      <c r="F49" s="2587"/>
      <c r="G49" s="258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Marion/Clinton/Wash Co CTE</v>
      </c>
      <c r="C1" s="2592"/>
      <c r="D1" s="2592"/>
      <c r="E1" s="2592"/>
      <c r="F1" s="2592"/>
      <c r="G1" s="2592"/>
      <c r="H1" s="2592"/>
      <c r="I1" s="2592"/>
      <c r="J1" s="2592"/>
      <c r="K1" s="2592"/>
      <c r="L1" s="1144"/>
      <c r="M1" s="1144"/>
    </row>
    <row r="2" spans="1:13" ht="12" customHeight="1" x14ac:dyDescent="0.2">
      <c r="B2" s="2594">
        <f>'Single Audit Cover'!E7</f>
        <v>13000000046</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2070</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2071</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2072</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2073</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2074</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2075</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2076</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38"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1CB8F-CD49-441A-B11A-74640BE2A01A}">
  <dimension ref="A1:M41"/>
  <sheetViews>
    <sheetView showGridLines="0" topLeftCell="A1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Marion/Clinton/Wash Co CTE</v>
      </c>
      <c r="C1" s="2592"/>
      <c r="D1" s="2592"/>
      <c r="E1" s="2592"/>
      <c r="F1" s="2592"/>
      <c r="G1" s="2592"/>
      <c r="H1" s="2592"/>
      <c r="I1" s="2592"/>
      <c r="J1" s="2592"/>
      <c r="K1" s="2592"/>
      <c r="L1" s="1144"/>
      <c r="M1" s="1144"/>
    </row>
    <row r="2" spans="1:13" ht="12" customHeight="1" x14ac:dyDescent="0.2">
      <c r="B2" s="2594">
        <f>'Single Audit Cover'!E7</f>
        <v>13000000046</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2035"/>
      <c r="M3" s="2035"/>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2077</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2078</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2079</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2080</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2081</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2082</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2083</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39" orientation="portrait" useFirstPageNumber="1" r:id="rId1"/>
  <headerFooter alignWithMargins="0">
    <oddFooter>&amp;C&amp;12-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Marion/Clinton/Wash Co CTE</v>
      </c>
      <c r="C1" s="2615"/>
      <c r="D1" s="2615"/>
      <c r="E1" s="2615"/>
      <c r="F1" s="2615"/>
      <c r="G1" s="2615"/>
      <c r="H1" s="2615"/>
      <c r="I1" s="2615"/>
      <c r="J1" s="2615"/>
      <c r="K1" s="2615"/>
      <c r="L1" s="1221"/>
    </row>
    <row r="2" spans="1:12" ht="12.75" customHeight="1" x14ac:dyDescent="0.2">
      <c r="B2" s="2616">
        <f>'Single Audit Cover'!E7</f>
        <v>13000000046</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r:id="rId1"/>
  <headerFooter alignWithMargins="0">
    <oddFooter>&amp;C&amp;12-&amp;P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Marion/Clinton/Wash Co CTE</v>
      </c>
      <c r="C1" s="2592"/>
      <c r="D1" s="2592"/>
      <c r="E1" s="1240"/>
    </row>
    <row r="2" spans="2:5" s="1058" customFormat="1" ht="12.75" customHeight="1" x14ac:dyDescent="0.2">
      <c r="B2" s="2594">
        <f>'Single Audit Cover'!E7</f>
        <v>13000000046</v>
      </c>
      <c r="C2" s="2594"/>
      <c r="D2" s="2594"/>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555650</v>
      </c>
      <c r="E16" s="1547"/>
      <c r="F16" s="1546">
        <f>SUM('Acct Summary 7-8'!C17,'Acct Summary 7-8'!D17,'Acct Summary 7-8'!F17)</f>
        <v>483976</v>
      </c>
      <c r="G16" s="1547"/>
      <c r="H16" s="1546">
        <f>SUM(D16-F16)</f>
        <v>71674</v>
      </c>
      <c r="I16" s="1548"/>
      <c r="J16" s="1546">
        <f>SUM('Acct Summary 7-8'!C81,'Acct Summary 7-8'!D81,'Acct Summary 7-8'!F81,'Acct Summary 7-8'!I81)</f>
        <v>325294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84" bottom="0.77" header="0.28000000000000003" footer="0.42"/>
  <pageSetup scale="90" firstPageNumber="9" orientation="portrait" useFirstPageNumber="1" r:id="rId1"/>
  <headerFooter alignWithMargins="0">
    <oddHeader xml:space="preserve">&amp;C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Marion/Clinton/Wash Co CTE</v>
      </c>
      <c r="E7" s="368"/>
      <c r="G7" s="247"/>
      <c r="H7" s="364"/>
      <c r="I7" s="364"/>
      <c r="J7" s="364"/>
      <c r="K7" s="364"/>
      <c r="L7" s="307"/>
      <c r="M7" s="307"/>
      <c r="N7" s="307"/>
      <c r="O7" s="307"/>
      <c r="P7" s="307"/>
    </row>
    <row r="8" spans="1:18" ht="12.75" x14ac:dyDescent="0.2">
      <c r="A8" s="307"/>
      <c r="B8" s="307"/>
      <c r="C8" s="366" t="s">
        <v>1115</v>
      </c>
      <c r="D8" s="369">
        <f>COVER!A13</f>
        <v>13000000046</v>
      </c>
      <c r="E8" s="370"/>
      <c r="G8" s="307"/>
      <c r="H8" s="307"/>
      <c r="I8" s="307"/>
      <c r="J8" s="307"/>
      <c r="K8" s="307"/>
      <c r="L8" s="307"/>
      <c r="M8" s="307"/>
      <c r="N8" s="307"/>
      <c r="O8" s="307"/>
      <c r="P8" s="307"/>
    </row>
    <row r="9" spans="1:18" ht="12.75" x14ac:dyDescent="0.2">
      <c r="A9" s="307"/>
      <c r="B9" s="307"/>
      <c r="C9" s="366" t="s">
        <v>708</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325294</v>
      </c>
      <c r="I12" s="380"/>
      <c r="J12" s="380"/>
      <c r="K12" s="1559">
        <f>TRUNC((H12/H13*100000),5)/100000</f>
        <v>0.58542967690000003</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555650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483976</v>
      </c>
      <c r="I17" s="380"/>
      <c r="J17" s="389"/>
      <c r="K17" s="1559">
        <f>TRUNC((H17/H18*100000),5)/100000</f>
        <v>0.8710087285</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555650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325294</v>
      </c>
      <c r="I24" s="394"/>
      <c r="J24" s="394"/>
      <c r="K24" s="1555">
        <f>TRUNC(((H24/H25*100000)/100000),2)</f>
        <v>241.96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1344.37778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19" footer="0.32"/>
  <pageSetup scale="85" firstPageNumber="10" orientation="landscape" useFirstPageNumber="1" r:id="rId3"/>
  <headerFooter alignWithMargins="0">
    <oddHeader xml:space="preserve">&amp;C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325294</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325294</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1199621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1199621</v>
      </c>
      <c r="N23" s="1594">
        <f>SUM(N21:N22)</f>
        <v>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26644</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298650</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1199621</v>
      </c>
      <c r="N40" s="1604"/>
    </row>
    <row r="41" spans="1:14" ht="13.5" customHeight="1" thickBot="1" x14ac:dyDescent="0.25">
      <c r="A41" s="1426" t="s">
        <v>650</v>
      </c>
      <c r="B41" s="1405"/>
      <c r="C41" s="1594">
        <f>(SUM(C34,C37,C38,C39))</f>
        <v>325294</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1199621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6" orientation="landscape" useFirstPageNumber="1" r:id="rId1"/>
  <headerFooter differentOddEven="1" alignWithMargins="0">
    <oddHeader xml:space="preserve">&amp;C&amp;"Arial,Bold"&amp;9 Marion, Clinton, Washington Counties Career and Technical Education System
STATEMENT OF ASSETS AND LIABILITIES ARISING FROM CASH TRANSACTIONS
AS OF JUNE 30, 2020
</oddHeader>
    <oddFooter>&amp;L&amp;11See accompanying notes to the financial statements.&amp;C&amp;14- &amp;P -</oddFooter>
    <evenHeader>&amp;C&amp;"Arial,Bold"&amp;9 Marion, Clinton, Washington Counties Career and Technical Education System
STATEMENT OF ASSETS AND LIABILITIES ARISING FROM CASH TRANSACTIONS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M41" sqref="M41"/>
      <selection pane="bottomLeft" activeCell="M41" sqref="M4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4513</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397482</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153655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555650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8101</v>
      </c>
      <c r="D9" s="1613"/>
      <c r="E9" s="1586"/>
      <c r="F9" s="1586"/>
      <c r="G9" s="1614"/>
      <c r="H9" s="1586"/>
      <c r="I9" s="1609" t="s">
        <v>1159</v>
      </c>
      <c r="J9" s="1583"/>
      <c r="K9" s="1586"/>
      <c r="L9" s="325"/>
    </row>
    <row r="10" spans="1:13" s="452" customFormat="1" ht="13.5" thickBot="1" x14ac:dyDescent="0.25">
      <c r="A10" s="1426" t="s">
        <v>1163</v>
      </c>
      <c r="B10" s="1407"/>
      <c r="C10" s="1594">
        <f>SUM(C8:C9)</f>
        <v>563751</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323236</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135365</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25375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483976</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8101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492077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0" t="s">
        <v>1636</v>
      </c>
      <c r="B20" s="2231"/>
      <c r="C20" s="1622">
        <f>C8-C17</f>
        <v>71674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71674</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253620</v>
      </c>
      <c r="D79" s="1630"/>
      <c r="E79" s="1630"/>
      <c r="F79" s="1630"/>
      <c r="G79" s="1630"/>
      <c r="H79" s="1630"/>
      <c r="I79" s="1630"/>
      <c r="J79" s="1630"/>
      <c r="K79" s="1630"/>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325294</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71674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0.22033606522100008</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 Marion, Clinton, Washington Counties Career Technical Education System
STATEMENT OF REVENUES RECEIVED/REVENUES, EXPENDITURES/DISBURSED/EXPENDITURES, OTHER 
SOURCES (USES) AND CHANGES IN FUND BALANCE
  FOR THE YEAR ENDING JUNE 30, 2020 </oddHeader>
    <oddFooter>&amp;L&amp;11See accompanying notes to the financial statements.&amp;C&amp;14- &amp;P -</oddFooter>
    <evenHeader xml:space="preserve">&amp;C&amp;"Arial,Bold"&amp;9 Marion, Clinton, Washington Counties Career Technical Education System
STATEMENT OF REVENUES RECEIVED/REVENUES, EXPENDITURES/DISBURSED/EXPENDITURES, OTHER 
SOURCES (USES) AND CHANGES IN FUND BALANCE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2" activePane="bottomLeft" state="frozen"/>
      <selection activeCell="M41" sqref="M41"/>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1394</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1394</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3119</v>
      </c>
      <c r="D107" s="1573"/>
      <c r="E107" s="1573"/>
      <c r="F107" s="1573"/>
      <c r="G107" s="1573"/>
      <c r="H107" s="1573"/>
      <c r="I107" s="1573"/>
      <c r="J107" s="1574"/>
      <c r="K107" s="1573"/>
    </row>
    <row r="108" spans="1:12" ht="12.75" customHeight="1" thickBot="1" x14ac:dyDescent="0.25">
      <c r="A108" s="1406" t="s">
        <v>484</v>
      </c>
      <c r="B108" s="1408"/>
      <c r="C108" s="1633">
        <f>SUM(C95:C107)</f>
        <v>3119</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4513</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397482</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397482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397482</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397482</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153655</v>
      </c>
      <c r="D220" s="1573"/>
      <c r="E220" s="1575"/>
      <c r="F220" s="1575"/>
      <c r="G220" s="1573"/>
      <c r="H220" s="1575"/>
      <c r="I220" s="1575"/>
      <c r="J220" s="1575"/>
      <c r="K220" s="1575"/>
    </row>
    <row r="221" spans="1:11" ht="12.75" customHeight="1" thickBot="1" x14ac:dyDescent="0.25">
      <c r="A221" s="1415" t="s">
        <v>1076</v>
      </c>
      <c r="B221" s="1416"/>
      <c r="C221" s="1633">
        <f>SUM(C219:C220)</f>
        <v>153655</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153655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153655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555650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0" orientation="landscape" useFirstPageNumber="1" r:id="rId1"/>
  <headerFooter differentOddEven="1" alignWithMargins="0">
    <oddHeader>&amp;C&amp;"Arial,Bold"&amp;9 Marion, Clinton, Washington Counties Career and Technical Education System
STATEMENT OF REVENUES RECEIVED/REVENUES
FOR THE YEAR ENDING JUNE 30, 2020</oddHeader>
    <oddFooter>&amp;L&amp;11See accompanying notes to the financial statements.&amp;C&amp;14- &amp;P -</oddFooter>
    <evenHeader>&amp;C&amp;"Arial,Bold"&amp;9 Marion, Clinton, Washington Counties Career and Technical Education System
STATEMENT OF REVENUES RECEIVED/REVENUES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activeCell="M41" sqref="M41"/>
      <selection pane="bottomLeft" activeCell="M41" sqref="M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v>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c r="D8" s="1573"/>
      <c r="E8" s="1573"/>
      <c r="F8" s="1573"/>
      <c r="G8" s="1573"/>
      <c r="H8" s="1573"/>
      <c r="I8" s="1574"/>
      <c r="J8" s="1574"/>
      <c r="K8" s="1672">
        <f t="shared" si="0"/>
        <v>0</v>
      </c>
      <c r="L8" s="1573">
        <v>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c r="F10" s="1573"/>
      <c r="G10" s="1573"/>
      <c r="H10" s="1573"/>
      <c r="I10" s="1574"/>
      <c r="J10" s="1574"/>
      <c r="K10" s="1672">
        <f t="shared" si="0"/>
        <v>0</v>
      </c>
      <c r="L10" s="1573">
        <v>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44212</v>
      </c>
      <c r="D13" s="1573">
        <v>3382</v>
      </c>
      <c r="E13" s="1573">
        <v>49684</v>
      </c>
      <c r="F13" s="1573">
        <v>138809</v>
      </c>
      <c r="G13" s="1573">
        <v>87149</v>
      </c>
      <c r="H13" s="1573"/>
      <c r="I13" s="1574"/>
      <c r="J13" s="1574"/>
      <c r="K13" s="1672">
        <f t="shared" si="0"/>
        <v>323236</v>
      </c>
      <c r="L13" s="1573">
        <v>620677</v>
      </c>
    </row>
    <row r="14" spans="1:14" x14ac:dyDescent="0.2">
      <c r="A14" s="1274" t="s">
        <v>957</v>
      </c>
      <c r="B14" s="503">
        <v>1500</v>
      </c>
      <c r="C14" s="1573"/>
      <c r="D14" s="1573"/>
      <c r="E14" s="1573"/>
      <c r="F14" s="1573"/>
      <c r="G14" s="1573"/>
      <c r="H14" s="1573"/>
      <c r="I14" s="1574"/>
      <c r="J14" s="1574"/>
      <c r="K14" s="1672">
        <f t="shared" si="0"/>
        <v>0</v>
      </c>
      <c r="L14" s="1573">
        <v>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44212</v>
      </c>
      <c r="D33" s="1674">
        <f t="shared" ref="D33:L33" si="1">SUM(D5:D32)</f>
        <v>3382</v>
      </c>
      <c r="E33" s="1674">
        <f t="shared" si="1"/>
        <v>49684</v>
      </c>
      <c r="F33" s="1674">
        <f t="shared" si="1"/>
        <v>138809</v>
      </c>
      <c r="G33" s="1674">
        <f t="shared" si="1"/>
        <v>87149</v>
      </c>
      <c r="H33" s="1674">
        <f t="shared" si="1"/>
        <v>0</v>
      </c>
      <c r="I33" s="1674">
        <f t="shared" si="1"/>
        <v>0</v>
      </c>
      <c r="J33" s="1674">
        <f t="shared" si="1"/>
        <v>0</v>
      </c>
      <c r="K33" s="1674">
        <f t="shared" si="1"/>
        <v>323236</v>
      </c>
      <c r="L33" s="1674">
        <f t="shared" si="1"/>
        <v>620677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v>23923</v>
      </c>
      <c r="D37" s="1573">
        <v>7339</v>
      </c>
      <c r="E37" s="1573"/>
      <c r="F37" s="1573"/>
      <c r="G37" s="1573"/>
      <c r="H37" s="1573"/>
      <c r="I37" s="1574"/>
      <c r="J37" s="1574"/>
      <c r="K37" s="1672">
        <f t="shared" si="2"/>
        <v>31262</v>
      </c>
      <c r="L37" s="1573">
        <v>32996</v>
      </c>
    </row>
    <row r="38" spans="1:14" x14ac:dyDescent="0.2">
      <c r="A38" s="1274" t="s">
        <v>196</v>
      </c>
      <c r="B38" s="503">
        <v>2130</v>
      </c>
      <c r="C38" s="1573"/>
      <c r="D38" s="1573"/>
      <c r="E38" s="1573"/>
      <c r="F38" s="1573"/>
      <c r="G38" s="1573"/>
      <c r="H38" s="1573"/>
      <c r="I38" s="1574"/>
      <c r="J38" s="1574"/>
      <c r="K38" s="1672">
        <f t="shared" si="2"/>
        <v>0</v>
      </c>
      <c r="L38" s="1573">
        <v>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23923</v>
      </c>
      <c r="D42" s="1674">
        <f t="shared" ref="D42:L42" si="3">SUM(D36:D41)</f>
        <v>7339</v>
      </c>
      <c r="E42" s="1674">
        <f t="shared" si="3"/>
        <v>0</v>
      </c>
      <c r="F42" s="1674">
        <f t="shared" si="3"/>
        <v>0</v>
      </c>
      <c r="G42" s="1674">
        <f t="shared" si="3"/>
        <v>0</v>
      </c>
      <c r="H42" s="1674">
        <f t="shared" si="3"/>
        <v>0</v>
      </c>
      <c r="I42" s="1674">
        <f t="shared" si="3"/>
        <v>0</v>
      </c>
      <c r="J42" s="1674">
        <f t="shared" si="3"/>
        <v>0</v>
      </c>
      <c r="K42" s="1674">
        <f t="shared" si="3"/>
        <v>31262</v>
      </c>
      <c r="L42" s="1674">
        <f t="shared" si="3"/>
        <v>32996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25284</v>
      </c>
      <c r="D44" s="1586">
        <v>2145</v>
      </c>
      <c r="E44" s="1586">
        <v>5946</v>
      </c>
      <c r="F44" s="1586">
        <v>992</v>
      </c>
      <c r="G44" s="1586"/>
      <c r="H44" s="1586"/>
      <c r="I44" s="1574"/>
      <c r="J44" s="1574"/>
      <c r="K44" s="1678">
        <f>SUM(C44:J44)</f>
        <v>34367</v>
      </c>
      <c r="L44" s="1586">
        <v>42850</v>
      </c>
    </row>
    <row r="45" spans="1:14" x14ac:dyDescent="0.2">
      <c r="A45" s="1274" t="s">
        <v>810</v>
      </c>
      <c r="B45" s="503">
        <v>2220</v>
      </c>
      <c r="C45" s="1573"/>
      <c r="D45" s="1573"/>
      <c r="E45" s="1573"/>
      <c r="F45" s="1573"/>
      <c r="G45" s="1573"/>
      <c r="H45" s="1573"/>
      <c r="I45" s="1574"/>
      <c r="J45" s="1574"/>
      <c r="K45" s="1678">
        <f>SUM(C45:J45)</f>
        <v>0</v>
      </c>
      <c r="L45" s="1573">
        <v>0</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25284</v>
      </c>
      <c r="D47" s="1674">
        <f t="shared" ref="D47:K47" si="4">SUM(D44:D46)</f>
        <v>2145</v>
      </c>
      <c r="E47" s="1674">
        <f t="shared" si="4"/>
        <v>5946</v>
      </c>
      <c r="F47" s="1674">
        <f t="shared" si="4"/>
        <v>992</v>
      </c>
      <c r="G47" s="1674">
        <f t="shared" si="4"/>
        <v>0</v>
      </c>
      <c r="H47" s="1674">
        <f t="shared" si="4"/>
        <v>0</v>
      </c>
      <c r="I47" s="1674">
        <f t="shared" si="4"/>
        <v>0</v>
      </c>
      <c r="J47" s="1674">
        <f t="shared" si="4"/>
        <v>0</v>
      </c>
      <c r="K47" s="1674">
        <f t="shared" si="4"/>
        <v>34367</v>
      </c>
      <c r="L47" s="1674">
        <f>SUM(L44:L46)</f>
        <v>42850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v>0</v>
      </c>
    </row>
    <row r="50" spans="1:14" x14ac:dyDescent="0.2">
      <c r="A50" s="1274" t="s">
        <v>813</v>
      </c>
      <c r="B50" s="503">
        <v>2320</v>
      </c>
      <c r="C50" s="1573">
        <v>38500</v>
      </c>
      <c r="D50" s="1573">
        <v>558</v>
      </c>
      <c r="E50" s="1573">
        <v>7002</v>
      </c>
      <c r="F50" s="1573"/>
      <c r="G50" s="1573"/>
      <c r="H50" s="1573"/>
      <c r="I50" s="1574"/>
      <c r="J50" s="1574"/>
      <c r="K50" s="1678">
        <f>SUM(C50:J50)</f>
        <v>46060</v>
      </c>
      <c r="L50" s="1573">
        <v>45300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38500</v>
      </c>
      <c r="D53" s="1674">
        <f t="shared" ref="D53:L53" si="5">SUM(D49:D52)</f>
        <v>558</v>
      </c>
      <c r="E53" s="1674">
        <f t="shared" si="5"/>
        <v>7002</v>
      </c>
      <c r="F53" s="1674">
        <f t="shared" si="5"/>
        <v>0</v>
      </c>
      <c r="G53" s="1674">
        <f t="shared" si="5"/>
        <v>0</v>
      </c>
      <c r="H53" s="1674">
        <f t="shared" si="5"/>
        <v>0</v>
      </c>
      <c r="I53" s="1674">
        <f t="shared" si="5"/>
        <v>0</v>
      </c>
      <c r="J53" s="1674">
        <f t="shared" si="5"/>
        <v>0</v>
      </c>
      <c r="K53" s="1674">
        <f t="shared" si="5"/>
        <v>46060</v>
      </c>
      <c r="L53" s="1674">
        <f t="shared" si="5"/>
        <v>45300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v>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16000</v>
      </c>
      <c r="D60" s="1573">
        <v>1757</v>
      </c>
      <c r="E60" s="1573">
        <v>5919</v>
      </c>
      <c r="F60" s="1573"/>
      <c r="G60" s="1573"/>
      <c r="H60" s="1573"/>
      <c r="I60" s="1574"/>
      <c r="J60" s="1574"/>
      <c r="K60" s="1678">
        <f t="shared" si="7"/>
        <v>23676</v>
      </c>
      <c r="L60" s="1573">
        <v>30150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v>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16000</v>
      </c>
      <c r="D65" s="1674">
        <f t="shared" ref="D65:L65" si="8">SUM(D59:D64)</f>
        <v>1757</v>
      </c>
      <c r="E65" s="1674">
        <f t="shared" si="8"/>
        <v>5919</v>
      </c>
      <c r="F65" s="1674">
        <f t="shared" si="8"/>
        <v>0</v>
      </c>
      <c r="G65" s="1674">
        <f t="shared" si="8"/>
        <v>0</v>
      </c>
      <c r="H65" s="1674">
        <f t="shared" si="8"/>
        <v>0</v>
      </c>
      <c r="I65" s="1674">
        <f t="shared" si="8"/>
        <v>0</v>
      </c>
      <c r="J65" s="1674">
        <f t="shared" si="8"/>
        <v>0</v>
      </c>
      <c r="K65" s="1674">
        <f t="shared" si="8"/>
        <v>23676</v>
      </c>
      <c r="L65" s="1674">
        <f t="shared" si="8"/>
        <v>30150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103707</v>
      </c>
      <c r="D74" s="1681">
        <f t="shared" ref="D74:K74" si="10">SUM(D42,D47,D53,D57,D65,D72,D73)</f>
        <v>11799</v>
      </c>
      <c r="E74" s="1681">
        <f t="shared" si="10"/>
        <v>18867</v>
      </c>
      <c r="F74" s="1681">
        <f t="shared" si="10"/>
        <v>992</v>
      </c>
      <c r="G74" s="1681">
        <f t="shared" si="10"/>
        <v>0</v>
      </c>
      <c r="H74" s="1681">
        <f t="shared" si="10"/>
        <v>0</v>
      </c>
      <c r="I74" s="1681">
        <f t="shared" si="10"/>
        <v>0</v>
      </c>
      <c r="J74" s="1681">
        <f t="shared" si="10"/>
        <v>0</v>
      </c>
      <c r="K74" s="1681">
        <f t="shared" si="10"/>
        <v>135365</v>
      </c>
      <c r="L74" s="1681">
        <f>SUM(L42,L47,L53,L57,L65,L72,L73)</f>
        <v>151296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c r="F79" s="1673"/>
      <c r="G79" s="1673"/>
      <c r="H79" s="1573"/>
      <c r="I79" s="1582"/>
      <c r="J79" s="1582"/>
      <c r="K79" s="1672">
        <f t="shared" si="11"/>
        <v>0</v>
      </c>
      <c r="L79" s="1573">
        <v>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23500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23500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v>10375</v>
      </c>
      <c r="F99" s="1673"/>
      <c r="G99" s="1673"/>
      <c r="H99" s="1574">
        <v>15000</v>
      </c>
      <c r="I99" s="1582"/>
      <c r="J99" s="1582"/>
      <c r="K99" s="1681">
        <f>SUM(E99,H99)</f>
        <v>25375</v>
      </c>
      <c r="L99" s="1626">
        <v>15000</v>
      </c>
    </row>
    <row r="100" spans="1:14" ht="14.25" thickTop="1" thickBot="1" x14ac:dyDescent="0.25">
      <c r="A100" s="1386" t="s">
        <v>1469</v>
      </c>
      <c r="B100" s="1387">
        <v>4300</v>
      </c>
      <c r="C100" s="1673"/>
      <c r="D100" s="1673"/>
      <c r="E100" s="1681">
        <f>SUM(E93:E99)</f>
        <v>10375</v>
      </c>
      <c r="F100" s="1673"/>
      <c r="G100" s="1673"/>
      <c r="H100" s="1681">
        <f>SUM(H93:H99)</f>
        <v>15000</v>
      </c>
      <c r="I100" s="1582"/>
      <c r="J100" s="1582"/>
      <c r="K100" s="1681">
        <f>SUM(K93:K99)</f>
        <v>25375</v>
      </c>
      <c r="L100" s="1681">
        <f>SUM(L93:L99)</f>
        <v>15000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10375</v>
      </c>
      <c r="F102" s="1673"/>
      <c r="G102" s="1673"/>
      <c r="H102" s="1681">
        <f>SUM(H84,H92,H100,H101)</f>
        <v>15000</v>
      </c>
      <c r="I102" s="1582"/>
      <c r="J102" s="1582"/>
      <c r="K102" s="1681">
        <f>SUM(K84,K92,K100,K101)</f>
        <v>25375</v>
      </c>
      <c r="L102" s="1681">
        <f>SUM(L84,L92,L100,L101)</f>
        <v>38500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147919</v>
      </c>
      <c r="D114" s="1674">
        <f t="shared" ref="D114:K114" si="13">SUM(D33,D74,D75,D102,D112,D113)</f>
        <v>15181</v>
      </c>
      <c r="E114" s="1674">
        <f t="shared" si="13"/>
        <v>78926</v>
      </c>
      <c r="F114" s="1674">
        <f t="shared" si="13"/>
        <v>139801</v>
      </c>
      <c r="G114" s="1674">
        <f t="shared" si="13"/>
        <v>87149</v>
      </c>
      <c r="H114" s="1674">
        <f>SUM(H33,H74,H75,H102,H112,H113)</f>
        <v>15000</v>
      </c>
      <c r="I114" s="1674">
        <f t="shared" si="13"/>
        <v>0</v>
      </c>
      <c r="J114" s="1674">
        <f t="shared" si="13"/>
        <v>0</v>
      </c>
      <c r="K114" s="1674">
        <f t="shared" si="13"/>
        <v>483976</v>
      </c>
      <c r="L114" s="1674">
        <f>SUM(L33,L74,L75,L102,L112,L113)</f>
        <v>810473</v>
      </c>
    </row>
    <row r="115" spans="1:14" ht="13.5" thickTop="1" x14ac:dyDescent="0.2">
      <c r="A115" s="2285" t="s">
        <v>989</v>
      </c>
      <c r="B115" s="2286"/>
      <c r="C115" s="1675"/>
      <c r="D115" s="1675"/>
      <c r="E115" s="1675"/>
      <c r="F115" s="1675"/>
      <c r="G115" s="1675"/>
      <c r="H115" s="1675"/>
      <c r="I115" s="1675"/>
      <c r="J115" s="1675"/>
      <c r="K115" s="1689">
        <f>'Revenues 9-14'!C268-'Expenditures 15-22'!K114</f>
        <v>71674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1573"/>
      <c r="E124" s="1573"/>
      <c r="F124" s="1573"/>
      <c r="G124" s="1573"/>
      <c r="H124" s="1573"/>
      <c r="I124" s="1574"/>
      <c r="J124" s="1574"/>
      <c r="K124" s="1674">
        <f>SUM(C124:J124)</f>
        <v>0</v>
      </c>
      <c r="L124" s="1573">
        <v>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5" t="s">
        <v>616</v>
      </c>
      <c r="B151" s="2257"/>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v>0</v>
      </c>
    </row>
    <row r="170" spans="1:14" ht="33.75" customHeight="1" x14ac:dyDescent="0.2">
      <c r="A170" s="543" t="s">
        <v>1651</v>
      </c>
      <c r="B170" s="545" t="s">
        <v>31</v>
      </c>
      <c r="C170" s="1673"/>
      <c r="D170" s="1673"/>
      <c r="E170" s="1673"/>
      <c r="F170" s="1673"/>
      <c r="G170" s="1673"/>
      <c r="H170" s="1646"/>
      <c r="I170" s="1673"/>
      <c r="J170" s="1673"/>
      <c r="K170" s="1672">
        <f>SUM(C170:J170)</f>
        <v>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5" t="s">
        <v>989</v>
      </c>
      <c r="B175" s="2286"/>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v>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5" t="s">
        <v>989</v>
      </c>
      <c r="B211" s="2286"/>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v>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c r="E217" s="1673"/>
      <c r="F217" s="1673"/>
      <c r="G217" s="1673"/>
      <c r="H217" s="1673"/>
      <c r="I217" s="1673"/>
      <c r="J217" s="1673"/>
      <c r="K217" s="1672">
        <f t="shared" si="19"/>
        <v>0</v>
      </c>
      <c r="L217" s="1573">
        <v>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c r="E223" s="1673"/>
      <c r="F223" s="1673"/>
      <c r="G223" s="1673"/>
      <c r="H223" s="1673"/>
      <c r="I223" s="1673"/>
      <c r="J223" s="1673"/>
      <c r="K223" s="1672">
        <f t="shared" si="19"/>
        <v>0</v>
      </c>
      <c r="L223" s="1573">
        <v>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c r="E246" s="1673"/>
      <c r="F246" s="1673"/>
      <c r="G246" s="1673"/>
      <c r="H246" s="1673"/>
      <c r="I246" s="1673"/>
      <c r="J246" s="1673"/>
      <c r="K246" s="1678">
        <f t="shared" ref="K246:K256" si="21">D246</f>
        <v>0</v>
      </c>
      <c r="L246" s="1573">
        <v>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v>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c r="E264" s="1673"/>
      <c r="F264" s="1673"/>
      <c r="G264" s="1673"/>
      <c r="H264" s="1673"/>
      <c r="I264" s="1673"/>
      <c r="J264" s="1673"/>
      <c r="K264" s="1678">
        <f t="shared" ref="K264:K269" si="22">D264</f>
        <v>0</v>
      </c>
      <c r="L264" s="1573">
        <v>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c r="E266" s="1673"/>
      <c r="F266" s="1673"/>
      <c r="G266" s="1673"/>
      <c r="H266" s="1673"/>
      <c r="I266" s="1673"/>
      <c r="J266" s="1673"/>
      <c r="K266" s="1678">
        <f t="shared" si="22"/>
        <v>0</v>
      </c>
      <c r="L266" s="1573">
        <v>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6" t="s">
        <v>502</v>
      </c>
      <c r="B295" s="2277"/>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5" t="s">
        <v>989</v>
      </c>
      <c r="B296" s="2286"/>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3" t="s">
        <v>275</v>
      </c>
      <c r="B312" s="227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5" t="s">
        <v>989</v>
      </c>
      <c r="B368" s="2286"/>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28999999999999998" right="0.2" top="0.61" bottom="0.39" header="0.21" footer="0.19"/>
  <pageSetup scale="73" firstPageNumber="16" fitToHeight="0" orientation="landscape" useFirstPageNumber="1" r:id="rId1"/>
  <headerFooter differentOddEven="1" alignWithMargins="0">
    <oddHeader>&amp;C&amp;"Arial,Bold"&amp;9 Marion, Clinton, Washington Counties Career and Technical Education System
STATEMENT OF EXPENDITURES DISBURSED/EXPENDITURES, BUDGET TO ACTUAL
FOR THE YEAR ENDING JUNE 30, 2020</oddHeader>
    <oddFooter>&amp;L&amp;11See accompanying notes to the financial statements.&amp;C&amp;14- &amp;P -</oddFooter>
    <evenHeader>&amp;C&amp;"Arial,Bold"&amp;9 Marion, Clinton, Washington Counties Career and Technical Education System
STATEMENT OF EXPENDITURES DISBURSED/EXPENDITURES, BUDGET TO ACTUAL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schemas.microsoft.com/office/2006/documentManagement/types"/>
    <ds:schemaRef ds:uri="http://www.w3.org/XML/1998/namespace"/>
    <ds:schemaRef ds:uri="http://schemas.microsoft.com/sharepoint/v3"/>
    <ds:schemaRef ds:uri="http://schemas.microsoft.com/office/infopath/2007/PartnerControls"/>
    <ds:schemaRef ds:uri="d21dc803-237d-4c68-8692-8d731fd29118"/>
    <ds:schemaRef ds:uri="http://purl.org/dc/elements/1.1/"/>
    <ds:schemaRef ds:uri="http://schemas.openxmlformats.org/package/2006/metadata/core-properties"/>
    <ds:schemaRef ds:uri="4d435f69-8686-490b-bd6d-b153bf22ab50"/>
    <ds:schemaRef ds:uri="http://purl.org/dc/dcmitype/"/>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2020-10-22T19:34:52Z</cp:lastPrinted>
  <dcterms:created xsi:type="dcterms:W3CDTF">2003-10-29T19:06:34Z</dcterms:created>
  <dcterms:modified xsi:type="dcterms:W3CDTF">2020-11-09T22:50:11Z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