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2D06534-C903-4E89-9906-767071B075B7}" xr6:coauthVersionLast="36" xr6:coauthVersionMax="36" xr10:uidLastSave="{00000000-0000-0000-0000-000000000000}"/>
  <bookViews>
    <workbookView xWindow="13425" yWindow="3195"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183" l="1"/>
  <c r="F20" i="183"/>
  <c r="E21" i="183"/>
  <c r="F21" i="183"/>
  <c r="E22" i="183"/>
  <c r="F22" i="183"/>
  <c r="E23" i="183"/>
  <c r="F23" i="183"/>
  <c r="E24" i="183"/>
  <c r="F24" i="183"/>
  <c r="E25" i="183"/>
  <c r="F25" i="183"/>
  <c r="E26" i="183"/>
  <c r="F26" i="183"/>
  <c r="E27" i="183"/>
  <c r="F27" i="183"/>
  <c r="E28" i="183"/>
  <c r="F28" i="183"/>
  <c r="E29" i="183"/>
  <c r="F29" i="183"/>
  <c r="E30" i="183"/>
  <c r="F30" i="183"/>
  <c r="E31" i="183"/>
  <c r="F31" i="183"/>
  <c r="E32" i="183"/>
  <c r="F32" i="183"/>
  <c r="E33" i="183"/>
  <c r="F33" i="183"/>
  <c r="E34" i="183"/>
  <c r="F34" i="183"/>
  <c r="E35" i="183"/>
  <c r="F35" i="183"/>
  <c r="E36" i="183"/>
  <c r="F36" i="183"/>
  <c r="E37" i="183"/>
  <c r="F37" i="183"/>
  <c r="F13" i="29"/>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9" i="183" l="1"/>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B5752" i="106"/>
  <c r="D5752" i="106" s="1"/>
  <c r="H28" i="118" l="1"/>
  <c r="F72" i="34"/>
  <c r="F71" i="34"/>
  <c r="F69" i="34"/>
  <c r="F36" i="34"/>
  <c r="B7828" i="106" s="1"/>
  <c r="D7828" i="106" s="1"/>
  <c r="D36" i="108"/>
  <c r="H342" i="29"/>
  <c r="B7221" i="106" s="1"/>
  <c r="D7221" i="106" s="1"/>
  <c r="B7074" i="106"/>
  <c r="D7074" i="106" s="1"/>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C367" i="29" s="1"/>
  <c r="B3622" i="106" s="1"/>
  <c r="D3622" i="106" s="1"/>
  <c r="H76" i="4"/>
  <c r="B3298" i="106" s="1"/>
  <c r="D3298" i="106" s="1"/>
  <c r="B1274" i="106"/>
  <c r="D1274" i="106" s="1"/>
  <c r="H12" i="184"/>
  <c r="J129" i="29"/>
  <c r="B7038" i="106" s="1"/>
  <c r="D7038" i="106" s="1"/>
  <c r="H15" i="184"/>
  <c r="D22" i="37"/>
  <c r="B2724" i="106"/>
  <c r="D2724" i="106" s="1"/>
  <c r="C129" i="29"/>
  <c r="B1225" i="106" s="1"/>
  <c r="D1225"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F41" i="108" l="1"/>
  <c r="G43" i="108" s="1"/>
  <c r="J16" i="4"/>
  <c r="B6226" i="106" s="1"/>
  <c r="D6226" i="106" s="1"/>
  <c r="L114" i="29"/>
  <c r="N23" i="3"/>
  <c r="B284" i="106" s="1"/>
  <c r="D284" i="106" s="1"/>
  <c r="G170" i="5"/>
  <c r="B5778" i="106" s="1"/>
  <c r="D5778" i="106" s="1"/>
  <c r="K28" i="118"/>
  <c r="O27" i="118" s="1"/>
  <c r="O29" i="118" s="1"/>
  <c r="D44" i="36"/>
  <c r="E367" i="29"/>
  <c r="B3635" i="106"/>
  <c r="D3635" i="106" s="1"/>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F77" i="34" l="1"/>
  <c r="B6227" i="106"/>
  <c r="D6227" i="106" s="1"/>
  <c r="F8" i="4"/>
  <c r="K17" i="4"/>
  <c r="K19" i="4" s="1"/>
  <c r="B4144" i="106" s="1"/>
  <c r="D4144"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<sst xmlns="http://schemas.openxmlformats.org/spreadsheetml/2006/main" count="5154" uniqueCount="2087">
  <si>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</si>
  <si>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</si>
  <si>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</si>
  <si>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</si>
  <si>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</si>
  <si>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</si>
  <si>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</si>
  <si>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</si>
  <si>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</si>
  <si>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</si>
  <si>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</si>
  <si>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</si>
  <si>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</si>
  <si>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</si>
  <si>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</si>
  <si>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</si>
  <si>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</si>
  <si>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</si>
  <si>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</si>
  <si>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</si>
  <si>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</si>
  <si>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</si>
  <si>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</si>
  <si>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</si>
  <si>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</si>
  <si>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</si>
  <si>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</si>
  <si>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</si>
  <si>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</si>
  <si>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</si>
  <si>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</si>
  <si>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</si>
  <si>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</si>
  <si>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</si>
  <si>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</si>
  <si>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</si>
  <si>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</si>
  <si>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</si>
  <si>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</si>
  <si>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</si>
  <si>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</si>
  <si>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</si>
  <si>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</si>
  <si>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</si>
  <si>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</si>
  <si>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</si>
  <si>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</si>
  <si>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</si>
  <si>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</si>
  <si>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</si>
  <si>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</si>
  <si>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</si>
  <si>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</si>
  <si>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</si>
  <si>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</si>
  <si>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</si>
  <si>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</si>
  <si>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</si>
  <si>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</si>
  <si>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</si>
  <si>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</si>
  <si>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</si>
  <si>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</si>
  <si>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</si>
  <si>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</si>
  <si>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</si>
  <si>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</si>
  <si>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</si>
  <si>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</si>
  <si>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</si>
  <si>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</si>
  <si>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</si>
  <si>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</si>
  <si>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</si>
  <si>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</si>
  <si>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</si>
  <si>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</si>
  <si>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</si>
  <si>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</si>
  <si>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</si>
  <si>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</si>
  <si>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</si>
  <si>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</si>
  <si>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</si>
  <si>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</si>
  <si>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</si>
  <si>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</si>
  <si>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</si>
  <si>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</si>
  <si>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</si>
  <si>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</si>
  <si>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</si>
  <si>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</si>
  <si>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</si>
  <si>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</si>
  <si>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</si>
  <si>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</si>
  <si>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</si>
  <si>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</si>
  <si>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</si>
  <si>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</si>
  <si>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</si>
  <si>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</si>
  <si>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</si>
  <si>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</si>
  <si>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</si>
  <si>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</si>
  <si>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</si>
  <si>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</si>
  <si>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</si>
  <si>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</si>
  <si>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</si>
  <si>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</si>
  <si>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</si>
  <si>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</si>
  <si>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</si>
  <si>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</si>
  <si>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</si>
  <si>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</si>
  <si>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</si>
  <si>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</si>
  <si>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</si>
  <si>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</si>
  <si>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</si>
  <si>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</si>
  <si>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</si>
  <si>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</si>
  <si>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</si>
  <si>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</si>
  <si>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</si>
  <si>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</si>
  <si>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</si>
  <si>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</si>
  <si>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</si>
  <si>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</si>
  <si>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</si>
  <si>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</si>
  <si>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</si>
  <si>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</si>
  <si>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</si>
  <si>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</si>
  <si>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</si>
  <si>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</si>
  <si>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</si>
  <si>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</si>
  <si>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</si>
  <si>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</si>
  <si>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</si>
  <si>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</si>
  <si>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</si>
  <si>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</si>
  <si>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</si>
  <si>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</si>
  <si>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</si>
  <si>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</si>
  <si>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</si>
  <si>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</si>
  <si>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</si>
  <si>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</si>
  <si>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</si>
  <si>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</si>
  <si>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</si>
  <si>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</si>
  <si>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</si>
  <si>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</si>
  <si>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</si>
  <si>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</si>
  <si>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</si>
  <si>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</si>
  <si>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</si>
  <si>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</si>
  <si>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</si>
  <si>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</si>
  <si>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</si>
  <si>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</si>
  <si>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</si>
  <si>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</si>
  <si>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</si>
  <si>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</si>
  <si>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</si>
  <si>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</si>
  <si>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</si>
  <si>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</si>
  <si>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</si>
  <si>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</si>
  <si>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</si>
  <si>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</si>
  <si>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</si>
  <si>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</si>
  <si>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</si>
  <si>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</si>
  <si>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</si>
  <si>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</si>
  <si>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</si>
  <si>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</si>
  <si>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</si>
  <si>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</si>
  <si>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</si>
  <si>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</si>
  <si>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</si>
  <si>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</si>
  <si>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</si>
  <si>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</si>
  <si>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</si>
  <si>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</si>
  <si>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</si>
  <si>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</si>
  <si>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</si>
  <si>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</si>
  <si>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</si>
  <si>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</si>
  <si>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</si>
  <si>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</si>
  <si>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</si>
  <si>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</si>
  <si>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</si>
  <si>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</si>
  <si>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</si>
  <si>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</si>
  <si>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</si>
  <si>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</si>
  <si>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</si>
  <si>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</si>
  <si>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</si>
  <si>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</si>
  <si>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</si>
  <si>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</si>
  <si>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</si>
  <si>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</si>
  <si>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</si>
  <si>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</si>
  <si>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</si>
  <si>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</si>
  <si>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</si>
  <si>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</si>
  <si>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</si>
  <si>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</si>
  <si>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</si>
  <si>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</si>
  <si>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</si>
  <si>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</si>
  <si>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</si>
  <si>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</si>
  <si>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</si>
  <si>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</si>
  <si>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</si>
  <si>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</si>
  <si>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</si>
  <si>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</si>
  <si>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</si>
  <si>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</si>
  <si>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</si>
  <si>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</si>
  <si>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</si>
  <si>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</si>
  <si>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</si>
  <si>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</si>
  <si>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</si>
  <si>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</si>
  <si>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</si>
  <si>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</si>
  <si>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</si>
  <si>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</si>
  <si>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</si>
  <si>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</si>
  <si>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</si>
  <si>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</si>
  <si>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</si>
  <si>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</si>
  <si>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</si>
  <si>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</si>
  <si>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</si>
  <si>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</si>
  <si>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</si>
  <si>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</si>
  <si>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</si>
  <si>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</si>
  <si>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</si>
  <si>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</si>
  <si>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</si>
  <si>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</si>
  <si>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</si>
  <si>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</si>
  <si>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</si>
  <si>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</si>
  <si>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</si>
  <si>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</si>
  <si>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</si>
  <si>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</si>
  <si>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</si>
  <si>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</si>
  <si>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</si>
  <si>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</si>
  <si>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</si>
  <si>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</si>
  <si>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</si>
  <si>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</si>
  <si>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</si>
  <si>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</si>
  <si>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</si>
  <si>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</si>
  <si>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</si>
  <si>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</si>
  <si>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</si>
  <si>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</si>
  <si>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</si>
  <si>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</si>
  <si>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</si>
  <si>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</si>
  <si>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</si>
  <si>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</si>
  <si>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</si>
  <si>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</si>
  <si>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</si>
  <si>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</si>
  <si>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</si>
  <si>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</si>
  <si>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</si>
  <si>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</si>
  <si>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</si>
  <si>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</si>
  <si>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</si>
  <si>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</si>
  <si>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</si>
  <si>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</si>
  <si>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</si>
  <si>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</si>
  <si>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</si>
  <si>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</si>
  <si>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</si>
  <si>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</si>
  <si>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</si>
  <si>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</si>
  <si>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</si>
  <si>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</si>
  <si>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</si>
  <si>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</si>
  <si>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</si>
  <si>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</si>
  <si>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</si>
  <si>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</si>
  <si>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</si>
  <si>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</si>
  <si>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</si>
  <si>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</si>
  <si>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</si>
  <si>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</si>
  <si>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</si>
  <si>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</si>
  <si>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</si>
  <si>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</si>
  <si>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</si>
  <si>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</si>
  <si>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</si>
  <si>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</si>
  <si>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</si>
  <si>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</si>
  <si>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</si>
  <si>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</si>
  <si>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</si>
  <si>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</si>
  <si>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</si>
  <si>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</si>
  <si>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</si>
  <si>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</si>
  <si>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</si>
  <si>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</si>
  <si>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</si>
  <si>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</si>
  <si>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</si>
  <si>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</si>
  <si>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</si>
  <si>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</si>
  <si>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</si>
  <si>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</si>
  <si>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</si>
  <si>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</si>
  <si>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</si>
  <si>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</si>
  <si>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</si>
  <si>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</si>
  <si>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</si>
  <si>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</si>
  <si>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</si>
  <si>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</si>
  <si>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</si>
  <si>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</si>
  <si>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</si>
  <si>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</si>
  <si>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</si>
  <si>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</si>
  <si>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</si>
  <si>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</si>
  <si>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</si>
  <si>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</si>
  <si>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</si>
  <si>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</si>
  <si>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</si>
  <si>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</si>
  <si>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</si>
  <si>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</si>
  <si>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</si>
  <si>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</si>
  <si>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</si>
  <si>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</si>
  <si>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</si>
  <si>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</si>
  <si>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</si>
  <si>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</si>
  <si>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</si>
  <si>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</si>
  <si>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</si>
  <si>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</si>
  <si>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</si>
  <si>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</si>
  <si>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</si>
  <si>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</si>
  <si>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</si>
  <si>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</si>
  <si>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</si>
  <si>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</si>
  <si>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</si>
  <si>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</si>
  <si>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</si>
  <si>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</si>
  <si>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</si>
  <si>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</si>
  <si>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</si>
  <si>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</si>
  <si>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</si>
  <si>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</si>
  <si>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</si>
  <si>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</si>
  <si>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</si>
  <si>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</si>
  <si>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</si>
  <si>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</si>
  <si>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</si>
  <si>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</si>
  <si>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</si>
  <si>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</si>
  <si>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</si>
  <si>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</si>
  <si>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</si>
  <si>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</si>
  <si>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</si>
  <si>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</si>
  <si>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</si>
  <si>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</si>
  <si>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</si>
  <si>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</si>
  <si>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</si>
  <si>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</si>
  <si>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</si>
  <si>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</si>
  <si>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</si>
  <si>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</si>
  <si>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</si>
  <si>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</si>
  <si>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</si>
  <si>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</si>
  <si>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</si>
  <si>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</si>
  <si>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</si>
  <si>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</si>
  <si>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</si>
  <si>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</si>
  <si>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</si>
  <si>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</si>
  <si>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</si>
  <si>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</si>
  <si>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</si>
  <si>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</si>
  <si>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</si>
  <si>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</si>
  <si>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</si>
  <si>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</si>
  <si>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</si>
  <si>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</si>
  <si>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</si>
  <si>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</si>
  <si>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</si>
  <si>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</si>
  <si>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</si>
  <si>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</si>
  <si>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</si>
  <si>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</si>
  <si>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</si>
  <si>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</si>
  <si>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</si>
  <si>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</si>
  <si>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</si>
  <si>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</si>
  <si>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</si>
  <si>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</si>
  <si>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</si>
  <si>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</si>
  <si>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</si>
  <si>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</si>
  <si>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</si>
  <si>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</si>
  <si>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</si>
  <si>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</si>
  <si>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</si>
  <si>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</si>
  <si>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</si>
  <si>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</si>
  <si>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</si>
  <si>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</si>
  <si>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</si>
  <si>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</si>
  <si>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</si>
  <si>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</si>
  <si>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</si>
  <si>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</si>
  <si>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</si>
  <si>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</si>
  <si>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</si>
  <si>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</si>
  <si>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</si>
  <si>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</si>
  <si>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</si>
  <si>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</si>
  <si>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</si>
  <si>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</si>
  <si>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</si>
  <si>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</si>
  <si>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</si>
  <si>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</si>
  <si>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</si>
  <si>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</si>
  <si>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</si>
  <si>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</si>
  <si>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</si>
  <si>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</si>
  <si>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</si>
  <si>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</si>
  <si>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</si>
  <si>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</si>
  <si>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</si>
  <si>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</si>
  <si>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</si>
  <si>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</si>
  <si>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</si>
  <si>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</si>
  <si>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</si>
  <si>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</si>
  <si>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</si>
  <si>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</si>
  <si>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</si>
  <si>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</si>
  <si>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</si>
  <si>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</si>
  <si>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</si>
  <si>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</si>
  <si>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</si>
  <si>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</si>
  <si>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</si>
  <si>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</si>
  <si>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</si>
  <si>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</si>
  <si>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</si>
  <si>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</si>
  <si>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</si>
  <si>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</si>
  <si>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</si>
  <si>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</si>
  <si>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</si>
  <si>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</si>
  <si>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</si>
  <si>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</si>
  <si>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</si>
  <si>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</si>
  <si>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</si>
  <si>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</si>
  <si>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</si>
  <si>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</si>
  <si>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</si>
  <si>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</si>
  <si>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</si>
  <si>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</si>
  <si>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</si>
  <si>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</si>
  <si>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</si>
  <si>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</si>
  <si>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</si>
  <si>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</si>
  <si>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</si>
  <si>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</si>
  <si>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</si>
  <si>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</si>
  <si>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</si>
  <si>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</si>
  <si>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</si>
  <si>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</si>
  <si>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</si>
  <si>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</si>
  <si>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</si>
  <si>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</si>
  <si>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</si>
  <si>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</si>
  <si>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</si>
  <si>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</si>
  <si>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</si>
  <si>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</si>
  <si>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</si>
  <si>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</si>
  <si>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</si>
  <si>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</si>
  <si>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</si>
  <si>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</si>
  <si>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</si>
  <si>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</si>
  <si>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</si>
  <si>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</si>
  <si>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</si>
  <si>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</si>
  <si>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</si>
  <si>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</si>
  <si>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</si>
  <si>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</si>
  <si>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</si>
  <si>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</si>
  <si>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</si>
  <si>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</si>
  <si>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</si>
  <si>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</si>
  <si>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</si>
  <si>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</si>
  <si>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</si>
  <si>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</si>
  <si>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</si>
  <si>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</si>
  <si>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</si>
  <si>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</si>
  <si>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</si>
  <si>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</si>
  <si>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</si>
  <si>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</si>
  <si>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</si>
  <si>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</si>
  <si>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</si>
  <si>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</si>
  <si>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</si>
  <si>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</si>
  <si>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</si>
  <si>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</si>
  <si>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</si>
  <si>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</si>
  <si>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</si>
  <si>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</si>
  <si>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</si>
  <si>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</si>
  <si>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</si>
  <si>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</si>
  <si>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</si>
  <si>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</si>
  <si>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</si>
  <si>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</si>
  <si>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</si>
  <si>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</si>
  <si>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</si>
  <si>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</si>
  <si>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</si>
  <si>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</si>
  <si>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</si>
  <si>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</si>
  <si>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</si>
  <si>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</si>
  <si>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</si>
  <si>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</si>
  <si>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</si>
  <si>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</si>
  <si>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</si>
  <si>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</si>
  <si>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</si>
  <si>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</si>
  <si>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</si>
  <si>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</si>
  <si>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</si>
  <si>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</si>
  <si>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</si>
  <si>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</si>
  <si>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</si>
  <si>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</si>
  <si>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</si>
  <si>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</si>
  <si>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</si>
  <si>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</si>
  <si>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</si>
  <si>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</si>
  <si>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</si>
  <si>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</si>
  <si>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</si>
  <si>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</si>
  <si>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</si>
  <si>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</si>
  <si>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</si>
  <si>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</si>
  <si>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</si>
  <si>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</si>
  <si>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</si>
  <si>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</si>
  <si>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</si>
  <si>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</si>
  <si>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</si>
  <si>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</si>
  <si>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</si>
  <si>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</si>
  <si>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</si>
  <si>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</si>
  <si>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</si>
  <si>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</si>
  <si>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</si>
  <si>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</si>
  <si>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</si>
  <si>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</si>
  <si>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</si>
  <si>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</si>
  <si>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</si>
  <si>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</si>
  <si>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</si>
  <si>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</si>
  <si>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</si>
  <si>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</si>
  <si>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</si>
  <si>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</si>
  <si>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</si>
  <si>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</si>
  <si>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</si>
  <si>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</si>
  <si>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</si>
  <si>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</si>
  <si>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</si>
  <si>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</si>
  <si>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</si>
  <si>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</si>
  <si>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</si>
  <si>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</si>
  <si>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</si>
  <si>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</si>
  <si>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</si>
  <si>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</si>
  <si>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</si>
  <si>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</si>
  <si>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</si>
  <si>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</si>
  <si>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</si>
  <si>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</si>
  <si>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</si>
  <si>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</si>
  <si>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</si>
  <si>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</si>
  <si>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</si>
  <si>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</si>
  <si>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</si>
  <si>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</si>
  <si>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</si>
  <si>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</si>
  <si>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</si>
  <si>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</si>
  <si>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</si>
  <si>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</si>
  <si>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</si>
  <si>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</si>
  <si>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</si>
  <si>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</si>
  <si>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</si>
  <si>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</si>
  <si>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</si>
  <si>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</si>
  <si>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</si>
  <si>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</si>
  <si>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</si>
  <si>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</si>
  <si>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</si>
  <si>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</si>
  <si>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</si>
  <si>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</si>
  <si>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</si>
  <si>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</si>
  <si>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</si>
  <si>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</si>
  <si>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</si>
  <si>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</si>
  <si>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</si>
  <si>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</si>
  <si>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</si>
  <si>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</si>
  <si>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</si>
  <si>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</si>
  <si>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</si>
  <si>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</si>
  <si>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</si>
  <si>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</si>
  <si>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</si>
  <si>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</si>
  <si>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</si>
  <si>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</si>
  <si>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</si>
  <si>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</si>
  <si>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</si>
  <si>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</si>
  <si>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</si>
  <si>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</si>
  <si>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</si>
  <si>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</si>
  <si>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</si>
  <si>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</si>
  <si>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</si>
  <si>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</si>
  <si>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</si>
  <si>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</si>
  <si>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</si>
  <si>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</si>
  <si>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</si>
  <si>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</si>
  <si>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</si>
  <si>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</si>
  <si>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</si>
  <si>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</si>
  <si>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</si>
  <si>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</si>
  <si>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</si>
  <si>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</si>
  <si>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</si>
  <si>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</si>
  <si>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</si>
  <si>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</si>
  <si>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</si>
  <si>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</si>
  <si>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</si>
  <si>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</si>
  <si>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</si>
  <si>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</si>
  <si>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</si>
  <si>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</si>
  <si>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</si>
  <si>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</si>
  <si>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</si>
  <si>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</si>
  <si>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</si>
  <si>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</si>
  <si>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</si>
  <si>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</si>
  <si>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</si>
  <si>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</si>
  <si>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</si>
  <si>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</si>
  <si>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</si>
  <si>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</si>
  <si>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</si>
  <si>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</si>
  <si>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</si>
  <si>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</si>
  <si>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</si>
  <si>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</si>
  <si>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</si>
  <si>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</si>
  <si>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</si>
  <si>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</si>
  <si>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</si>
  <si>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</si>
  <si>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</si>
  <si>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</si>
  <si>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</si>
  <si>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</si>
  <si>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</si>
  <si>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</si>
  <si>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</si>
  <si>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</si>
  <si>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</si>
  <si>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</si>
  <si>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</si>
  <si>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</si>
  <si>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</si>
  <si>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</si>
  <si>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</si>
  <si>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</si>
  <si>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</si>
  <si>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</si>
  <si>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</si>
  <si>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</si>
  <si>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</si>
  <si>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</si>
  <si>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</si>
  <si>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</si>
  <si>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</si>
  <si>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</si>
  <si>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</si>
  <si>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</si>
  <si>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</si>
  <si>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</si>
  <si>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</si>
  <si>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</si>
  <si>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</si>
  <si>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</si>
  <si>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</si>
  <si>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</si>
  <si>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</si>
  <si>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</si>
  <si>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</si>
  <si>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</si>
  <si>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</si>
  <si>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</si>
  <si>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</si>
  <si>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</si>
  <si>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</si>
  <si>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</si>
  <si>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</si>
  <si>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</si>
  <si>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</si>
  <si>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</si>
  <si>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</si>
  <si>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</si>
  <si>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</si>
  <si>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</si>
  <si>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</si>
  <si>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</si>
  <si>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</si>
  <si>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</si>
  <si>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</si>
  <si>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</si>
  <si>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</si>
  <si>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</si>
  <si>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</si>
  <si>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</si>
  <si>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</si>
  <si>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</si>
  <si>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</si>
  <si>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</si>
  <si>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</si>
  <si>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</si>
  <si>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</si>
  <si>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</si>
  <si>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</si>
  <si>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</si>
  <si>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</si>
  <si>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</si>
  <si>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</si>
  <si>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</si>
  <si>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</si>
  <si>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</si>
  <si>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</si>
  <si>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</si>
  <si>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</si>
  <si>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</si>
  <si>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</si>
  <si>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</si>
  <si>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</si>
  <si>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</si>
  <si>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</si>
  <si>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</si>
  <si>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</si>
  <si>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</si>
  <si>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</si>
  <si>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</si>
  <si>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</si>
  <si>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</si>
  <si>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</si>
  <si>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</si>
  <si>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</si>
  <si>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</si>
  <si>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</si>
  <si>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</si>
  <si>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</si>
  <si>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</si>
  <si>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</si>
  <si>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</si>
  <si>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</si>
  <si>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</si>
  <si>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</si>
  <si>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</si>
  <si>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</si>
  <si>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</si>
  <si>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</si>
  <si>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</si>
  <si>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</si>
  <si>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</si>
  <si>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</si>
  <si>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</si>
  <si>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</si>
  <si>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</si>
  <si>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</si>
  <si>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</si>
  <si>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</si>
  <si>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</si>
  <si>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</si>
  <si>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</si>
  <si>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</si>
  <si>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</si>
  <si>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</si>
  <si>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</si>
  <si>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</si>
  <si>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</si>
  <si>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</si>
  <si>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</si>
  <si>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</si>
  <si>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</si>
  <si>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</si>
  <si>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</si>
  <si>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</si>
  <si>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</si>
  <si>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</si>
  <si>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</si>
  <si>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</si>
  <si>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</si>
  <si>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</si>
  <si>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</si>
  <si>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</si>
  <si>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</si>
  <si>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</si>
  <si>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</si>
  <si>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</si>
  <si>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</si>
  <si>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</si>
  <si>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</si>
  <si>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</si>
  <si>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</si>
  <si>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</si>
  <si>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</si>
  <si>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</si>
  <si>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</si>
  <si>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</si>
  <si>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</si>
  <si>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</si>
  <si>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</si>
  <si>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</si>
  <si>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</si>
  <si>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</si>
  <si>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</si>
  <si>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</si>
  <si>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</si>
  <si>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</si>
  <si>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</si>
  <si>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</si>
  <si>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</si>
  <si>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</si>
  <si>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</si>
  <si>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</si>
  <si>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</si>
  <si>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</si>
  <si>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</si>
  <si>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</si>
  <si>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</si>
  <si>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</si>
  <si>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</si>
  <si>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</si>
  <si>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</si>
  <si>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</si>
  <si>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</si>
  <si>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</si>
  <si>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</si>
  <si>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</si>
  <si>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</si>
  <si>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</si>
  <si>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</si>
  <si>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</si>
  <si>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</si>
  <si>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</si>
  <si>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</si>
  <si>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</si>
  <si>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</si>
  <si>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</si>
  <si>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</si>
  <si>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</si>
  <si>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</si>
  <si>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</si>
  <si>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</si>
  <si>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</si>
  <si>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</si>
  <si>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</si>
  <si>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</si>
  <si>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</si>
  <si>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</si>
  <si>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</si>
  <si>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</si>
  <si>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</si>
  <si>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</si>
  <si>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</si>
  <si>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</si>
  <si>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</si>
  <si>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</si>
  <si>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</si>
  <si>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</si>
  <si>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</si>
  <si>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</si>
  <si>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</si>
  <si>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</si>
  <si>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</si>
  <si>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</si>
  <si>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</si>
  <si>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</si>
  <si>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</si>
  <si>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</si>
  <si>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</si>
  <si>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</si>
  <si>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</si>
  <si>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</si>
  <si>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</si>
  <si>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</si>
  <si>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</si>
  <si>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</si>
  <si>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</si>
  <si>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</si>
  <si>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</si>
  <si>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</si>
  <si>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</si>
  <si>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</si>
  <si>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</si>
  <si>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</si>
  <si>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</si>
  <si>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</si>
  <si>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</si>
  <si>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</si>
  <si>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</si>
  <si>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</si>
  <si>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</si>
  <si>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</si>
  <si>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</si>
  <si>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</si>
  <si>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</si>
  <si>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</si>
  <si>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</si>
  <si>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</si>
  <si>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</si>
  <si>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</si>
  <si>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</si>
  <si>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</si>
  <si>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</si>
  <si>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</si>
  <si>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</si>
  <si>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</si>
  <si>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</si>
  <si>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</si>
  <si>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</si>
  <si>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</si>
  <si>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</si>
  <si>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</si>
  <si>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</si>
  <si>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</si>
  <si>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</si>
  <si>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</si>
  <si>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</si>
  <si>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</si>
  <si>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</si>
  <si>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</si>
  <si>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</si>
  <si>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</si>
  <si>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</si>
  <si>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</si>
  <si>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</si>
  <si>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</si>
  <si>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</si>
  <si>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</si>
  <si>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</si>
  <si>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</si>
  <si>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</si>
  <si>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</si>
  <si>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</si>
  <si>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</si>
  <si>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</si>
  <si>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</si>
  <si>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</si>
  <si>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</si>
  <si>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</si>
  <si>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</si>
  <si>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</si>
  <si>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</si>
  <si>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</si>
  <si>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</si>
  <si>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</si>
  <si>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</si>
  <si>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</si>
  <si>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</si>
  <si>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</si>
  <si>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</si>
  <si>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</si>
  <si>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</si>
  <si>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</si>
  <si>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</si>
  <si>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</si>
  <si>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</si>
  <si>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</si>
  <si>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</si>
  <si>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</si>
  <si>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</si>
  <si>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</si>
  <si>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</si>
  <si>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</si>
  <si>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</si>
  <si>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</si>
  <si>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</si>
  <si>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</si>
  <si>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</si>
  <si>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</si>
  <si>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</si>
  <si>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</si>
  <si>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</si>
  <si>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</si>
  <si>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</si>
  <si>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</si>
  <si>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</si>
  <si>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</si>
  <si>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</si>
  <si>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</si>
  <si>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</si>
  <si>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</si>
  <si>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</si>
  <si>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</si>
  <si>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</si>
  <si>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</si>
  <si>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</si>
  <si>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</si>
  <si>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</si>
  <si>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</si>
  <si>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</si>
  <si>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</si>
  <si>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</si>
  <si>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</si>
  <si>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</si>
  <si>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</si>
  <si>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</si>
  <si>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</si>
  <si>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</si>
  <si>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</si>
  <si>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</si>
  <si>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</si>
  <si>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</si>
  <si>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</si>
  <si>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</si>
  <si>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</si>
  <si>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</si>
  <si>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</si>
  <si>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</si>
  <si>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</si>
  <si>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</si>
  <si>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</si>
  <si>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</si>
  <si>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</si>
  <si>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</si>
  <si>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</si>
  <si>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</si>
  <si>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</si>
  <si>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</si>
  <si>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</si>
  <si>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</si>
  <si>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</si>
  <si>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</si>
  <si>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</si>
  <si>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</si>
  <si>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</si>
  <si>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</si>
  <si>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</si>
  <si>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</si>
  <si>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</si>
  <si>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</si>
  <si>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</si>
  <si>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</si>
  <si>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</si>
  <si>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</si>
  <si>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</si>
  <si>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</si>
  <si>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</si>
  <si>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</si>
  <si>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</si>
  <si>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</si>
  <si>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</si>
  <si>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</si>
  <si>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</si>
  <si>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</si>
  <si>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</si>
  <si>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</si>
  <si>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</si>
  <si>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</si>
  <si>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</si>
  <si>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</si>
  <si>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</si>
  <si>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</si>
  <si>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</si>
  <si>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</si>
  <si>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</si>
  <si>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</si>
  <si>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</si>
  <si>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</si>
  <si>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</si>
  <si>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</si>
  <si>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</si>
  <si>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</si>
  <si>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</si>
  <si>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</si>
  <si>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</si>
  <si>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</si>
  <si>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</si>
  <si>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</si>
  <si>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</si>
  <si>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</si>
  <si>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</si>
  <si>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</si>
  <si>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</si>
  <si>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</si>
  <si>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</si>
  <si>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</si>
  <si>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</si>
  <si>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</si>
  <si>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</si>
  <si>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</si>
  <si>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</si>
  <si>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</si>
  <si>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</si>
  <si>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</si>
  <si>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</si>
  <si>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</si>
  <si>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</si>
  <si>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</si>
  <si>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</si>
  <si>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</si>
  <si>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</si>
  <si>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</si>
  <si>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</si>
  <si>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</si>
  <si>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</si>
  <si>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</si>
  <si>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</si>
  <si>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</si>
  <si>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</si>
  <si>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</si>
  <si>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</si>
  <si>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</si>
  <si>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</si>
  <si>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</si>
  <si>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</si>
  <si>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</si>
  <si>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</si>
  <si>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</si>
  <si>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</si>
  <si>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</si>
  <si>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</si>
  <si>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</si>
  <si>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</si>
  <si>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</si>
  <si>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</si>
  <si>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</si>
  <si>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</si>
  <si>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</si>
  <si>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</si>
  <si>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</si>
  <si>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</si>
  <si>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</si>
  <si>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</si>
  <si>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</si>
  <si>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</si>
  <si>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</si>
  <si>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</si>
  <si>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</si>
  <si>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</si>
  <si>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</si>
  <si>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</si>
  <si>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</si>
  <si>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</si>
  <si>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</si>
  <si>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</si>
  <si>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</si>
  <si>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</si>
  <si>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</si>
  <si>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</si>
  <si>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</si>
  <si>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</si>
  <si>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</si>
  <si>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</si>
  <si>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</si>
  <si>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</si>
  <si>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</si>
  <si>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</si>
  <si>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</si>
  <si>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</si>
  <si>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</si>
  <si>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</si>
  <si>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</si>
  <si>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</si>
  <si>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</si>
  <si>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</si>
  <si>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</si>
  <si>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</si>
  <si>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</si>
  <si>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</si>
  <si>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</si>
  <si>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</si>
  <si>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</si>
  <si>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</si>
  <si>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</si>
  <si>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</si>
  <si>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</si>
  <si>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</si>
  <si>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</si>
  <si>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</si>
  <si>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</si>
  <si>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</si>
  <si>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</si>
  <si>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</si>
  <si>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</si>
  <si>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</si>
  <si>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</si>
  <si>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</si>
  <si>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</si>
  <si>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</si>
  <si>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</si>
  <si>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</si>
  <si>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</si>
  <si>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</si>
  <si>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</si>
  <si>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</si>
  <si>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</si>
  <si>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</si>
  <si>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</si>
  <si>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</si>
  <si>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</si>
  <si>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</si>
  <si>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</si>
  <si>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</si>
  <si>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</si>
  <si>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</si>
  <si>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</si>
  <si>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</si>
  <si>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</si>
  <si>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</si>
  <si>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</si>
  <si>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</si>
  <si>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</si>
  <si>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</si>
  <si>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</si>
  <si>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</si>
  <si>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</si>
  <si>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</si>
  <si>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</si>
  <si>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</si>
  <si>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</si>
  <si>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</si>
  <si>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</si>
  <si>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</si>
  <si>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</si>
  <si>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</si>
  <si>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</si>
  <si>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</si>
  <si>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</si>
  <si>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</si>
  <si>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</si>
  <si>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</si>
  <si>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</si>
  <si>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</si>
  <si>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</si>
  <si>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</si>
  <si>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</si>
  <si>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</si>
  <si>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</si>
  <si>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</si>
  <si>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</si>
  <si>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</si>
  <si>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</si>
  <si>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</si>
  <si>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</si>
  <si>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</si>
  <si>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</si>
  <si>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</si>
  <si>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</si>
  <si>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</si>
  <si>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</si>
  <si>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</si>
  <si>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</si>
  <si>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</si>
  <si>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</si>
  <si>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</si>
  <si>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</si>
  <si>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</si>
  <si>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</si>
  <si>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</si>
  <si>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</si>
  <si>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</si>
  <si>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</si>
  <si>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</si>
  <si>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</si>
  <si>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</si>
  <si>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</si>
  <si>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</si>
  <si>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</si>
  <si>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</si>
  <si>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</si>
  <si>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</si>
  <si>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</si>
  <si>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</si>
  <si>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</si>
  <si>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</si>
  <si>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</si>
  <si>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</si>
  <si>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</si>
  <si>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</si>
  <si>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</si>
  <si>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</si>
  <si>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</si>
  <si>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</si>
  <si>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</si>
  <si>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</si>
  <si>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</si>
  <si>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</si>
  <si>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</si>
  <si>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</si>
  <si>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</si>
  <si>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</si>
  <si>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</si>
  <si>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</si>
  <si>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</si>
  <si>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</si>
  <si>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</si>
  <si>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</si>
  <si>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</si>
  <si>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</si>
  <si>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</si>
  <si>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</si>
  <si>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</si>
  <si>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</si>
  <si>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</si>
  <si>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</si>
  <si>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</si>
  <si>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</si>
  <si>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</si>
  <si>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</si>
  <si>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</si>
  <si>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</si>
  <si>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</si>
  <si>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</si>
  <si>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</si>
  <si>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</si>
  <si>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</si>
  <si>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</si>
  <si>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</si>
  <si>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</si>
  <si>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</si>
  <si>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</si>
  <si>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</si>
  <si>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</si>
  <si>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</si>
  <si>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</si>
  <si>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</si>
  <si>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</si>
  <si>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</si>
  <si>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</si>
  <si>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</si>
  <si>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</si>
  <si>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</si>
  <si>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</si>
  <si>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</si>
  <si>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</si>
  <si>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</si>
  <si>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</si>
  <si>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</si>
  <si>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</si>
  <si>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</si>
  <si>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</si>
  <si>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</si>
  <si>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</si>
  <si>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</si>
  <si>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</si>
  <si>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</si>
  <si>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</si>
  <si>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</si>
  <si>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</si>
  <si>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</si>
  <si>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</si>
  <si>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</si>
  <si>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</si>
  <si>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</si>
  <si>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</si>
  <si>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</si>
  <si>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</si>
  <si>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</si>
  <si>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</si>
  <si>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</si>
  <si>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</si>
  <si>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</si>
  <si>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</si>
  <si>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</si>
  <si>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</si>
  <si>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</si>
  <si>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</si>
  <si>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</si>
  <si>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</si>
  <si>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</si>
  <si>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</si>
  <si>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</si>
  <si>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</si>
  <si>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</si>
  <si>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</si>
  <si>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</si>
  <si>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</si>
  <si>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</si>
  <si>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</si>
  <si>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</si>
  <si>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</si>
  <si>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</si>
  <si>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</si>
  <si>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</si>
  <si>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</si>
  <si>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</si>
  <si>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</si>
  <si>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</si>
  <si>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</si>
  <si>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</si>
  <si>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</si>
  <si>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</si>
  <si>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</si>
  <si>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</si>
  <si>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</si>
  <si>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</si>
  <si>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</si>
  <si>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</si>
  <si>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</si>
  <si>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</si>
  <si>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</si>
  <si>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</si>
  <si>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</si>
  <si>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</si>
  <si>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</si>
  <si>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</si>
  <si>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</si>
  <si>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</si>
  <si>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</si>
  <si>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</si>
  <si>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</si>
  <si>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</si>
  <si>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</si>
  <si>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</si>
  <si>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</si>
  <si>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</si>
  <si>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</si>
  <si>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</si>
  <si>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</si>
  <si>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</si>
  <si>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</si>
  <si>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</si>
  <si>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</si>
  <si>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</si>
  <si>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</si>
  <si>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</si>
  <si>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</si>
  <si>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</si>
  <si>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</si>
  <si>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</si>
  <si>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</si>
  <si>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</si>
  <si>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</si>
  <si>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</si>
  <si>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</si>
  <si>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</si>
  <si>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</si>
  <si>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</si>
  <si>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</si>
  <si>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</si>
  <si>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</si>
  <si>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</si>
  <si>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</si>
  <si>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</si>
  <si>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</si>
  <si>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</si>
  <si>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</si>
  <si>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</si>
  <si>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</si>
  <si>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</si>
  <si>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</si>
  <si>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</si>
  <si>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</si>
  <si>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</si>
  <si>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</si>
  <si>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</si>
  <si>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</si>
  <si>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</si>
  <si>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</si>
  <si>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</si>
  <si>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</si>
  <si>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</si>
  <si>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</si>
  <si>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</si>
  <si>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</si>
  <si>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</si>
  <si>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</si>
  <si>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</si>
  <si>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</si>
  <si>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</si>
  <si>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</si>
  <si>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</si>
  <si>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</si>
  <si>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</si>
  <si>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</si>
  <si>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</si>
  <si>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</si>
  <si>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</si>
  <si>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</si>
  <si>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</si>
  <si>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</si>
  <si>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</si>
  <si>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</si>
  <si>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</si>
  <si>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</si>
  <si>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</si>
  <si>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</si>
  <si>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</si>
  <si>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</si>
  <si>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</si>
  <si>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</si>
  <si>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</si>
  <si>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</si>
  <si>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</si>
  <si>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</si>
  <si>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</si>
  <si>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</si>
  <si>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</si>
  <si>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</si>
  <si>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</si>
  <si>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</si>
  <si>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</si>
  <si>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</si>
  <si>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</si>
  <si>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</si>
  <si>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</si>
  <si>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</si>
  <si>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</si>
  <si>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</si>
  <si>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</si>
  <si>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</si>
  <si>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</si>
  <si>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</si>
  <si>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</si>
  <si>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</si>
  <si>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</si>
  <si>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</si>
  <si>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</si>
  <si>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</si>
  <si>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</si>
  <si>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</si>
  <si>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</si>
  <si>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</si>
  <si>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</si>
  <si>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</si>
  <si>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</si>
  <si>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</si>
  <si>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</si>
  <si>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</si>
  <si>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</si>
  <si>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</si>
  <si>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</si>
  <si>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</si>
  <si>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</si>
  <si>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</si>
  <si>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</si>
  <si>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</si>
  <si>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</si>
  <si>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</si>
  <si>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</si>
  <si>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</si>
  <si>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</si>
  <si>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</si>
  <si>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</si>
  <si>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</si>
  <si>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</si>
  <si>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</si>
  <si>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</si>
  <si>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</si>
  <si>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</si>
  <si>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</si>
  <si>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</si>
  <si>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</si>
  <si>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</si>
  <si>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</si>
  <si>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</si>
  <si>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</si>
  <si>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</si>
  <si>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</si>
  <si>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</si>
  <si>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</si>
  <si>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</si>
  <si>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</si>
  <si>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</si>
  <si>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</si>
  <si>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</si>
  <si>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</si>
  <si>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</si>
  <si>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</si>
  <si>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</si>
  <si>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</si>
  <si>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</si>
  <si>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</si>
  <si>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</si>
  <si>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</si>
  <si>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</si>
  <si>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</si>
  <si>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</si>
  <si>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</si>
  <si>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</si>
  <si>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</si>
  <si>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</si>
  <si>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</si>
  <si>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</si>
  <si>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</si>
  <si>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</si>
  <si>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</si>
  <si>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</si>
  <si>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</si>
  <si>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</si>
  <si>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</si>
  <si>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</si>
  <si>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</si>
  <si>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</si>
  <si>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</si>
  <si>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</si>
  <si>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</si>
  <si>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</si>
  <si>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</si>
  <si>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</si>
  <si>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</si>
  <si>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</si>
  <si>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</si>
  <si>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</si>
  <si>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</si>
  <si>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</si>
  <si>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</si>
  <si>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</si>
  <si>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</si>
  <si>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</si>
  <si>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</si>
  <si>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</si>
  <si>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</si>
  <si>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</si>
  <si>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</si>
  <si>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</si>
  <si>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</si>
  <si>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</si>
  <si>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</si>
  <si>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</si>
  <si>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</si>
  <si>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</si>
  <si>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</si>
  <si>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</si>
  <si>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</si>
  <si>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</si>
  <si>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</si>
  <si>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</si>
  <si>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</si>
  <si>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</si>
  <si>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</si>
  <si>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</si>
  <si>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</si>
  <si>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</si>
  <si>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</si>
  <si>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</si>
  <si>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</si>
  <si>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</si>
  <si>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</si>
  <si>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</si>
  <si>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</si>
  <si>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</si>
  <si>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</si>
  <si>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</si>
  <si>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</si>
  <si>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</si>
  <si>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</si>
  <si>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</si>
  <si>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</si>
  <si>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</si>
  <si>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</si>
  <si>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</si>
  <si>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</si>
  <si>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</si>
  <si>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</si>
  <si>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</si>
  <si>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</si>
  <si>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</si>
  <si>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</si>
  <si>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</si>
  <si>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</si>
  <si>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</si>
  <si>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</si>
  <si>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</si>
  <si>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</si>
  <si>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</si>
  <si>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</si>
  <si>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</si>
  <si>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</si>
  <si>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</si>
  <si>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</si>
  <si>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</si>
  <si>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</si>
  <si>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</si>
  <si>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</si>
  <si>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</si>
  <si>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</si>
  <si>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</si>
  <si>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</si>
  <si>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</si>
  <si>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</si>
  <si>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</si>
  <si>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</si>
  <si>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</si>
  <si>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</si>
  <si>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</si>
  <si>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</si>
  <si>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</si>
  <si>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</si>
  <si>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</si>
  <si>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</si>
  <si>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</si>
  <si>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</si>
  <si>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</si>
  <si>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</si>
  <si>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</si>
  <si>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</si>
  <si>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</si>
  <si>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</si>
  <si>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</si>
  <si>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</si>
  <si>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</si>
  <si>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</si>
  <si>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</si>
  <si>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</si>
  <si>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</si>
  <si>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</si>
  <si>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</si>
  <si>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</si>
  <si>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</si>
  <si>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</si>
  <si>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</si>
  <si>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</si>
  <si>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</si>
  <si>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</si>
  <si>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</si>
  <si>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</si>
  <si>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</si>
  <si>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</si>
  <si>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</si>
  <si>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</si>
  <si>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</si>
  <si>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</si>
  <si>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</si>
  <si>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</si>
  <si>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</si>
  <si>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</si>
  <si>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</si>
  <si>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</si>
  <si>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</si>
  <si>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</si>
  <si>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</si>
  <si>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</si>
  <si>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</si>
  <si>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</si>
  <si>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</si>
  <si>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</si>
  <si>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</si>
  <si>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</si>
  <si>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</si>
  <si>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</si>
  <si>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</si>
  <si>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</si>
  <si>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</si>
  <si>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</si>
  <si>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</si>
  <si>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</si>
  <si>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</si>
  <si>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</si>
  <si>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</si>
  <si>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</si>
  <si>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</si>
  <si>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</si>
  <si>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</si>
  <si>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</si>
  <si>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</si>
  <si>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</si>
  <si>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</si>
  <si>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</si>
  <si>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</si>
  <si>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</si>
  <si>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</si>
  <si>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</si>
  <si>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</si>
  <si>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</si>
  <si>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</si>
  <si>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</si>
  <si>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</si>
  <si>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</si>
  <si>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</si>
  <si>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</si>
  <si>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</si>
  <si>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</si>
  <si>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</si>
  <si>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</si>
  <si>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</si>
  <si>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</si>
  <si>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</si>
  <si>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</si>
  <si>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</si>
  <si>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</si>
  <si>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</si>
  <si>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</si>
  <si>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</si>
  <si>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</si>
  <si>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</si>
  <si>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</si>
  <si>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</si>
  <si>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</si>
  <si>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</si>
  <si>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</si>
  <si>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</si>
  <si>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</si>
  <si>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</si>
  <si>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</si>
  <si>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</si>
  <si>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</si>
  <si>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</si>
  <si>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</si>
  <si>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</si>
  <si>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</si>
  <si>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</si>
  <si>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</si>
  <si>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</si>
  <si>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</si>
  <si>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</si>
  <si>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</si>
  <si>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</si>
  <si>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</si>
  <si>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</si>
  <si>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</si>
  <si>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</si>
  <si>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</si>
  <si>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</si>
  <si>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</si>
  <si>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</si>
  <si>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</si>
  <si>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</si>
  <si>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</si>
  <si>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</si>
  <si>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</si>
  <si>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</si>
  <si>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</si>
  <si>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</si>
  <si>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</si>
  <si>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</si>
  <si>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</si>
  <si>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</si>
  <si>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</si>
  <si>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</si>
  <si>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</si>
  <si>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</si>
  <si>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</si>
  <si>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</si>
  <si>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Jefferson</t>
  </si>
  <si>
    <t>11101 N. Wells Bypass</t>
  </si>
  <si>
    <t>Mt. Vernon</t>
  </si>
  <si>
    <t>Kara Andrews</t>
  </si>
  <si>
    <t>618-246-5098</t>
  </si>
  <si>
    <t>618-246-5988</t>
  </si>
  <si>
    <t>Emling &amp; Hoffman, PC</t>
  </si>
  <si>
    <t>Donald L Hoffman</t>
  </si>
  <si>
    <t>1191 West Saint Louis Street</t>
  </si>
  <si>
    <t>Nashville</t>
  </si>
  <si>
    <t>IL</t>
  </si>
  <si>
    <t>618-327-4375</t>
  </si>
  <si>
    <t>618-327-4376</t>
  </si>
  <si>
    <t>060-004252</t>
  </si>
  <si>
    <t>donhoffman@emlingcpa.com</t>
  </si>
  <si>
    <t>Ron Daniels</t>
  </si>
  <si>
    <t>rdaniels@roe13.org</t>
  </si>
  <si>
    <t>618-244-8040</t>
  </si>
  <si>
    <t>See Finding 2020-001</t>
  </si>
  <si>
    <t>Detailed property records are not presently maintained; consequently, we are unable to express an opinion on the General Fixed Assets Account Group.</t>
  </si>
  <si>
    <t>Segregation of Duties</t>
  </si>
  <si>
    <t>There is limited segregation of duties over cash receipts and disbursements, receiving and purchasing, recording of transactions and reconciliations of bank accounts.  The Career Center employs few individuals to perform all of the above mentioned functions.</t>
  </si>
  <si>
    <t>The Career Center does not have adequate segregation of duties.</t>
  </si>
  <si>
    <t>Transaction and reporting errors could occur and not be detected in a timely manner.</t>
  </si>
  <si>
    <t>The cost versus the benefit of hiring additional staff is not conducive for the Career Center.</t>
  </si>
  <si>
    <t>The Career Center should segregate or rotate duties so that no one individual handles a transaction from its inception to completion.  While the Career Center's current staffing arrangement may not permit an adequate segregation of duties in all respects for an effective system of internal control procedures, it is important that personnel and management is aware of this condition.</t>
  </si>
  <si>
    <t>The Career Center is aware of this c ondition.  This will review their staffing arrangement, assignment of duties, and employee bonding.</t>
  </si>
  <si>
    <t>2019-001</t>
  </si>
  <si>
    <t>Not implemented due to limited rescources.</t>
  </si>
  <si>
    <t>2019-002</t>
  </si>
  <si>
    <t>Qualified Personnel</t>
  </si>
  <si>
    <t>Corrected</t>
  </si>
  <si>
    <t>x</t>
  </si>
  <si>
    <t>Mt Vernon Township High School #201</t>
  </si>
  <si>
    <t>No Contracts</t>
  </si>
  <si>
    <t xml:space="preserve"> Mt Vernon Area Voc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</si>
</sst>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1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47625</xdr:rowOff>
        </xdr:from>
        <xdr:to>
          <xdr:col>1</xdr:col>
          <xdr:colOff>904875</xdr:colOff>
          <xdr:row>5</xdr:row>
          <xdr:rowOff>85725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1</xdr:row>
          <xdr:rowOff>19050</xdr:rowOff>
        </xdr:from>
        <xdr:to>
          <xdr:col>1</xdr:col>
          <xdr:colOff>2286000</xdr:colOff>
          <xdr:row>5</xdr:row>
          <xdr:rowOff>57150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2638425</xdr:colOff>
          <xdr:row>1</xdr:row>
          <xdr:rowOff>28575</xdr:rowOff>
        </xdr:from>
        <xdr:to>
          <xdr:col>1</xdr:col>
          <xdr:colOff>3552825</xdr:colOff>
          <xdr:row>5</xdr:row>
          <xdr:rowOff>66675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7</xdr:row>
          <xdr:rowOff>0</xdr:rowOff>
        </xdr:from>
        <xdr:to>
          <xdr:col>1</xdr:col>
          <xdr:colOff>2266950</xdr:colOff>
          <xdr:row>11</xdr:row>
          <xdr:rowOff>38100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5">
        <f>+'AFR20'!E4</f>
        <v>44119</v>
      </c>
      <c r="C1" s="2035"/>
      <c r="D1" s="2036"/>
      <c r="I1" s="2114" t="s">
        <v>402</v>
      </c>
      <c r="J1" s="2115"/>
      <c r="K1" s="2115"/>
      <c r="L1" s="2115"/>
      <c r="M1" s="2115"/>
      <c r="N1" s="2115"/>
      <c r="O1" s="2115"/>
      <c r="P1" s="2115"/>
      <c r="Q1" s="2115"/>
      <c r="R1" s="2115"/>
      <c r="S1" s="2115"/>
    </row>
    <row r="2" spans="1:32" ht="12" customHeight="1" x14ac:dyDescent="0.2">
      <c r="A2" s="1831" t="str">
        <f>"Due to ISBE on "</f>
        <v xml:space="preserve">Due to ISBE on </v>
      </c>
      <c r="B2" s="2037">
        <f>+'AFR20'!F4</f>
        <v>44151</v>
      </c>
      <c r="C2" s="2037"/>
      <c r="D2" s="2038"/>
      <c r="I2" s="2116" t="s">
        <v>2002</v>
      </c>
      <c r="J2" s="2115"/>
      <c r="K2" s="2115"/>
      <c r="L2" s="2115"/>
      <c r="M2" s="2115"/>
      <c r="N2" s="2115"/>
      <c r="O2" s="2115"/>
      <c r="P2" s="2115"/>
      <c r="Q2" s="2115"/>
      <c r="R2" s="2115"/>
      <c r="S2" s="2115"/>
    </row>
    <row r="3" spans="1:32" ht="12" customHeight="1" x14ac:dyDescent="0.2">
      <c r="A3" s="1834" t="str">
        <f>"SD/JA"&amp;MID('AFR20'!E2,3,2)</f>
        <v>SD/JA20</v>
      </c>
      <c r="B3" s="151"/>
      <c r="C3" s="151"/>
      <c r="D3" s="152"/>
      <c r="I3" s="2116" t="s">
        <v>52</v>
      </c>
      <c r="J3" s="2115"/>
      <c r="K3" s="2115"/>
      <c r="L3" s="2115"/>
      <c r="M3" s="2115"/>
      <c r="N3" s="2115"/>
      <c r="O3" s="2115"/>
      <c r="P3" s="2115"/>
      <c r="Q3" s="2115"/>
      <c r="R3" s="2115"/>
      <c r="S3" s="2115"/>
    </row>
    <row r="4" spans="1:32" ht="12" customHeight="1" x14ac:dyDescent="0.2">
      <c r="A4" s="37"/>
      <c r="I4" s="2116" t="s">
        <v>521</v>
      </c>
      <c r="J4" s="2115"/>
      <c r="K4" s="2115"/>
      <c r="L4" s="2115"/>
      <c r="M4" s="2115"/>
      <c r="N4" s="2115"/>
      <c r="O4" s="2115"/>
      <c r="P4" s="2115"/>
      <c r="Q4" s="2115"/>
      <c r="R4" s="2115"/>
      <c r="S4" s="2115"/>
    </row>
    <row r="5" spans="1:32" ht="14.1" customHeight="1" x14ac:dyDescent="0.2">
      <c r="B5" s="101"/>
      <c r="C5" s="26" t="s">
        <v>904</v>
      </c>
      <c r="D5" s="81"/>
      <c r="E5" s="81"/>
      <c r="H5" s="38"/>
      <c r="I5" s="2123" t="s">
        <v>675</v>
      </c>
      <c r="J5" s="2068"/>
      <c r="K5" s="2068"/>
      <c r="L5" s="2068"/>
      <c r="M5" s="2068"/>
      <c r="N5" s="2068"/>
      <c r="O5" s="2068"/>
      <c r="P5" s="2068"/>
      <c r="Q5" s="2068"/>
      <c r="R5" s="2068"/>
      <c r="S5" s="2068"/>
      <c r="AF5" s="1827"/>
    </row>
    <row r="6" spans="1:32" ht="14.1" customHeight="1" x14ac:dyDescent="0.2">
      <c r="B6" s="101" t="s">
        <v>2050</v>
      </c>
      <c r="C6" s="26" t="s">
        <v>905</v>
      </c>
      <c r="D6" s="81"/>
      <c r="E6" s="81"/>
      <c r="I6" s="2122" t="s">
        <v>877</v>
      </c>
      <c r="J6" s="2068"/>
      <c r="K6" s="2068"/>
      <c r="L6" s="2068"/>
      <c r="M6" s="2068"/>
      <c r="N6" s="2068"/>
      <c r="O6" s="2068"/>
      <c r="P6" s="2068"/>
      <c r="Q6" s="2068"/>
      <c r="R6" s="2068"/>
      <c r="S6" s="2068"/>
    </row>
    <row r="7" spans="1:32" ht="12.2" customHeight="1" x14ac:dyDescent="0.2">
      <c r="I7" s="2117" t="str">
        <f>"June 30, "&amp;'AFR20'!E2</f>
        <v>June 30, 2020</v>
      </c>
      <c r="J7" s="2118"/>
      <c r="K7" s="2118"/>
      <c r="L7" s="2118"/>
      <c r="M7" s="2118"/>
      <c r="N7" s="2118"/>
      <c r="O7" s="2118"/>
      <c r="P7" s="2118"/>
      <c r="Q7" s="2118"/>
      <c r="R7" s="2118"/>
      <c r="S7" s="211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9" t="s">
        <v>669</v>
      </c>
      <c r="J9" s="2120"/>
      <c r="K9" s="2120"/>
      <c r="L9" s="2120"/>
      <c r="M9" s="2120"/>
      <c r="N9" s="2120"/>
      <c r="O9" s="2120"/>
      <c r="P9" s="2120"/>
      <c r="Q9" s="2120"/>
      <c r="R9" s="2120"/>
      <c r="S9" s="2121"/>
      <c r="T9" s="2064" t="s">
        <v>530</v>
      </c>
      <c r="U9" s="2065"/>
      <c r="V9" s="2065"/>
      <c r="W9" s="2065"/>
      <c r="X9" s="2065"/>
      <c r="Y9" s="2065"/>
      <c r="Z9" s="2065"/>
      <c r="AA9" s="2066"/>
    </row>
    <row r="10" spans="1:32" ht="13.5" customHeight="1" x14ac:dyDescent="0.2">
      <c r="A10" s="2073" t="s">
        <v>670</v>
      </c>
      <c r="B10" s="2074"/>
      <c r="C10" s="2074"/>
      <c r="D10" s="2074"/>
      <c r="E10" s="2074"/>
      <c r="F10" s="2074"/>
      <c r="G10" s="2074"/>
      <c r="H10" s="2075"/>
      <c r="I10" s="29"/>
      <c r="J10" s="30"/>
      <c r="K10" s="28"/>
      <c r="R10" s="30"/>
      <c r="S10" s="30"/>
      <c r="T10" s="2067"/>
      <c r="U10" s="2068"/>
      <c r="V10" s="2068"/>
      <c r="W10" s="2068"/>
      <c r="X10" s="2068"/>
      <c r="Y10" s="2068"/>
      <c r="Z10" s="2068"/>
      <c r="AA10" s="2069"/>
    </row>
    <row r="11" spans="1:32" ht="14.25" customHeight="1" x14ac:dyDescent="0.2">
      <c r="A11" s="2076" t="s">
        <v>949</v>
      </c>
      <c r="B11" s="2077"/>
      <c r="C11" s="2077"/>
      <c r="D11" s="2077"/>
      <c r="E11" s="2077"/>
      <c r="F11" s="2077"/>
      <c r="G11" s="2077"/>
      <c r="H11" s="2078"/>
      <c r="I11" s="27"/>
      <c r="J11" s="71"/>
      <c r="K11" s="27"/>
      <c r="O11" s="144" t="s">
        <v>2050</v>
      </c>
      <c r="P11" s="97" t="s">
        <v>199</v>
      </c>
      <c r="Q11" s="30"/>
      <c r="R11" s="28"/>
      <c r="S11" s="27"/>
      <c r="T11" s="2070"/>
      <c r="U11" s="2071"/>
      <c r="V11" s="2071"/>
      <c r="W11" s="2071"/>
      <c r="X11" s="2071"/>
      <c r="Y11" s="2071"/>
      <c r="Z11" s="2071"/>
      <c r="AA11" s="207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4">
        <v>13000000041</v>
      </c>
      <c r="B13" s="2085"/>
      <c r="C13" s="2085"/>
      <c r="D13" s="2085"/>
      <c r="E13" s="2085"/>
      <c r="F13" s="2085"/>
      <c r="G13" s="2085"/>
      <c r="H13" s="2086"/>
      <c r="I13" s="31"/>
      <c r="J13" s="30"/>
      <c r="K13" s="28"/>
      <c r="L13" s="30"/>
      <c r="M13" s="30"/>
      <c r="N13" s="30"/>
      <c r="O13" s="30"/>
      <c r="P13" s="30"/>
      <c r="Q13" s="30"/>
      <c r="R13" s="30"/>
      <c r="S13" s="30"/>
      <c r="T13" s="2089" t="s">
        <v>2057</v>
      </c>
      <c r="U13" s="2090"/>
      <c r="V13" s="2090"/>
      <c r="W13" s="2090"/>
      <c r="X13" s="2090"/>
      <c r="Y13" s="2091"/>
      <c r="Z13" s="2091"/>
      <c r="AA13" s="209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2" t="s">
        <v>2051</v>
      </c>
      <c r="B15" s="2087"/>
      <c r="C15" s="2087"/>
      <c r="D15" s="2087"/>
      <c r="E15" s="2087"/>
      <c r="F15" s="2087"/>
      <c r="G15" s="2087"/>
      <c r="H15" s="2088"/>
      <c r="T15" s="2050" t="s">
        <v>2058</v>
      </c>
      <c r="U15" s="2051"/>
      <c r="V15" s="2051"/>
      <c r="W15" s="2051"/>
      <c r="X15" s="2051"/>
      <c r="Y15" s="2093"/>
      <c r="Z15" s="2093"/>
      <c r="AA15" s="209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2" t="s">
        <v>2086</v>
      </c>
      <c r="B17" s="2112"/>
      <c r="C17" s="2112"/>
      <c r="D17" s="2112"/>
      <c r="E17" s="2112"/>
      <c r="F17" s="2112"/>
      <c r="G17" s="2112"/>
      <c r="H17" s="2113"/>
      <c r="T17" s="2099" t="s">
        <v>2059</v>
      </c>
      <c r="U17" s="2100"/>
      <c r="V17" s="2100"/>
      <c r="W17" s="2100"/>
      <c r="X17" s="2100"/>
      <c r="Y17" s="2100"/>
      <c r="Z17" s="2100"/>
      <c r="AA17" s="2101"/>
    </row>
    <row r="18" spans="1:27" ht="13.5" customHeight="1" x14ac:dyDescent="0.2">
      <c r="A18" s="82" t="s">
        <v>527</v>
      </c>
      <c r="B18" s="73"/>
      <c r="C18" s="69"/>
      <c r="D18" s="73"/>
      <c r="E18" s="73"/>
      <c r="F18" s="73"/>
      <c r="G18" s="73"/>
      <c r="H18" s="53"/>
      <c r="I18" s="2109" t="s">
        <v>671</v>
      </c>
      <c r="J18" s="2110"/>
      <c r="K18" s="2110"/>
      <c r="L18" s="2110"/>
      <c r="M18" s="2110"/>
      <c r="N18" s="2110"/>
      <c r="O18" s="2110"/>
      <c r="P18" s="2110"/>
      <c r="Q18" s="2110"/>
      <c r="R18" s="2110"/>
      <c r="S18" s="2111"/>
      <c r="T18" s="82" t="s">
        <v>706</v>
      </c>
      <c r="U18" s="48"/>
      <c r="V18" s="69"/>
      <c r="W18" s="47"/>
      <c r="X18" s="82" t="s">
        <v>264</v>
      </c>
      <c r="Y18" s="78"/>
      <c r="Z18" s="154" t="s">
        <v>672</v>
      </c>
      <c r="AA18" s="44"/>
    </row>
    <row r="19" spans="1:27" ht="13.5" customHeight="1" x14ac:dyDescent="0.2">
      <c r="A19" s="2082" t="s">
        <v>2052</v>
      </c>
      <c r="B19" s="2083"/>
      <c r="C19" s="2083"/>
      <c r="D19" s="2083"/>
      <c r="E19" s="2083"/>
      <c r="F19" s="2083"/>
      <c r="G19" s="2083"/>
      <c r="H19" s="2081"/>
      <c r="I19" s="30"/>
      <c r="J19" s="96"/>
      <c r="K19" s="40"/>
      <c r="L19" s="38"/>
      <c r="M19" s="109" t="s">
        <v>312</v>
      </c>
      <c r="P19" s="27"/>
      <c r="Q19" s="27"/>
      <c r="R19" s="27"/>
      <c r="S19" s="31"/>
      <c r="T19" s="2082" t="s">
        <v>2060</v>
      </c>
      <c r="U19" s="2080"/>
      <c r="V19" s="2080"/>
      <c r="W19" s="2081"/>
      <c r="X19" s="2097" t="s">
        <v>2061</v>
      </c>
      <c r="Y19" s="2098"/>
      <c r="Z19" s="2095">
        <v>62263</v>
      </c>
      <c r="AA19" s="209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9" t="s">
        <v>2053</v>
      </c>
      <c r="B21" s="2080"/>
      <c r="C21" s="2080"/>
      <c r="D21" s="2080"/>
      <c r="E21" s="2080"/>
      <c r="F21" s="2080"/>
      <c r="G21" s="2080"/>
      <c r="H21" s="2081"/>
      <c r="I21" s="2105" t="s">
        <v>673</v>
      </c>
      <c r="J21" s="2068"/>
      <c r="K21" s="2068"/>
      <c r="L21" s="2068"/>
      <c r="M21" s="2068"/>
      <c r="N21" s="2068"/>
      <c r="O21" s="2068"/>
      <c r="P21" s="2068"/>
      <c r="Q21" s="2068"/>
      <c r="R21" s="2068"/>
      <c r="S21" s="2069"/>
      <c r="T21" s="2047" t="s">
        <v>2062</v>
      </c>
      <c r="U21" s="2048"/>
      <c r="V21" s="2048"/>
      <c r="W21" s="2048"/>
      <c r="X21" s="2061" t="s">
        <v>2063</v>
      </c>
      <c r="Y21" s="2062"/>
      <c r="Z21" s="2062"/>
      <c r="AA21" s="2063"/>
    </row>
    <row r="22" spans="1:27" ht="13.5" customHeight="1" x14ac:dyDescent="0.2">
      <c r="A22" s="84" t="s">
        <v>528</v>
      </c>
      <c r="B22" s="56"/>
      <c r="C22" s="56"/>
      <c r="D22" s="56"/>
      <c r="E22" s="56"/>
      <c r="F22" s="56"/>
      <c r="G22" s="56"/>
      <c r="H22" s="57"/>
      <c r="I22" s="2106" t="s">
        <v>1412</v>
      </c>
      <c r="J22" s="2107"/>
      <c r="K22" s="2107"/>
      <c r="L22" s="2107"/>
      <c r="M22" s="2107"/>
      <c r="N22" s="2107"/>
      <c r="O22" s="2107"/>
      <c r="P22" s="2107"/>
      <c r="Q22" s="2107"/>
      <c r="R22" s="2107"/>
      <c r="S22" s="2108"/>
      <c r="T22" s="82" t="s">
        <v>1499</v>
      </c>
      <c r="U22" s="48"/>
      <c r="V22" s="69"/>
      <c r="W22" s="48"/>
      <c r="X22" s="155" t="s">
        <v>1307</v>
      </c>
      <c r="Z22" s="43"/>
      <c r="AA22" s="44"/>
    </row>
    <row r="23" spans="1:27" ht="13.5" customHeight="1" x14ac:dyDescent="0.2">
      <c r="A23" s="2102"/>
      <c r="B23" s="2103"/>
      <c r="C23" s="2103"/>
      <c r="D23" s="2103"/>
      <c r="E23" s="2103"/>
      <c r="F23" s="2103"/>
      <c r="G23" s="2103"/>
      <c r="H23" s="2104"/>
      <c r="T23" s="2042" t="s">
        <v>2064</v>
      </c>
      <c r="U23" s="2043"/>
      <c r="V23" s="2043"/>
      <c r="W23" s="2043"/>
      <c r="X23" s="2058">
        <v>44197</v>
      </c>
      <c r="Y23" s="2059"/>
      <c r="Z23" s="2059"/>
      <c r="AA23" s="2060"/>
    </row>
    <row r="24" spans="1:27" ht="14.1" customHeight="1" x14ac:dyDescent="0.2">
      <c r="A24" s="85" t="s">
        <v>672</v>
      </c>
      <c r="B24" s="46"/>
      <c r="C24" s="46"/>
      <c r="D24" s="46"/>
      <c r="E24" s="46"/>
      <c r="F24" s="46"/>
      <c r="G24" s="46"/>
      <c r="H24" s="58"/>
      <c r="J24" s="2144" t="str">
        <f>IF(B5="x",IF(AUDITCHECK!D29="AFR form Incomplete.","",IF(AUDITCHECK!D29="Deficit reduction plan is required.","School District must complete a deficit reduction plan in the 2020-2021 Budget",)),"")</f>
        <v/>
      </c>
      <c r="K24" s="2144"/>
      <c r="L24" s="2144"/>
      <c r="M24" s="2144"/>
      <c r="N24" s="2144"/>
      <c r="O24" s="2144"/>
      <c r="P24" s="2144"/>
      <c r="Q24" s="2144"/>
      <c r="R24" s="2144"/>
      <c r="S24" s="2145"/>
      <c r="T24" s="102" t="s">
        <v>528</v>
      </c>
      <c r="U24" s="103"/>
      <c r="V24" s="103"/>
      <c r="W24" s="103"/>
      <c r="X24" s="104"/>
      <c r="Y24" s="104"/>
      <c r="Z24" s="104"/>
      <c r="AA24" s="105"/>
    </row>
    <row r="25" spans="1:27" ht="14.1" customHeight="1" x14ac:dyDescent="0.2">
      <c r="A25" s="2079">
        <v>62864</v>
      </c>
      <c r="B25" s="2080"/>
      <c r="C25" s="2080"/>
      <c r="D25" s="2080"/>
      <c r="E25" s="2080"/>
      <c r="F25" s="2080"/>
      <c r="G25" s="2080"/>
      <c r="H25" s="2081"/>
      <c r="I25" s="110"/>
      <c r="J25" s="2146"/>
      <c r="K25" s="2146"/>
      <c r="L25" s="2146"/>
      <c r="M25" s="2146"/>
      <c r="N25" s="2146"/>
      <c r="O25" s="2146"/>
      <c r="P25" s="2146"/>
      <c r="Q25" s="2146"/>
      <c r="R25" s="2146"/>
      <c r="S25" s="2147"/>
      <c r="T25" s="2039" t="s">
        <v>2065</v>
      </c>
      <c r="U25" s="2040"/>
      <c r="V25" s="2040"/>
      <c r="W25" s="2040"/>
      <c r="X25" s="2040"/>
      <c r="Y25" s="2040"/>
      <c r="Z25" s="2040"/>
      <c r="AA25" s="20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7" t="s">
        <v>1494</v>
      </c>
      <c r="J27" s="2110"/>
      <c r="K27" s="2110"/>
      <c r="L27" s="2110"/>
      <c r="M27" s="2110"/>
      <c r="N27" s="2110"/>
      <c r="O27" s="2110"/>
      <c r="P27" s="2110"/>
      <c r="Q27" s="2110"/>
      <c r="R27" s="2110"/>
      <c r="S27" s="211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3"/>
      <c r="Q35" s="2080"/>
      <c r="R35" s="208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2" t="s">
        <v>2054</v>
      </c>
      <c r="B38" s="2112"/>
      <c r="C38" s="2112"/>
      <c r="D38" s="2112"/>
      <c r="E38" s="2112"/>
      <c r="F38" s="2080"/>
      <c r="G38" s="2080"/>
      <c r="H38" s="2081"/>
      <c r="I38" s="2131"/>
      <c r="J38" s="2051"/>
      <c r="K38" s="2051"/>
      <c r="L38" s="2051"/>
      <c r="M38" s="2051"/>
      <c r="N38" s="2051"/>
      <c r="O38" s="2051"/>
      <c r="P38" s="2052"/>
      <c r="Q38" s="2052"/>
      <c r="R38" s="2052"/>
      <c r="S38" s="2053"/>
      <c r="T38" s="2050" t="s">
        <v>2066</v>
      </c>
      <c r="U38" s="2051"/>
      <c r="V38" s="2051"/>
      <c r="W38" s="2051"/>
      <c r="X38" s="2052"/>
      <c r="Y38" s="2052"/>
      <c r="Z38" s="2052"/>
      <c r="AA38" s="2053"/>
    </row>
    <row r="39" spans="1:27" ht="12" customHeight="1" x14ac:dyDescent="0.2">
      <c r="A39" s="2135" t="s">
        <v>528</v>
      </c>
      <c r="B39" s="2136"/>
      <c r="C39" s="69"/>
      <c r="D39" s="66"/>
      <c r="E39" s="66"/>
      <c r="F39" s="76"/>
      <c r="G39" s="66"/>
      <c r="H39" s="53"/>
      <c r="I39" s="2135" t="s">
        <v>528</v>
      </c>
      <c r="J39" s="2136"/>
      <c r="K39" s="2136"/>
      <c r="L39" s="2136"/>
      <c r="M39" s="2136"/>
      <c r="N39" s="64"/>
      <c r="O39" s="69"/>
      <c r="P39" s="69"/>
      <c r="Q39" s="75"/>
      <c r="R39" s="69"/>
      <c r="S39" s="53"/>
      <c r="T39" s="69" t="s">
        <v>528</v>
      </c>
      <c r="U39" s="48"/>
      <c r="V39" s="69"/>
      <c r="W39" s="47"/>
      <c r="X39" s="75"/>
      <c r="Y39" s="43"/>
      <c r="Z39" s="43"/>
      <c r="AA39" s="44"/>
    </row>
    <row r="40" spans="1:27" ht="13.5" customHeight="1" x14ac:dyDescent="0.2">
      <c r="A40" s="2138"/>
      <c r="B40" s="2139"/>
      <c r="C40" s="2140"/>
      <c r="D40" s="2140"/>
      <c r="E40" s="2140"/>
      <c r="F40" s="2141"/>
      <c r="G40" s="2141"/>
      <c r="H40" s="2142"/>
      <c r="I40" s="2054"/>
      <c r="J40" s="2056"/>
      <c r="K40" s="2056"/>
      <c r="L40" s="2056"/>
      <c r="M40" s="2056"/>
      <c r="N40" s="2056"/>
      <c r="O40" s="2056"/>
      <c r="P40" s="2056"/>
      <c r="Q40" s="2056"/>
      <c r="R40" s="2056"/>
      <c r="S40" s="2057"/>
      <c r="T40" s="2054" t="s">
        <v>2067</v>
      </c>
      <c r="U40" s="2055"/>
      <c r="V40" s="2056"/>
      <c r="W40" s="2056"/>
      <c r="X40" s="2056"/>
      <c r="Y40" s="2056"/>
      <c r="Z40" s="2056"/>
      <c r="AA40" s="205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8" t="s">
        <v>2055</v>
      </c>
      <c r="B42" s="2129"/>
      <c r="C42" s="2130"/>
      <c r="D42" s="2143" t="s">
        <v>2056</v>
      </c>
      <c r="E42" s="2129"/>
      <c r="F42" s="2129"/>
      <c r="G42" s="2129"/>
      <c r="H42" s="2130"/>
      <c r="I42" s="2049"/>
      <c r="J42" s="2045"/>
      <c r="K42" s="2045"/>
      <c r="L42" s="2045"/>
      <c r="M42" s="2045"/>
      <c r="N42" s="2045"/>
      <c r="O42" s="2046"/>
      <c r="P42" s="2044"/>
      <c r="Q42" s="2045"/>
      <c r="R42" s="2045"/>
      <c r="S42" s="2046"/>
      <c r="T42" s="2049" t="s">
        <v>2068</v>
      </c>
      <c r="U42" s="2045"/>
      <c r="V42" s="2045"/>
      <c r="W42" s="2046"/>
      <c r="X42" s="2044"/>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2"/>
      <c r="B44" s="2133"/>
      <c r="C44" s="2133"/>
      <c r="D44" s="2133"/>
      <c r="E44" s="2133"/>
      <c r="F44" s="2133"/>
      <c r="G44" s="2133"/>
      <c r="H44" s="2134"/>
      <c r="I44" s="2124"/>
      <c r="J44" s="2126"/>
      <c r="K44" s="2126"/>
      <c r="L44" s="2126"/>
      <c r="M44" s="2126"/>
      <c r="N44" s="2126"/>
      <c r="O44" s="2126"/>
      <c r="P44" s="2126"/>
      <c r="Q44" s="2126"/>
      <c r="R44" s="2126"/>
      <c r="S44" s="2127"/>
      <c r="T44" s="2124"/>
      <c r="U44" s="2125"/>
      <c r="V44" s="2125"/>
      <c r="W44" s="2125"/>
      <c r="X44" s="2125"/>
      <c r="Y44" s="2125"/>
      <c r="Z44" s="2126"/>
      <c r="AA44" s="212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1" t="s">
        <v>1056</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686</v>
      </c>
      <c r="B40" s="2148"/>
      <c r="C40" s="2148"/>
      <c r="D40" s="2148"/>
      <c r="E40" s="2148"/>
    </row>
    <row r="41" spans="1:5" x14ac:dyDescent="0.2">
      <c r="A41" s="2149" t="s">
        <v>1591</v>
      </c>
      <c r="B41" s="2149"/>
      <c r="C41" s="2149"/>
      <c r="D41" s="2149"/>
      <c r="E41" s="2149"/>
    </row>
    <row r="42" spans="1:5" ht="12.75" customHeight="1" x14ac:dyDescent="0.2">
      <c r="A42" s="2150" t="s">
        <v>1015</v>
      </c>
      <c r="B42" s="2150"/>
      <c r="C42" s="2150"/>
      <c r="D42" s="2150"/>
      <c r="E42" s="2150"/>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6" colorId="8" zoomScale="32" zoomScaleNormal="32" workbookViewId="0">
      <selection activeCell="X42" sqref="X42:AA4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1158</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6" t="s">
        <v>1616</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310</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t="s">
        <v>2070</v>
      </c>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1312</v>
      </c>
      <c r="B70" s="2169"/>
      <c r="C70" s="2169"/>
      <c r="D70" s="2169"/>
      <c r="E70" s="2170"/>
      <c r="F70" s="2170"/>
      <c r="G70" s="2170"/>
      <c r="H70" s="2170"/>
      <c r="I70" s="217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1309</v>
      </c>
      <c r="B83" s="2171"/>
      <c r="C83" s="2171"/>
      <c r="D83" s="217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2" t="s">
        <v>1988</v>
      </c>
      <c r="B85" s="2182"/>
      <c r="C85" s="2182"/>
      <c r="D85" s="2183"/>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4" t="s">
        <v>1988</v>
      </c>
      <c r="B88" s="2185"/>
      <c r="C88" s="2185"/>
      <c r="D88" s="2186"/>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3" t="s">
        <v>2069</v>
      </c>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2057</v>
      </c>
      <c r="D114" s="216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1319</v>
      </c>
      <c r="D117" s="2164"/>
      <c r="E117" s="2165"/>
      <c r="F117" s="2165"/>
      <c r="G117" s="2165"/>
      <c r="H117" s="216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oddFooter>&amp;L&amp;8Printed: &amp;D  &amp;F</oddFooter>
    <evenHeader>&amp;L&amp;8Page 2a&amp;R&amp;8Page 2a</evenHeader>
    <firstHeader>&amp;L&amp;8Page 2&amp;R&amp;8Page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383</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350731</v>
      </c>
      <c r="E16" s="1547"/>
      <c r="F16" s="1546">
        <f>SUM('Acct Summary 7-8'!C17,'Acct Summary 7-8'!D17,'Acct Summary 7-8'!F17)</f>
        <v>351108</v>
      </c>
      <c r="G16" s="1547"/>
      <c r="H16" s="1546">
        <f>SUM(D16-F16)</f>
        <v>-377</v>
      </c>
      <c r="I16" s="1548"/>
      <c r="J16" s="1546">
        <f>SUM('Acct Summary 7-8'!C81,'Acct Summary 7-8'!D81,'Acct Summary 7-8'!F81,'Acct Summary 7-8'!I81)</f>
        <v>74822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I1" sqref="I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1396</v>
      </c>
      <c r="B3" s="2207"/>
      <c r="C3" s="2207"/>
      <c r="D3" s="2207"/>
      <c r="E3" s="2207"/>
      <c r="F3" s="2207"/>
      <c r="G3" s="2207"/>
      <c r="H3" s="2207"/>
      <c r="I3" s="2207"/>
      <c r="J3" s="2207"/>
      <c r="K3" s="2207"/>
      <c r="L3" s="2207"/>
      <c r="M3" s="2207"/>
      <c r="N3" s="2207"/>
      <c r="O3" s="2207"/>
      <c r="P3" s="2207"/>
      <c r="Q3" s="2207"/>
      <c r="R3" s="2207"/>
    </row>
    <row r="4" spans="1:18" x14ac:dyDescent="0.2">
      <c r="A4" s="2208" t="s">
        <v>1537</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Mt Vernon Area Voc Center</v>
      </c>
      <c r="E7" s="368"/>
      <c r="G7" s="247"/>
      <c r="H7" s="364"/>
      <c r="I7" s="364"/>
      <c r="J7" s="364"/>
      <c r="K7" s="364"/>
      <c r="L7" s="307"/>
      <c r="M7" s="307"/>
      <c r="N7" s="307"/>
      <c r="O7" s="307"/>
      <c r="P7" s="307"/>
    </row>
    <row r="8" spans="1:18" ht="12.75" x14ac:dyDescent="0.2">
      <c r="A8" s="307"/>
      <c r="B8" s="307"/>
      <c r="C8" s="366" t="s">
        <v>1115</v>
      </c>
      <c r="D8" s="369">
        <f>COVER!A13</f>
        <v>13000000041</v>
      </c>
      <c r="E8" s="370"/>
      <c r="G8" s="307"/>
      <c r="H8" s="307"/>
      <c r="I8" s="307"/>
      <c r="J8" s="307"/>
      <c r="K8" s="307"/>
      <c r="L8" s="307"/>
      <c r="M8" s="307"/>
      <c r="N8" s="307"/>
      <c r="O8" s="307"/>
      <c r="P8" s="307"/>
    </row>
    <row r="9" spans="1:18" ht="12.75" x14ac:dyDescent="0.2">
      <c r="A9" s="307"/>
      <c r="B9" s="307"/>
      <c r="C9" s="366" t="s">
        <v>708</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3</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74822</v>
      </c>
      <c r="I12" s="380"/>
      <c r="J12" s="380"/>
      <c r="K12" s="1559">
        <f>TRUNC((H12/H13*100000),5)/100000</f>
        <v>0.21333158459999998</v>
      </c>
      <c r="L12" s="381"/>
      <c r="M12" s="337" t="s">
        <v>1134</v>
      </c>
      <c r="N12" s="337"/>
      <c r="O12" s="1562">
        <v>0.35</v>
      </c>
      <c r="P12" s="213"/>
      <c r="Q12" s="213"/>
    </row>
    <row r="13" spans="1:18" s="382" customFormat="1" ht="12.75" x14ac:dyDescent="0.2">
      <c r="A13" s="213"/>
      <c r="B13" s="377"/>
      <c r="C13" s="2204" t="s">
        <v>1313</v>
      </c>
      <c r="D13" s="2205"/>
      <c r="E13" s="213"/>
      <c r="F13" s="383" t="s">
        <v>788</v>
      </c>
      <c r="G13" s="378"/>
      <c r="H13" s="1551">
        <f>SUM('Acct Summary 7-8'!C8+'Acct Summary 7-8'!D8+'Acct Summary 7-8'!F8+'Acct Summary 7-8'!I8)+H14</f>
        <v>350731</v>
      </c>
      <c r="I13" s="380"/>
      <c r="J13" s="380"/>
      <c r="K13" s="1558"/>
      <c r="L13" s="213"/>
      <c r="M13" s="337" t="s">
        <v>1135</v>
      </c>
      <c r="N13" s="337"/>
      <c r="O13" s="1563">
        <f>(O11*O12)</f>
        <v>1.0499999999999998</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351108</v>
      </c>
      <c r="I17" s="380"/>
      <c r="J17" s="389"/>
      <c r="K17" s="1559">
        <f>TRUNC((H17/H18*100000),5)/100000</f>
        <v>1.0010748978000001</v>
      </c>
      <c r="L17" s="381"/>
      <c r="M17" s="390" t="s">
        <v>1161</v>
      </c>
      <c r="O17" s="1565" t="str">
        <f>IF(AND(O16="2", J20 &gt; 2),"1",IF(AND(O16 = "1", J20 &gt; 2),"2",IF(AND(O16="1", J20 &gt;1),"1","0")))</f>
        <v>0</v>
      </c>
      <c r="P17" s="213"/>
    </row>
    <row r="18" spans="1:18" s="382" customFormat="1" ht="11.25" x14ac:dyDescent="0.2">
      <c r="A18" s="213"/>
      <c r="B18" s="377"/>
      <c r="C18" s="2204" t="s">
        <v>1306</v>
      </c>
      <c r="D18" s="2205"/>
      <c r="E18" s="213"/>
      <c r="F18" s="391" t="s">
        <v>789</v>
      </c>
      <c r="G18" s="378"/>
      <c r="H18" s="1551">
        <f>SUM('Acct Summary 7-8'!C8+'Acct Summary 7-8'!D8+'Acct Summary 7-8'!F8+'Acct Summary 7-8'!I8)+H19</f>
        <v>350731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105.4347535</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1" t="s">
        <v>1395</v>
      </c>
      <c r="D24" s="2201"/>
      <c r="E24" s="213"/>
      <c r="F24" s="213" t="s">
        <v>442</v>
      </c>
      <c r="G24" s="378"/>
      <c r="H24" s="1551">
        <f>SUM('Assets-Liab 5-6'!C4+'Assets-Liab 5-6'!D4+'Assets-Liab 5-6'!F4+'Assets-Liab 5-6'!I4+'Assets-Liab 5-6'!C5+'Assets-Liab 5-6'!D5+'Assets-Liab 5-6'!F5+'Assets-Liab 5-6'!I5)</f>
        <v>130512</v>
      </c>
      <c r="I24" s="394"/>
      <c r="J24" s="394"/>
      <c r="K24" s="1555">
        <f>TRUNC(((H24/H25*100000)/100000),2)</f>
        <v>133.81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975.3</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I1" sqref="I1"/>
      <selection pane="bottomLeft" activeCell="I1" sqref="I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1" t="s">
        <v>967</v>
      </c>
      <c r="B3" s="2212"/>
      <c r="C3" s="1306"/>
      <c r="D3" s="1307"/>
      <c r="E3" s="1307"/>
      <c r="F3" s="1307"/>
      <c r="G3" s="1307"/>
      <c r="H3" s="1307"/>
      <c r="I3" s="1307"/>
      <c r="J3" s="1307"/>
      <c r="K3" s="1307"/>
      <c r="L3" s="1307"/>
      <c r="M3" s="1308"/>
      <c r="N3" s="1309"/>
    </row>
    <row r="4" spans="1:14" ht="13.5" customHeight="1" x14ac:dyDescent="0.2">
      <c r="A4" s="427" t="s">
        <v>1632</v>
      </c>
      <c r="B4" s="428"/>
      <c r="C4" s="1572">
        <v>130512</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130512</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3" t="s">
        <v>146</v>
      </c>
      <c r="B14" s="221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272192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272192</v>
      </c>
      <c r="N23" s="1594">
        <f>SUM(N21:N22)</f>
        <v>0</v>
      </c>
    </row>
    <row r="24" spans="1:14" ht="18" customHeight="1" thickTop="1" x14ac:dyDescent="0.2">
      <c r="A24" s="2215" t="s">
        <v>594</v>
      </c>
      <c r="B24" s="221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55690</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55690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7" t="s">
        <v>526</v>
      </c>
      <c r="B35" s="221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74822</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272192</v>
      </c>
      <c r="N40" s="1604"/>
    </row>
    <row r="41" spans="1:14" ht="13.5" customHeight="1" thickBot="1" x14ac:dyDescent="0.25">
      <c r="A41" s="1426" t="s">
        <v>650</v>
      </c>
      <c r="B41" s="1405"/>
      <c r="C41" s="1594">
        <f>(SUM(C34,C37,C38,C39))</f>
        <v>130512</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272192</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3"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B1" colorId="8" zoomScaleNormal="100" zoomScaleSheetLayoutView="100" workbookViewId="0">
      <selection activeCell="I1" sqref="I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9" t="s">
        <v>1165</v>
      </c>
      <c r="B3" s="2240"/>
      <c r="C3" s="1311"/>
      <c r="D3" s="1312"/>
      <c r="E3" s="1312"/>
      <c r="F3" s="1312"/>
      <c r="G3" s="1312"/>
      <c r="H3" s="1312"/>
      <c r="I3" s="1312"/>
      <c r="J3" s="1312"/>
      <c r="K3" s="1313"/>
      <c r="L3" s="446"/>
    </row>
    <row r="4" spans="1:13" ht="15.75" customHeight="1" x14ac:dyDescent="0.2">
      <c r="A4" s="1537" t="s">
        <v>1482</v>
      </c>
      <c r="B4" s="1538">
        <v>1000</v>
      </c>
      <c r="C4" s="1606">
        <f>'Revenues 9-14'!C109</f>
        <v>213460</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117271</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20000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350731</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350731</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3" t="s">
        <v>1166</v>
      </c>
      <c r="B11" s="2214"/>
      <c r="C11" s="1602"/>
      <c r="D11" s="1603"/>
      <c r="E11" s="1603"/>
      <c r="F11" s="1603"/>
      <c r="G11" s="1603"/>
      <c r="H11" s="1603"/>
      <c r="I11" s="1603"/>
      <c r="J11" s="1603"/>
      <c r="K11" s="1615"/>
      <c r="L11" s="451"/>
    </row>
    <row r="12" spans="1:13" ht="15.75" customHeight="1" x14ac:dyDescent="0.2">
      <c r="A12" s="1314" t="s">
        <v>453</v>
      </c>
      <c r="B12" s="1316">
        <v>1000</v>
      </c>
      <c r="C12" s="1606">
        <f>'Expenditures 15-22'!K33</f>
        <v>351108</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0</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351108</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351108</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29" t="s">
        <v>1636</v>
      </c>
      <c r="B20" s="2230"/>
      <c r="C20" s="1622">
        <f>C8-C17</f>
        <v>-377</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1" t="s">
        <v>591</v>
      </c>
      <c r="B21" s="2242"/>
      <c r="C21" s="1602"/>
      <c r="D21" s="1603"/>
      <c r="E21" s="1603"/>
      <c r="F21" s="1603"/>
      <c r="G21" s="1603"/>
      <c r="H21" s="1603"/>
      <c r="I21" s="1603"/>
      <c r="J21" s="1603"/>
      <c r="K21" s="1615"/>
      <c r="L21" s="453"/>
    </row>
    <row r="22" spans="1:12" ht="15.75" customHeight="1" collapsed="1" x14ac:dyDescent="0.2">
      <c r="A22" s="2237" t="s">
        <v>592</v>
      </c>
      <c r="B22" s="2238"/>
      <c r="C22" s="1582"/>
      <c r="D22" s="1582"/>
      <c r="E22" s="1582"/>
      <c r="F22" s="1582"/>
      <c r="G22" s="1582"/>
      <c r="H22" s="1582"/>
      <c r="I22" s="1582"/>
      <c r="J22" s="1582"/>
      <c r="K22" s="1582"/>
      <c r="L22" s="325"/>
    </row>
    <row r="23" spans="1:12" s="433" customFormat="1" ht="15.75" customHeight="1" x14ac:dyDescent="0.2">
      <c r="A23" s="2233" t="s">
        <v>290</v>
      </c>
      <c r="B23" s="2234"/>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5" t="s">
        <v>974</v>
      </c>
      <c r="B32" s="2236"/>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3" t="s">
        <v>371</v>
      </c>
      <c r="B44" s="224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7" t="s">
        <v>108</v>
      </c>
      <c r="B45" s="2238"/>
      <c r="C45" s="1625"/>
      <c r="D45" s="1625"/>
      <c r="E45" s="1625"/>
      <c r="F45" s="1625"/>
      <c r="G45" s="1625"/>
      <c r="H45" s="1625"/>
      <c r="I45" s="1625"/>
      <c r="J45" s="1625"/>
      <c r="K45" s="1625"/>
      <c r="L45" s="325"/>
    </row>
    <row r="46" spans="1:12" s="433" customFormat="1" ht="15.75" customHeight="1" x14ac:dyDescent="0.2">
      <c r="A46" s="2245" t="s">
        <v>109</v>
      </c>
      <c r="B46" s="224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9" t="s">
        <v>437</v>
      </c>
      <c r="B76" s="222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1" t="s">
        <v>1167</v>
      </c>
      <c r="B77" s="222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5" t="s">
        <v>593</v>
      </c>
      <c r="B78" s="2226"/>
      <c r="C78" s="1629">
        <f t="shared" ref="C78:K78" si="9">C20+C77</f>
        <v>-377</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75199</v>
      </c>
      <c r="D79" s="1630"/>
      <c r="E79" s="1630"/>
      <c r="F79" s="1630"/>
      <c r="G79" s="1630"/>
      <c r="H79" s="1630"/>
      <c r="I79" s="1630"/>
      <c r="J79" s="1630"/>
      <c r="K79" s="1630"/>
      <c r="L79" s="325"/>
    </row>
    <row r="80" spans="1:12" x14ac:dyDescent="0.2">
      <c r="A80" s="2231" t="s">
        <v>1771</v>
      </c>
      <c r="B80" s="2232"/>
      <c r="C80" s="1574"/>
      <c r="D80" s="1574"/>
      <c r="E80" s="1574"/>
      <c r="F80" s="1574"/>
      <c r="G80" s="1574"/>
      <c r="H80" s="1574"/>
      <c r="I80" s="1574"/>
      <c r="J80" s="1574"/>
      <c r="K80" s="1574"/>
      <c r="L80" s="325"/>
    </row>
    <row r="81" spans="1:12" ht="13.5" thickBot="1" x14ac:dyDescent="0.25">
      <c r="A81" s="2223" t="str">
        <f>"Fund Balances - June 30, "&amp;'AFR20'!E2</f>
        <v>Fund Balances - June 30, 2020</v>
      </c>
      <c r="B81" s="2224"/>
      <c r="C81" s="1594">
        <f>(SUM(C78:C80))</f>
        <v>74822</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-377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-5.0386250033412636E-3</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5"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05" activePane="bottomLeft" state="frozen"/>
      <selection activeCell="I1" sqref="I1"/>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1778</v>
      </c>
      <c r="B1" s="416"/>
      <c r="C1" s="417" t="s">
        <v>422</v>
      </c>
      <c r="D1" s="417" t="s">
        <v>423</v>
      </c>
      <c r="E1" s="417" t="s">
        <v>424</v>
      </c>
      <c r="F1" s="417" t="s">
        <v>425</v>
      </c>
      <c r="G1" s="417" t="s">
        <v>426</v>
      </c>
      <c r="H1" s="417" t="s">
        <v>427</v>
      </c>
      <c r="I1" s="417" t="s">
        <v>428</v>
      </c>
      <c r="J1" s="417" t="s">
        <v>429</v>
      </c>
      <c r="K1" s="417" t="s">
        <v>751</v>
      </c>
    </row>
    <row r="2" spans="1:12" ht="36" x14ac:dyDescent="0.2">
      <c r="A2" s="222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v>212494</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212494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966</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966</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c r="E107" s="1573"/>
      <c r="F107" s="1573"/>
      <c r="G107" s="1573"/>
      <c r="H107" s="1573"/>
      <c r="I107" s="1573"/>
      <c r="J107" s="1574"/>
      <c r="K107" s="1573"/>
    </row>
    <row r="108" spans="1:12" ht="12.75" customHeight="1" thickBot="1" x14ac:dyDescent="0.25">
      <c r="A108" s="1406" t="s">
        <v>484</v>
      </c>
      <c r="B108" s="1408"/>
      <c r="C108" s="1633">
        <f>SUM(C95:C107)</f>
        <v>0</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213460</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117271</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117271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7" t="s">
        <v>395</v>
      </c>
      <c r="B169" s="2248"/>
      <c r="C169" s="1658">
        <f t="shared" ref="C169:K169" si="6">SUM(C132,C141,C145,C146:C150,C155,C156:C167,C168)</f>
        <v>117271</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117271</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9" t="s">
        <v>1475</v>
      </c>
      <c r="B172" s="2250"/>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3" t="s">
        <v>1646</v>
      </c>
      <c r="B175" s="225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7" t="s">
        <v>1645</v>
      </c>
      <c r="B176" s="2258"/>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5" t="s">
        <v>780</v>
      </c>
      <c r="B181" s="225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1" t="s">
        <v>1779</v>
      </c>
      <c r="B182" s="225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20000</v>
      </c>
      <c r="D220" s="1573"/>
      <c r="E220" s="1575"/>
      <c r="F220" s="1575"/>
      <c r="G220" s="1573"/>
      <c r="H220" s="1575"/>
      <c r="I220" s="1575"/>
      <c r="J220" s="1575"/>
      <c r="K220" s="1575"/>
    </row>
    <row r="221" spans="1:11" ht="12.75" customHeight="1" thickBot="1" x14ac:dyDescent="0.25">
      <c r="A221" s="1415" t="s">
        <v>1076</v>
      </c>
      <c r="B221" s="1416"/>
      <c r="C221" s="1633">
        <f>SUM(C219:C220)</f>
        <v>20000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20000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20000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350731</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7" orientation="landscape" useFirstPageNumber="1" r:id="rId1"/>
  <headerFooter alignWithMargins="0">
    <oddHeader>&amp;L&amp;8Page &amp;P&amp;C&amp;"Arial,Bold"&amp;9STATEMENT OF REVENUES RECEIVED/REVENUES
FOR THE YEAR ENDING JUNE 30, 2020&amp;R&amp;8Page &amp;P</oddHeader>
    <oddFooter>&amp;L&amp;8Printed Date: &amp;D
&amp;F&amp;CThe Notes to the Basic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E1" colorId="8" zoomScaleNormal="100" workbookViewId="0">
      <pane ySplit="2" topLeftCell="A3" activePane="bottomLeft" state="frozen"/>
      <selection activeCell="I1" sqref="I1"/>
      <selection pane="bottomLeft" activeCell="I1" sqref="I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5" t="s">
        <v>294</v>
      </c>
      <c r="B3" s="226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271849</v>
      </c>
      <c r="D13" s="1573">
        <v>47701</v>
      </c>
      <c r="E13" s="1573">
        <v>4532</v>
      </c>
      <c r="F13" s="1573">
        <f>20169-12065</f>
        <v>8104</v>
      </c>
      <c r="G13" s="1573">
        <v>18922</v>
      </c>
      <c r="H13" s="1573"/>
      <c r="I13" s="1574"/>
      <c r="J13" s="1574"/>
      <c r="K13" s="1672">
        <f t="shared" si="0"/>
        <v>351108</v>
      </c>
      <c r="L13" s="1573">
        <v>385000</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271849</v>
      </c>
      <c r="D33" s="1674">
        <f t="shared" ref="D33:L33" si="1">SUM(D5:D32)</f>
        <v>47701</v>
      </c>
      <c r="E33" s="1674">
        <f t="shared" si="1"/>
        <v>4532</v>
      </c>
      <c r="F33" s="1674">
        <f t="shared" si="1"/>
        <v>8104</v>
      </c>
      <c r="G33" s="1674">
        <f t="shared" si="1"/>
        <v>18922</v>
      </c>
      <c r="H33" s="1674">
        <f t="shared" si="1"/>
        <v>0</v>
      </c>
      <c r="I33" s="1674">
        <f t="shared" si="1"/>
        <v>0</v>
      </c>
      <c r="J33" s="1674">
        <f t="shared" si="1"/>
        <v>0</v>
      </c>
      <c r="K33" s="1674">
        <f t="shared" si="1"/>
        <v>351108</v>
      </c>
      <c r="L33" s="1674">
        <f t="shared" si="1"/>
        <v>385000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0</v>
      </c>
      <c r="D53" s="1674">
        <f t="shared" ref="D53:L53" si="5">SUM(D49:D52)</f>
        <v>0</v>
      </c>
      <c r="E53" s="1674">
        <f t="shared" si="5"/>
        <v>0</v>
      </c>
      <c r="F53" s="1674">
        <f t="shared" si="5"/>
        <v>0</v>
      </c>
      <c r="G53" s="1674">
        <f t="shared" si="5"/>
        <v>0</v>
      </c>
      <c r="H53" s="1674">
        <f t="shared" si="5"/>
        <v>0</v>
      </c>
      <c r="I53" s="1674">
        <f t="shared" si="5"/>
        <v>0</v>
      </c>
      <c r="J53" s="1674">
        <f t="shared" si="5"/>
        <v>0</v>
      </c>
      <c r="K53" s="1674">
        <f t="shared" si="5"/>
        <v>0</v>
      </c>
      <c r="L53" s="1674">
        <f t="shared" si="5"/>
        <v>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0</v>
      </c>
      <c r="F65" s="1674">
        <f t="shared" si="8"/>
        <v>0</v>
      </c>
      <c r="G65" s="1674">
        <f t="shared" si="8"/>
        <v>0</v>
      </c>
      <c r="H65" s="1674">
        <f t="shared" si="8"/>
        <v>0</v>
      </c>
      <c r="I65" s="1674">
        <f t="shared" si="8"/>
        <v>0</v>
      </c>
      <c r="J65" s="1674">
        <f t="shared" si="8"/>
        <v>0</v>
      </c>
      <c r="K65" s="1674">
        <f t="shared" si="8"/>
        <v>0</v>
      </c>
      <c r="L65" s="1674">
        <f t="shared" si="8"/>
        <v>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0</v>
      </c>
      <c r="D74" s="1681">
        <f t="shared" ref="D74:K74" si="10">SUM(D42,D47,D53,D57,D65,D72,D73)</f>
        <v>0</v>
      </c>
      <c r="E74" s="1681">
        <f t="shared" si="10"/>
        <v>0</v>
      </c>
      <c r="F74" s="1681">
        <f t="shared" si="10"/>
        <v>0</v>
      </c>
      <c r="G74" s="1681">
        <f t="shared" si="10"/>
        <v>0</v>
      </c>
      <c r="H74" s="1681">
        <f t="shared" si="10"/>
        <v>0</v>
      </c>
      <c r="I74" s="1681">
        <f t="shared" si="10"/>
        <v>0</v>
      </c>
      <c r="J74" s="1681">
        <f t="shared" si="10"/>
        <v>0</v>
      </c>
      <c r="K74" s="1681">
        <f t="shared" si="10"/>
        <v>0</v>
      </c>
      <c r="L74" s="1681">
        <f>SUM(L42,L47,L53,L57,L65,L72,L73)</f>
        <v>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271849</v>
      </c>
      <c r="D114" s="1674">
        <f t="shared" ref="D114:K114" si="13">SUM(D33,D74,D75,D102,D112,D113)</f>
        <v>47701</v>
      </c>
      <c r="E114" s="1674">
        <f t="shared" si="13"/>
        <v>4532</v>
      </c>
      <c r="F114" s="1674">
        <f t="shared" si="13"/>
        <v>8104</v>
      </c>
      <c r="G114" s="1674">
        <f t="shared" si="13"/>
        <v>18922</v>
      </c>
      <c r="H114" s="1674">
        <f>SUM(H33,H74,H75,H102,H112,H113)</f>
        <v>0</v>
      </c>
      <c r="I114" s="1674">
        <f t="shared" si="13"/>
        <v>0</v>
      </c>
      <c r="J114" s="1674">
        <f t="shared" si="13"/>
        <v>0</v>
      </c>
      <c r="K114" s="1674">
        <f t="shared" si="13"/>
        <v>351108</v>
      </c>
      <c r="L114" s="1674">
        <f>SUM(L33,L74,L75,L102,L112,L113)</f>
        <v>385000</v>
      </c>
    </row>
    <row r="115" spans="1:14" ht="13.5" thickTop="1" x14ac:dyDescent="0.2">
      <c r="A115" s="2284" t="s">
        <v>989</v>
      </c>
      <c r="B115" s="2285"/>
      <c r="C115" s="1675"/>
      <c r="D115" s="1675"/>
      <c r="E115" s="1675"/>
      <c r="F115" s="1675"/>
      <c r="G115" s="1675"/>
      <c r="H115" s="1675"/>
      <c r="I115" s="1675"/>
      <c r="J115" s="1675"/>
      <c r="K115" s="1689">
        <f>'Revenues 9-14'!C268-'Expenditures 15-22'!K114</f>
        <v>-377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2" t="s">
        <v>293</v>
      </c>
      <c r="B117" s="226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4" t="s">
        <v>616</v>
      </c>
      <c r="B151" s="2256"/>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77" t="s">
        <v>1168</v>
      </c>
      <c r="B152" s="2278"/>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2" t="s">
        <v>617</v>
      </c>
      <c r="B154" s="226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4" t="s">
        <v>989</v>
      </c>
      <c r="B175" s="2285"/>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4" t="s">
        <v>989</v>
      </c>
      <c r="B211" s="2285"/>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79" t="s">
        <v>959</v>
      </c>
      <c r="B213" s="228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1781</v>
      </c>
      <c r="B249" s="557" t="s">
        <v>280</v>
      </c>
      <c r="C249" s="1673"/>
      <c r="D249" s="1579"/>
      <c r="E249" s="1673"/>
      <c r="F249" s="1673"/>
      <c r="G249" s="1673"/>
      <c r="H249" s="1673"/>
      <c r="I249" s="1673"/>
      <c r="J249" s="1673"/>
      <c r="K249" s="1678">
        <f t="shared" si="21"/>
        <v>0</v>
      </c>
      <c r="L249" s="1573"/>
    </row>
    <row r="250" spans="1:12" x14ac:dyDescent="0.2">
      <c r="A250" s="1275" t="s">
        <v>1782</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1780</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5" t="s">
        <v>502</v>
      </c>
      <c r="B295" s="2276"/>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4" t="s">
        <v>989</v>
      </c>
      <c r="B296" s="2285"/>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7" t="s">
        <v>142</v>
      </c>
      <c r="B298" s="226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2" t="s">
        <v>275</v>
      </c>
      <c r="B312" s="2273"/>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68" t="s">
        <v>989</v>
      </c>
      <c r="B313" s="2269"/>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1" t="s">
        <v>148</v>
      </c>
      <c r="B315" s="228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3" t="s">
        <v>892</v>
      </c>
      <c r="B317" s="228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0" t="s">
        <v>989</v>
      </c>
      <c r="B343" s="2271"/>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0" t="s">
        <v>960</v>
      </c>
      <c r="B345" s="226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4" t="s">
        <v>989</v>
      </c>
      <c r="B368" s="2285"/>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3"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I1" sqref="I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6"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7"/>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I1" sqref="I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625</v>
      </c>
      <c r="B1" s="2293"/>
      <c r="C1" s="585"/>
    </row>
    <row r="2" spans="1:7" ht="33.75" x14ac:dyDescent="0.2">
      <c r="A2" s="2301" t="s">
        <v>1778</v>
      </c>
      <c r="B2" s="230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5" t="s">
        <v>1104</v>
      </c>
      <c r="B3" s="2306"/>
      <c r="C3" s="2294"/>
      <c r="D3" s="2295"/>
      <c r="E3" s="2295"/>
      <c r="F3" s="2296"/>
    </row>
    <row r="4" spans="1:7" ht="12.75" customHeight="1" thickBot="1" x14ac:dyDescent="0.25">
      <c r="A4" s="2303" t="s">
        <v>626</v>
      </c>
      <c r="B4" s="2304"/>
      <c r="C4" s="1656"/>
      <c r="D4" s="1656"/>
      <c r="E4" s="1656"/>
      <c r="F4" s="1732">
        <f>SUM(C4+D4)-E4</f>
        <v>0</v>
      </c>
    </row>
    <row r="5" spans="1:7" ht="15.75" customHeight="1" thickTop="1" x14ac:dyDescent="0.2">
      <c r="A5" s="2288" t="s">
        <v>1101</v>
      </c>
      <c r="B5" s="2289"/>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0" t="s">
        <v>627</v>
      </c>
      <c r="B15" s="2291"/>
      <c r="C15" s="1732">
        <f>SUM(C6:C14)</f>
        <v>0</v>
      </c>
      <c r="D15" s="1732">
        <f>SUM(D6:D14)</f>
        <v>0</v>
      </c>
      <c r="E15" s="1732">
        <f>SUM(E6:E14)</f>
        <v>0</v>
      </c>
      <c r="F15" s="1732">
        <f>SUM(F6:F14)</f>
        <v>0</v>
      </c>
      <c r="G15" s="473"/>
    </row>
    <row r="16" spans="1:7" s="197" customFormat="1" ht="15.75" customHeight="1" thickTop="1" x14ac:dyDescent="0.2">
      <c r="A16" s="2300" t="s">
        <v>1102</v>
      </c>
      <c r="B16" s="2289"/>
      <c r="C16" s="2297"/>
      <c r="D16" s="2298"/>
      <c r="E16" s="2298"/>
      <c r="F16" s="2299"/>
    </row>
    <row r="17" spans="1:11" ht="12.75" customHeight="1" thickBot="1" x14ac:dyDescent="0.25">
      <c r="A17" s="2313" t="s">
        <v>64</v>
      </c>
      <c r="B17" s="2314"/>
      <c r="C17" s="1733"/>
      <c r="D17" s="1664"/>
      <c r="E17" s="1733"/>
      <c r="F17" s="1732">
        <f>SUM(C17+D17)-E17</f>
        <v>0</v>
      </c>
    </row>
    <row r="18" spans="1:11" ht="12.75" customHeight="1" thickTop="1" thickBot="1" x14ac:dyDescent="0.25">
      <c r="A18" s="2313" t="s">
        <v>6</v>
      </c>
      <c r="B18" s="2314"/>
      <c r="C18" s="1733"/>
      <c r="D18" s="1664"/>
      <c r="E18" s="1733"/>
      <c r="F18" s="1732">
        <f>SUM(C18+D18)-E18</f>
        <v>0</v>
      </c>
    </row>
    <row r="19" spans="1:11" ht="12.75" customHeight="1" thickTop="1" thickBot="1" x14ac:dyDescent="0.25">
      <c r="A19" s="2313" t="s">
        <v>385</v>
      </c>
      <c r="B19" s="2314"/>
      <c r="C19" s="1733"/>
      <c r="D19" s="1664"/>
      <c r="E19" s="1733"/>
      <c r="F19" s="1732">
        <f>SUM(C19+D19)-E19</f>
        <v>0</v>
      </c>
    </row>
    <row r="20" spans="1:11" ht="12.75" customHeight="1" thickTop="1" thickBot="1" x14ac:dyDescent="0.25">
      <c r="A20" s="2313" t="s">
        <v>445</v>
      </c>
      <c r="B20" s="2314"/>
      <c r="C20" s="1733"/>
      <c r="D20" s="1664"/>
      <c r="E20" s="1733"/>
      <c r="F20" s="1732">
        <f>SUM(C20+D20)-E20</f>
        <v>0</v>
      </c>
    </row>
    <row r="21" spans="1:11" ht="14.25" thickTop="1" thickBot="1" x14ac:dyDescent="0.25">
      <c r="A21" s="2290" t="s">
        <v>628</v>
      </c>
      <c r="B21" s="2291"/>
      <c r="C21" s="1732">
        <f>SUM(C17:C20)</f>
        <v>0</v>
      </c>
      <c r="D21" s="1732">
        <f>SUM(D17:D20)</f>
        <v>0</v>
      </c>
      <c r="E21" s="1732">
        <f>SUM(E17:E20)</f>
        <v>0</v>
      </c>
      <c r="F21" s="1732">
        <f>SUM(F17:F20)</f>
        <v>0</v>
      </c>
      <c r="G21" s="473"/>
    </row>
    <row r="22" spans="1:11" ht="15.75" customHeight="1" thickTop="1" x14ac:dyDescent="0.2">
      <c r="A22" s="2315" t="s">
        <v>1103</v>
      </c>
      <c r="B22" s="2289"/>
      <c r="C22" s="2297"/>
      <c r="D22" s="2298"/>
      <c r="E22" s="2298"/>
      <c r="F22" s="2299"/>
    </row>
    <row r="23" spans="1:11" ht="13.5" thickBot="1" x14ac:dyDescent="0.25">
      <c r="A23" s="2303" t="s">
        <v>629</v>
      </c>
      <c r="B23" s="2304"/>
      <c r="C23" s="1656"/>
      <c r="D23" s="1656"/>
      <c r="E23" s="1656"/>
      <c r="F23" s="1732">
        <f>SUM(C23+D23)-E23</f>
        <v>0</v>
      </c>
      <c r="G23" s="473"/>
    </row>
    <row r="24" spans="1:11" ht="15.75" customHeight="1" thickTop="1" x14ac:dyDescent="0.2">
      <c r="A24" s="2315" t="s">
        <v>2005</v>
      </c>
      <c r="B24" s="2289"/>
      <c r="C24" s="2297"/>
      <c r="D24" s="2298"/>
      <c r="E24" s="2298"/>
      <c r="F24" s="2299"/>
    </row>
    <row r="25" spans="1:11" ht="13.5" thickBot="1" x14ac:dyDescent="0.25">
      <c r="A25" s="2303" t="s">
        <v>2006</v>
      </c>
      <c r="B25" s="2304"/>
      <c r="C25" s="1656"/>
      <c r="D25" s="1656"/>
      <c r="E25" s="1656"/>
      <c r="F25" s="1732">
        <f>SUM(C25+D25)-E25</f>
        <v>0</v>
      </c>
      <c r="G25" s="473"/>
    </row>
    <row r="26" spans="1:11" ht="15.75" customHeight="1" thickTop="1" x14ac:dyDescent="0.2">
      <c r="A26" s="2288" t="s">
        <v>652</v>
      </c>
      <c r="B26" s="2289"/>
      <c r="C26" s="589"/>
      <c r="D26" s="589"/>
      <c r="E26" s="589"/>
      <c r="F26" s="590"/>
    </row>
    <row r="27" spans="1:11" ht="13.5" thickBot="1" x14ac:dyDescent="0.25">
      <c r="A27" s="2290" t="s">
        <v>1061</v>
      </c>
      <c r="B27" s="2291"/>
      <c r="C27" s="1664"/>
      <c r="D27" s="1664"/>
      <c r="E27" s="1664"/>
      <c r="F27" s="1732">
        <f>SUM(C27+D27)-E27</f>
        <v>0</v>
      </c>
      <c r="G27" s="473"/>
    </row>
    <row r="28" spans="1:11" ht="7.5" customHeight="1" thickTop="1" x14ac:dyDescent="0.2">
      <c r="A28" s="489"/>
    </row>
    <row r="29" spans="1:11" ht="23.25" customHeight="1" x14ac:dyDescent="0.2">
      <c r="A29" s="2316" t="s">
        <v>578</v>
      </c>
      <c r="B29" s="229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07" t="s">
        <v>580</v>
      </c>
      <c r="C52" s="2308"/>
      <c r="D52" s="2308"/>
      <c r="E52" s="603" t="s">
        <v>840</v>
      </c>
      <c r="F52" s="2309"/>
      <c r="G52" s="2310"/>
      <c r="H52" s="596"/>
      <c r="I52" s="596"/>
      <c r="J52" s="600"/>
    </row>
    <row r="53" spans="1:11" ht="11.25" customHeight="1" x14ac:dyDescent="0.2">
      <c r="A53" s="604" t="s">
        <v>907</v>
      </c>
      <c r="B53" s="605" t="s">
        <v>945</v>
      </c>
      <c r="C53" s="600"/>
      <c r="D53" s="597"/>
      <c r="E53" s="603" t="s">
        <v>494</v>
      </c>
      <c r="F53" s="2311"/>
      <c r="G53" s="2312"/>
      <c r="H53" s="596"/>
      <c r="I53" s="596"/>
      <c r="J53" s="600"/>
    </row>
    <row r="54" spans="1:11" ht="11.25" customHeight="1" x14ac:dyDescent="0.2">
      <c r="A54" s="606" t="s">
        <v>908</v>
      </c>
      <c r="B54" s="601" t="s">
        <v>946</v>
      </c>
      <c r="C54" s="600"/>
      <c r="D54" s="597"/>
      <c r="E54" s="603" t="s">
        <v>495</v>
      </c>
      <c r="F54" s="2311"/>
      <c r="G54" s="231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1" sqref="I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851</v>
      </c>
      <c r="B1" s="2344"/>
      <c r="C1" s="2344"/>
      <c r="D1" s="2344"/>
      <c r="E1" s="2344"/>
      <c r="F1" s="2344"/>
      <c r="G1" s="2345"/>
      <c r="H1" s="1298"/>
      <c r="I1" s="614"/>
      <c r="J1" s="400"/>
    </row>
    <row r="2" spans="1:11" ht="26.25" x14ac:dyDescent="0.2">
      <c r="A2" s="2320" t="s">
        <v>1658</v>
      </c>
      <c r="B2" s="2321"/>
      <c r="C2" s="2321"/>
      <c r="D2" s="2321"/>
      <c r="E2" s="2322"/>
      <c r="F2" s="615" t="s">
        <v>898</v>
      </c>
      <c r="G2" s="616" t="s">
        <v>1655</v>
      </c>
      <c r="H2" s="616" t="s">
        <v>407</v>
      </c>
      <c r="I2" s="616" t="s">
        <v>1148</v>
      </c>
      <c r="J2" s="616" t="s">
        <v>1788</v>
      </c>
      <c r="K2" s="616" t="s">
        <v>137</v>
      </c>
    </row>
    <row r="3" spans="1:11" x14ac:dyDescent="0.2">
      <c r="A3" s="2323" t="str">
        <f>"Cash Basis Fund Balance as of July 1, "&amp;'AFR20'!E2-1</f>
        <v>Cash Basis Fund Balance as of July 1, 2019</v>
      </c>
      <c r="B3" s="2324"/>
      <c r="C3" s="2324"/>
      <c r="D3" s="2324"/>
      <c r="E3" s="2325"/>
      <c r="F3" s="617"/>
      <c r="G3" s="1744"/>
      <c r="H3" s="1744"/>
      <c r="I3" s="1744"/>
      <c r="J3" s="1745"/>
      <c r="K3" s="1745"/>
    </row>
    <row r="4" spans="1:11" x14ac:dyDescent="0.2">
      <c r="A4" s="2326" t="s">
        <v>366</v>
      </c>
      <c r="B4" s="2327"/>
      <c r="C4" s="2327"/>
      <c r="D4" s="2327"/>
      <c r="E4" s="2308"/>
      <c r="F4" s="620"/>
      <c r="G4" s="1746"/>
      <c r="H4" s="1747"/>
      <c r="I4" s="1746"/>
      <c r="J4" s="1748"/>
      <c r="K4" s="1748"/>
    </row>
    <row r="5" spans="1:11" x14ac:dyDescent="0.2">
      <c r="A5" s="2346" t="s">
        <v>1060</v>
      </c>
      <c r="B5" s="2317"/>
      <c r="C5" s="2317"/>
      <c r="D5" s="2317"/>
      <c r="E5" s="2347"/>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6" t="s">
        <v>1789</v>
      </c>
      <c r="B10" s="2317"/>
      <c r="C10" s="2317"/>
      <c r="D10" s="2317"/>
      <c r="E10" s="2348"/>
      <c r="F10" s="633" t="s">
        <v>857</v>
      </c>
      <c r="G10" s="1753"/>
      <c r="H10" s="1754"/>
      <c r="I10" s="1744"/>
      <c r="J10" s="1745"/>
      <c r="K10" s="1745"/>
    </row>
    <row r="11" spans="1:11" x14ac:dyDescent="0.2">
      <c r="A11" s="2346" t="s">
        <v>159</v>
      </c>
      <c r="B11" s="2317"/>
      <c r="C11" s="2317"/>
      <c r="D11" s="2317"/>
      <c r="E11" s="2347"/>
      <c r="F11" s="622" t="s">
        <v>847</v>
      </c>
      <c r="G11" s="1749"/>
      <c r="H11" s="1744"/>
      <c r="I11" s="1744"/>
      <c r="J11" s="1745"/>
      <c r="K11" s="1751"/>
    </row>
    <row r="12" spans="1:11" ht="13.5" thickBot="1" x14ac:dyDescent="0.25">
      <c r="A12" s="2334" t="s">
        <v>899</v>
      </c>
      <c r="B12" s="2335"/>
      <c r="C12" s="2335"/>
      <c r="D12" s="2335"/>
      <c r="E12" s="2336"/>
      <c r="F12" s="1433"/>
      <c r="G12" s="1755">
        <f>SUM(G5:G11)</f>
        <v>0</v>
      </c>
      <c r="H12" s="1755">
        <f>SUM(H5:H11)</f>
        <v>0</v>
      </c>
      <c r="I12" s="1755">
        <f>SUM(I5:I11)</f>
        <v>0</v>
      </c>
      <c r="J12" s="1755">
        <f>SUM(J5:J11)</f>
        <v>0</v>
      </c>
      <c r="K12" s="1755">
        <f>SUM(K5:K11)</f>
        <v>0</v>
      </c>
    </row>
    <row r="13" spans="1:11" ht="13.5" thickTop="1" x14ac:dyDescent="0.2">
      <c r="A13" s="2328" t="s">
        <v>367</v>
      </c>
      <c r="B13" s="2329"/>
      <c r="C13" s="2329"/>
      <c r="D13" s="2329"/>
      <c r="E13" s="2330"/>
      <c r="F13" s="634"/>
      <c r="G13" s="1756"/>
      <c r="H13" s="1757"/>
      <c r="I13" s="1758"/>
      <c r="J13" s="1758"/>
      <c r="K13" s="1758"/>
    </row>
    <row r="14" spans="1:11" x14ac:dyDescent="0.2">
      <c r="A14" s="2352" t="s">
        <v>453</v>
      </c>
      <c r="B14" s="2352"/>
      <c r="C14" s="2352"/>
      <c r="D14" s="2352"/>
      <c r="E14" s="2353"/>
      <c r="F14" s="635" t="s">
        <v>849</v>
      </c>
      <c r="G14" s="1753"/>
      <c r="H14" s="1744"/>
      <c r="I14" s="1749"/>
      <c r="J14" s="1751"/>
      <c r="K14" s="1745"/>
    </row>
    <row r="15" spans="1:11" x14ac:dyDescent="0.2">
      <c r="A15" s="2317" t="s">
        <v>4</v>
      </c>
      <c r="B15" s="2317"/>
      <c r="C15" s="2317"/>
      <c r="D15" s="2317"/>
      <c r="E15" s="2347"/>
      <c r="F15" s="635" t="s">
        <v>850</v>
      </c>
      <c r="G15" s="1749"/>
      <c r="H15" s="1744"/>
      <c r="I15" s="1744"/>
      <c r="J15" s="1745"/>
      <c r="K15" s="1745"/>
    </row>
    <row r="16" spans="1:11" x14ac:dyDescent="0.2">
      <c r="A16" s="2317" t="s">
        <v>295</v>
      </c>
      <c r="B16" s="2317"/>
      <c r="C16" s="2317"/>
      <c r="D16" s="2317"/>
      <c r="E16" s="2347"/>
      <c r="F16" s="635" t="s">
        <v>917</v>
      </c>
      <c r="G16" s="1750"/>
      <c r="H16" s="1746"/>
      <c r="I16" s="1746"/>
      <c r="J16" s="1748"/>
      <c r="K16" s="1748"/>
    </row>
    <row r="17" spans="1:15" x14ac:dyDescent="0.2">
      <c r="A17" s="2341" t="s">
        <v>929</v>
      </c>
      <c r="B17" s="2341"/>
      <c r="C17" s="2341"/>
      <c r="D17" s="2341"/>
      <c r="E17" s="2342"/>
      <c r="F17" s="636"/>
      <c r="G17" s="1759"/>
      <c r="H17" s="1760"/>
      <c r="I17" s="1760"/>
      <c r="J17" s="1761"/>
      <c r="K17" s="1762"/>
    </row>
    <row r="18" spans="1:15" x14ac:dyDescent="0.2">
      <c r="A18" s="2331" t="s">
        <v>365</v>
      </c>
      <c r="B18" s="2332"/>
      <c r="C18" s="2332"/>
      <c r="D18" s="2332"/>
      <c r="E18" s="2333"/>
      <c r="F18" s="635" t="s">
        <v>926</v>
      </c>
      <c r="G18" s="1753"/>
      <c r="H18" s="1753"/>
      <c r="I18" s="1753"/>
      <c r="J18" s="1745"/>
      <c r="K18" s="1763"/>
    </row>
    <row r="19" spans="1:15" ht="21.75" customHeight="1" x14ac:dyDescent="0.2">
      <c r="A19" s="2354" t="s">
        <v>1785</v>
      </c>
      <c r="B19" s="2354"/>
      <c r="C19" s="2354"/>
      <c r="D19" s="2354"/>
      <c r="E19" s="2355"/>
      <c r="F19" s="635" t="s">
        <v>927</v>
      </c>
      <c r="G19" s="1753"/>
      <c r="H19" s="1753"/>
      <c r="I19" s="1753"/>
      <c r="J19" s="1745"/>
      <c r="K19" s="1763"/>
    </row>
    <row r="20" spans="1:15" x14ac:dyDescent="0.2">
      <c r="A20" s="2331" t="s">
        <v>1790</v>
      </c>
      <c r="B20" s="2332"/>
      <c r="C20" s="2332"/>
      <c r="D20" s="2332"/>
      <c r="E20" s="2333"/>
      <c r="F20" s="635" t="s">
        <v>928</v>
      </c>
      <c r="G20" s="1753"/>
      <c r="H20" s="1753"/>
      <c r="I20" s="1753"/>
      <c r="J20" s="1745"/>
      <c r="K20" s="1763"/>
    </row>
    <row r="21" spans="1:15" ht="13.5" thickBot="1" x14ac:dyDescent="0.25">
      <c r="A21" s="2337" t="s">
        <v>633</v>
      </c>
      <c r="B21" s="2337"/>
      <c r="C21" s="2337"/>
      <c r="D21" s="2337"/>
      <c r="E21" s="2337"/>
      <c r="F21" s="1434"/>
      <c r="G21" s="1760"/>
      <c r="H21" s="1764"/>
      <c r="I21" s="1764"/>
      <c r="J21" s="1765">
        <f>SUM(J18:J20)</f>
        <v>0</v>
      </c>
      <c r="K21" s="1761"/>
    </row>
    <row r="22" spans="1:15" ht="13.5" thickTop="1" x14ac:dyDescent="0.2">
      <c r="A22" s="2317" t="s">
        <v>1791</v>
      </c>
      <c r="B22" s="2317"/>
      <c r="C22" s="2317"/>
      <c r="D22" s="2317"/>
      <c r="E22" s="2347"/>
      <c r="F22" s="635" t="s">
        <v>857</v>
      </c>
      <c r="G22" s="1753"/>
      <c r="H22" s="1744"/>
      <c r="I22" s="1744"/>
      <c r="J22" s="1766"/>
      <c r="K22" s="1745"/>
    </row>
    <row r="23" spans="1:15" ht="13.5" thickBot="1" x14ac:dyDescent="0.25">
      <c r="A23" s="2338" t="s">
        <v>900</v>
      </c>
      <c r="B23" s="2337"/>
      <c r="C23" s="2337"/>
      <c r="D23" s="2337"/>
      <c r="E23" s="2337"/>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39" t="str">
        <f>"Ending Cash Basis Fund Balance as of June 30, "&amp;'AFR20'!E2</f>
        <v>Ending Cash Basis Fund Balance as of June 30, 2020</v>
      </c>
      <c r="B24" s="2340"/>
      <c r="C24" s="2340"/>
      <c r="D24" s="2340"/>
      <c r="E24" s="234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9"/>
      <c r="I31" s="2350"/>
      <c r="J31" s="2350"/>
      <c r="K31" s="2350"/>
    </row>
    <row r="32" spans="1:15" x14ac:dyDescent="0.2">
      <c r="A32" s="649"/>
      <c r="B32" s="232"/>
      <c r="C32" s="232"/>
      <c r="D32" s="232"/>
      <c r="E32" s="645"/>
      <c r="F32" s="651" t="s">
        <v>537</v>
      </c>
      <c r="G32" s="618"/>
      <c r="H32" s="2351"/>
      <c r="I32" s="2350"/>
      <c r="J32" s="2350"/>
      <c r="K32" s="2350"/>
    </row>
    <row r="33" spans="1:11" ht="1.5" customHeight="1" x14ac:dyDescent="0.2">
      <c r="A33" s="652" t="s">
        <v>1159</v>
      </c>
      <c r="B33" s="341"/>
      <c r="C33" s="341"/>
      <c r="D33" s="341"/>
      <c r="E33" s="341"/>
      <c r="F33" s="341"/>
      <c r="G33" s="653"/>
      <c r="H33" s="2351"/>
      <c r="I33" s="2350"/>
      <c r="J33" s="2350"/>
      <c r="K33" s="2350"/>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7" t="s">
        <v>538</v>
      </c>
      <c r="B41" s="2318"/>
      <c r="C41" s="2318"/>
      <c r="D41" s="2318"/>
      <c r="E41" s="2318"/>
      <c r="F41" s="231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D2" colorId="8" zoomScaleNormal="100" workbookViewId="0">
      <selection activeCell="I1" sqref="I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1874</v>
      </c>
      <c r="B1" s="2359"/>
      <c r="C1" s="2360"/>
      <c r="D1" s="666"/>
      <c r="E1" s="667"/>
      <c r="F1" s="667"/>
      <c r="G1" s="668"/>
      <c r="H1" s="669"/>
      <c r="I1" s="670"/>
      <c r="J1" s="2356"/>
      <c r="K1" s="2357"/>
      <c r="L1" s="235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217874</v>
      </c>
      <c r="D12" s="1771">
        <v>18922</v>
      </c>
      <c r="E12" s="1771"/>
      <c r="F12" s="1765">
        <f>(C12+D12)-E12</f>
        <v>236796</v>
      </c>
      <c r="G12" s="681">
        <v>10</v>
      </c>
      <c r="H12" s="619">
        <v>118594</v>
      </c>
      <c r="I12" s="619">
        <v>16787</v>
      </c>
      <c r="J12" s="619"/>
      <c r="K12" s="1442">
        <f>(H12+I12)-J12</f>
        <v>135381</v>
      </c>
      <c r="L12" s="1442">
        <f>F12-K12</f>
        <v>101415</v>
      </c>
    </row>
    <row r="13" spans="1:14" ht="14.25" thickTop="1" thickBot="1" x14ac:dyDescent="0.25">
      <c r="A13" s="684" t="s">
        <v>1112</v>
      </c>
      <c r="B13" s="679">
        <v>252</v>
      </c>
      <c r="C13" s="1771">
        <v>35396</v>
      </c>
      <c r="D13" s="1771"/>
      <c r="E13" s="1771"/>
      <c r="F13" s="1765">
        <f>(C13+D13)-E13</f>
        <v>35396</v>
      </c>
      <c r="G13" s="681">
        <v>5</v>
      </c>
      <c r="H13" s="619">
        <v>35396</v>
      </c>
      <c r="I13" s="619"/>
      <c r="J13" s="619"/>
      <c r="K13" s="1442">
        <f>(H13+I13)-J13</f>
        <v>35396</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253270</v>
      </c>
      <c r="D16" s="1765">
        <f>SUM(D3,D5:D6,D8:D10,D12:D15)</f>
        <v>18922</v>
      </c>
      <c r="E16" s="1765">
        <f>SUM(E3,E5:E6,E8:E10,E12:E15)</f>
        <v>0</v>
      </c>
      <c r="F16" s="1765">
        <f>SUM(F3,F5:F6,F8:F10,F12:F15)</f>
        <v>272192</v>
      </c>
      <c r="G16" s="681"/>
      <c r="H16" s="1435">
        <f>SUM(H3,H6,H8:H10,H12:H14,)</f>
        <v>153990</v>
      </c>
      <c r="I16" s="1435">
        <f>SUM(I3,I6,I8:I10,I12:I14,)</f>
        <v>16787</v>
      </c>
      <c r="J16" s="1435">
        <f>SUM(J3,J6,J8:J10,J12:J14,)</f>
        <v>0</v>
      </c>
      <c r="K16" s="1435">
        <f>(H16+I16)-J16</f>
        <v>170777</v>
      </c>
      <c r="L16" s="1435">
        <f>F16-K16</f>
        <v>101415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16787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1"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I1" sqref="I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474</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0"/>
      <c r="B5" s="2371"/>
      <c r="C5" s="2371"/>
      <c r="D5" s="2371"/>
      <c r="E5" s="2371"/>
      <c r="F5" s="2371"/>
    </row>
    <row r="6" spans="1:9" ht="13.5" customHeight="1" thickBot="1" x14ac:dyDescent="0.25">
      <c r="A6" s="2361" t="s">
        <v>1095</v>
      </c>
      <c r="B6" s="2362"/>
      <c r="C6" s="2362"/>
      <c r="D6" s="2362"/>
      <c r="E6" s="2362"/>
      <c r="F6" s="236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351108</v>
      </c>
      <c r="G8" s="701"/>
    </row>
    <row r="9" spans="1:9" x14ac:dyDescent="0.2">
      <c r="A9" s="705" t="s">
        <v>457</v>
      </c>
      <c r="B9" s="706" t="s">
        <v>1847</v>
      </c>
      <c r="C9" s="707"/>
      <c r="D9" s="705" t="s">
        <v>498</v>
      </c>
      <c r="E9" s="704"/>
      <c r="F9" s="1775">
        <f>'Expenditures 15-22'!K151</f>
        <v>0</v>
      </c>
      <c r="G9" s="708"/>
    </row>
    <row r="10" spans="1:9" x14ac:dyDescent="0.2">
      <c r="A10" s="705" t="s">
        <v>496</v>
      </c>
      <c r="B10" s="706" t="s">
        <v>1848</v>
      </c>
      <c r="C10" s="707"/>
      <c r="D10" s="705" t="s">
        <v>498</v>
      </c>
      <c r="E10" s="704"/>
      <c r="F10" s="1775">
        <f>'Expenditures 15-22'!K174</f>
        <v>0</v>
      </c>
      <c r="G10" s="708"/>
    </row>
    <row r="11" spans="1:9" x14ac:dyDescent="0.2">
      <c r="A11" s="705" t="s">
        <v>458</v>
      </c>
      <c r="B11" s="706" t="s">
        <v>1849</v>
      </c>
      <c r="C11" s="707"/>
      <c r="D11" s="705" t="s">
        <v>498</v>
      </c>
      <c r="E11" s="704"/>
      <c r="F11" s="1775">
        <f>'Expenditures 15-22'!K210</f>
        <v>0</v>
      </c>
      <c r="G11" s="708"/>
    </row>
    <row r="12" spans="1:9" x14ac:dyDescent="0.2">
      <c r="A12" s="705" t="s">
        <v>459</v>
      </c>
      <c r="B12" s="706" t="s">
        <v>1850</v>
      </c>
      <c r="C12" s="707"/>
      <c r="D12" s="705" t="s">
        <v>498</v>
      </c>
      <c r="E12" s="704"/>
      <c r="F12" s="1775">
        <f>'Expenditures 15-22'!K295</f>
        <v>0</v>
      </c>
      <c r="G12" s="708"/>
    </row>
    <row r="13" spans="1:9" x14ac:dyDescent="0.2">
      <c r="A13" s="705" t="s">
        <v>106</v>
      </c>
      <c r="B13" s="706" t="s">
        <v>1851</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351108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18922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0</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18922</v>
      </c>
      <c r="G77" s="701"/>
    </row>
    <row r="78" spans="1:9" s="728" customFormat="1" ht="12" customHeight="1" thickTop="1" thickBot="1" x14ac:dyDescent="0.25">
      <c r="A78" s="1450"/>
      <c r="B78" s="1448"/>
      <c r="C78" s="1445"/>
      <c r="D78" s="1449" t="s">
        <v>2011</v>
      </c>
      <c r="E78" s="1447"/>
      <c r="F78" s="1788">
        <f>(F14-F77)</f>
        <v>332186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2012</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1" t="s">
        <v>1096</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0</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117271</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0</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0</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0</v>
      </c>
      <c r="G121" s="763"/>
    </row>
    <row r="122" spans="1:7" x14ac:dyDescent="0.2">
      <c r="A122" s="760" t="s">
        <v>497</v>
      </c>
      <c r="B122" s="760" t="s">
        <v>1925</v>
      </c>
      <c r="C122" s="761">
        <f>'Revenues 9-14'!B168</f>
        <v>3999</v>
      </c>
      <c r="D122" s="762" t="s">
        <v>540</v>
      </c>
      <c r="E122" s="764"/>
      <c r="F122" s="1793">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0</v>
      </c>
      <c r="G126" s="763"/>
    </row>
    <row r="127" spans="1:7" x14ac:dyDescent="0.2">
      <c r="A127" s="760" t="s">
        <v>663</v>
      </c>
      <c r="B127" s="760" t="s">
        <v>1930</v>
      </c>
      <c r="C127" s="765">
        <v>4300</v>
      </c>
      <c r="D127" s="766" t="str">
        <f>'Revenues 9-14'!A204</f>
        <v>Total Title I</v>
      </c>
      <c r="E127" s="739"/>
      <c r="F127" s="1793">
        <f>SUM('Revenues 9-14'!C204,'Revenues 9-14'!D204,'Revenues 9-14'!F204,'Revenues 9-14'!G204)</f>
        <v>0</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20000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c r="G172" s="760"/>
    </row>
    <row r="173" spans="1:7" x14ac:dyDescent="0.2">
      <c r="A173" s="1529" t="s">
        <v>659</v>
      </c>
      <c r="B173" s="1530" t="s">
        <v>1884</v>
      </c>
      <c r="C173" s="1531">
        <v>3300</v>
      </c>
      <c r="D173" s="1532" t="s">
        <v>1887</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137271</v>
      </c>
    </row>
    <row r="176" spans="1:7" ht="12" customHeight="1" x14ac:dyDescent="0.2">
      <c r="A176" s="1443"/>
      <c r="B176" s="1453"/>
      <c r="C176" s="1454"/>
      <c r="D176" s="1455" t="s">
        <v>2013</v>
      </c>
      <c r="E176" s="1456"/>
      <c r="F176" s="1793">
        <f>'PCTC-OEPP 27-28'!F78-F175</f>
        <v>194915</v>
      </c>
    </row>
    <row r="177" spans="1:9" ht="12" customHeight="1" x14ac:dyDescent="0.2">
      <c r="A177" s="1443"/>
      <c r="B177" s="1453"/>
      <c r="C177" s="1454"/>
      <c r="D177" s="1455" t="s">
        <v>1793</v>
      </c>
      <c r="E177" s="1456"/>
      <c r="F177" s="1793">
        <f>'Cap Outlay Deprec 26'!I18</f>
        <v>16787</v>
      </c>
    </row>
    <row r="178" spans="1:9" ht="12" customHeight="1" x14ac:dyDescent="0.2">
      <c r="A178" s="1443"/>
      <c r="B178" s="1453"/>
      <c r="C178" s="1454"/>
      <c r="D178" s="1455" t="s">
        <v>2014</v>
      </c>
      <c r="E178" s="1456"/>
      <c r="F178" s="1793">
        <f>F176+F177</f>
        <v>211702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2016</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view="pageBreakPreview" topLeftCell="B1" zoomScaleNormal="100" zoomScaleSheetLayoutView="100" workbookViewId="0">
      <selection activeCell="I1" sqref="I1"/>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1806</v>
      </c>
      <c r="B1" s="1860"/>
      <c r="C1" s="1861"/>
      <c r="D1" s="1861"/>
      <c r="E1" s="1861"/>
      <c r="F1" s="1861"/>
    </row>
    <row r="2" spans="1:6" x14ac:dyDescent="0.25">
      <c r="A2" s="1863"/>
      <c r="B2" s="1864"/>
      <c r="C2" s="1911" t="s">
        <v>2002</v>
      </c>
      <c r="D2" s="1863"/>
      <c r="E2" s="1863"/>
      <c r="F2" s="1863"/>
    </row>
    <row r="3" spans="1:6" ht="5.25" customHeight="1" x14ac:dyDescent="0.25">
      <c r="A3" s="1865"/>
      <c r="B3" s="1866"/>
      <c r="C3" s="1865"/>
      <c r="D3" s="1865"/>
      <c r="E3" s="1865"/>
      <c r="F3" s="1865"/>
    </row>
    <row r="4" spans="1:6" ht="18.75" customHeight="1" x14ac:dyDescent="0.25">
      <c r="A4" s="2375" t="s">
        <v>1794</v>
      </c>
      <c r="B4" s="2376"/>
      <c r="C4" s="2376"/>
      <c r="D4" s="2376"/>
      <c r="E4" s="2376"/>
      <c r="F4" s="2377"/>
    </row>
    <row r="5" spans="1:6" x14ac:dyDescent="0.25">
      <c r="A5" s="2378"/>
      <c r="B5" s="2379"/>
      <c r="C5" s="2379"/>
      <c r="D5" s="2379"/>
      <c r="E5" s="2379"/>
      <c r="F5" s="2380"/>
    </row>
    <row r="6" spans="1:6" ht="18.75" x14ac:dyDescent="0.25">
      <c r="A6" s="1867" t="s">
        <v>1795</v>
      </c>
      <c r="B6" s="1868"/>
      <c r="C6" s="1869"/>
      <c r="D6" s="1869"/>
      <c r="E6" s="1869"/>
      <c r="F6" s="1870"/>
    </row>
    <row r="7" spans="1:6" ht="47.25" customHeight="1" x14ac:dyDescent="0.25">
      <c r="A7" s="2381" t="s">
        <v>1984</v>
      </c>
      <c r="B7" s="2382"/>
      <c r="C7" s="2382"/>
      <c r="D7" s="2382"/>
      <c r="E7" s="2382"/>
      <c r="F7" s="2383"/>
    </row>
    <row r="8" spans="1:6" ht="20.25" customHeight="1" x14ac:dyDescent="0.25">
      <c r="A8" s="1901" t="s">
        <v>1986</v>
      </c>
      <c r="B8" s="1902"/>
      <c r="C8" s="1902"/>
      <c r="D8" s="1902"/>
      <c r="E8" s="1871"/>
      <c r="F8" s="1872"/>
    </row>
    <row r="9" spans="1:6" ht="18" customHeight="1" x14ac:dyDescent="0.25">
      <c r="A9" s="1873" t="s">
        <v>1983</v>
      </c>
      <c r="B9" s="1875"/>
      <c r="C9" s="1875"/>
      <c r="D9" s="1875"/>
      <c r="E9" s="1871"/>
      <c r="F9" s="1872"/>
    </row>
    <row r="10" spans="1:6" ht="15.75" customHeight="1" x14ac:dyDescent="0.25">
      <c r="A10" s="2384" t="s">
        <v>1980</v>
      </c>
      <c r="B10" s="2385"/>
      <c r="C10" s="2385"/>
      <c r="D10" s="2385"/>
      <c r="E10" s="2385"/>
      <c r="F10" s="2386"/>
    </row>
    <row r="11" spans="1:6" ht="33" customHeight="1" x14ac:dyDescent="0.25">
      <c r="A11" s="2381" t="s">
        <v>1985</v>
      </c>
      <c r="B11" s="2382"/>
      <c r="C11" s="2382"/>
      <c r="D11" s="2382"/>
      <c r="E11" s="2382"/>
      <c r="F11" s="2383"/>
    </row>
    <row r="12" spans="1:6" ht="15" customHeight="1" x14ac:dyDescent="0.25">
      <c r="A12" s="1873" t="s">
        <v>1981</v>
      </c>
      <c r="B12" s="1874"/>
      <c r="C12" s="1875"/>
      <c r="D12" s="1875"/>
      <c r="E12" s="1875"/>
      <c r="F12" s="1876"/>
    </row>
    <row r="13" spans="1:6" ht="17.25" customHeight="1" x14ac:dyDescent="0.25">
      <c r="A13" s="2381" t="s">
        <v>1982</v>
      </c>
      <c r="B13" s="2382"/>
      <c r="C13" s="2382"/>
      <c r="D13" s="2382"/>
      <c r="E13" s="2382"/>
      <c r="F13" s="2383"/>
    </row>
    <row r="14" spans="1:6" ht="15" customHeight="1" x14ac:dyDescent="0.25">
      <c r="A14" s="1873" t="s">
        <v>1799</v>
      </c>
      <c r="B14" s="1874"/>
      <c r="C14" s="1875"/>
      <c r="D14" s="1875"/>
      <c r="E14" s="1875"/>
      <c r="F14" s="1876"/>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6" t="s">
        <v>1798</v>
      </c>
      <c r="C17" s="1881" t="s">
        <v>1796</v>
      </c>
      <c r="D17" s="1882">
        <v>500000</v>
      </c>
      <c r="E17" s="1882" t="str">
        <f>IF(D17&lt;25000,D17,"25,000")</f>
        <v>25,000</v>
      </c>
      <c r="F17" s="1883">
        <f>IF(D17&gt;=25000,(D17-E17),"0")</f>
        <v>475000</v>
      </c>
    </row>
    <row r="18" spans="1:7" x14ac:dyDescent="0.25">
      <c r="A18" s="2034" t="s">
        <v>2085</v>
      </c>
      <c r="B18" s="1907"/>
      <c r="C18" s="1912"/>
      <c r="D18" s="1885">
        <v>0</v>
      </c>
      <c r="E18" s="1905">
        <f t="shared" ref="E18:E19" si="0">IF(D18&lt;25000,D18,"25,000")</f>
        <v>0</v>
      </c>
      <c r="F18" s="1905" t="str">
        <f t="shared" ref="F18:F19" si="1">IF(D18&gt;=25000,(D18-E18),"0")</f>
        <v>0</v>
      </c>
      <c r="G18" s="1886"/>
    </row>
    <row r="19" spans="1:7" x14ac:dyDescent="0.25">
      <c r="A19" s="1887"/>
      <c r="B19" s="1907"/>
      <c r="C19" s="1884"/>
      <c r="D19" s="1885"/>
      <c r="E19" s="1905">
        <f t="shared" si="0"/>
        <v>0</v>
      </c>
      <c r="F19" s="1905" t="str">
        <f t="shared" si="1"/>
        <v>0</v>
      </c>
    </row>
    <row r="20" spans="1:7" x14ac:dyDescent="0.25">
      <c r="A20" s="1887"/>
      <c r="B20" s="1908"/>
      <c r="C20" s="1888"/>
      <c r="D20" s="1885"/>
      <c r="E20" s="1905">
        <f t="shared" ref="E20:E37" si="2">IF(D20&lt;25000,D20,"25,000")</f>
        <v>0</v>
      </c>
      <c r="F20" s="1905" t="str">
        <f t="shared" ref="F20:F37" si="3">IF(D20&gt;=25000,(D20-E20),"0")</f>
        <v>0</v>
      </c>
    </row>
    <row r="21" spans="1:7" x14ac:dyDescent="0.25">
      <c r="A21" s="1887"/>
      <c r="B21" s="1908"/>
      <c r="C21" s="1888"/>
      <c r="D21" s="1885"/>
      <c r="E21" s="1905">
        <f t="shared" si="2"/>
        <v>0</v>
      </c>
      <c r="F21" s="1905" t="str">
        <f t="shared" si="3"/>
        <v>0</v>
      </c>
    </row>
    <row r="22" spans="1:7" x14ac:dyDescent="0.25">
      <c r="A22" s="1887"/>
      <c r="B22" s="1908"/>
      <c r="C22" s="1888"/>
      <c r="D22" s="1885"/>
      <c r="E22" s="1905">
        <f t="shared" si="2"/>
        <v>0</v>
      </c>
      <c r="F22" s="1905" t="str">
        <f t="shared" si="3"/>
        <v>0</v>
      </c>
    </row>
    <row r="23" spans="1:7" x14ac:dyDescent="0.25">
      <c r="A23" s="1887"/>
      <c r="B23" s="1908"/>
      <c r="C23" s="1888"/>
      <c r="D23" s="1885"/>
      <c r="E23" s="1905">
        <f t="shared" si="2"/>
        <v>0</v>
      </c>
      <c r="F23" s="1905" t="str">
        <f t="shared" si="3"/>
        <v>0</v>
      </c>
    </row>
    <row r="24" spans="1:7" x14ac:dyDescent="0.25">
      <c r="A24" s="1887"/>
      <c r="B24" s="1908"/>
      <c r="C24" s="1888"/>
      <c r="D24" s="1885"/>
      <c r="E24" s="1905">
        <f t="shared" si="2"/>
        <v>0</v>
      </c>
      <c r="F24" s="1905" t="str">
        <f t="shared" si="3"/>
        <v>0</v>
      </c>
    </row>
    <row r="25" spans="1:7" x14ac:dyDescent="0.25">
      <c r="A25" s="1887"/>
      <c r="B25" s="1908"/>
      <c r="C25" s="1888"/>
      <c r="D25" s="1885"/>
      <c r="E25" s="1905">
        <f t="shared" si="2"/>
        <v>0</v>
      </c>
      <c r="F25" s="1905" t="str">
        <f t="shared" si="3"/>
        <v>0</v>
      </c>
    </row>
    <row r="26" spans="1:7" x14ac:dyDescent="0.25">
      <c r="A26" s="1887"/>
      <c r="B26" s="1908"/>
      <c r="C26" s="1888"/>
      <c r="D26" s="1885"/>
      <c r="E26" s="1905">
        <f t="shared" si="2"/>
        <v>0</v>
      </c>
      <c r="F26" s="1905" t="str">
        <f t="shared" si="3"/>
        <v>0</v>
      </c>
    </row>
    <row r="27" spans="1:7" x14ac:dyDescent="0.25">
      <c r="A27" s="1887"/>
      <c r="B27" s="1908"/>
      <c r="C27" s="1888"/>
      <c r="D27" s="1885"/>
      <c r="E27" s="1905">
        <f t="shared" si="2"/>
        <v>0</v>
      </c>
      <c r="F27" s="1905" t="str">
        <f t="shared" si="3"/>
        <v>0</v>
      </c>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8"/>
      <c r="C30" s="1888"/>
      <c r="D30" s="1885"/>
      <c r="E30" s="1905">
        <f t="shared" si="2"/>
        <v>0</v>
      </c>
      <c r="F30" s="1905" t="str">
        <f t="shared" si="3"/>
        <v>0</v>
      </c>
    </row>
    <row r="31" spans="1:7" x14ac:dyDescent="0.25">
      <c r="A31" s="1887"/>
      <c r="B31" s="1908"/>
      <c r="C31" s="1888"/>
      <c r="D31" s="1885"/>
      <c r="E31" s="1905">
        <f t="shared" si="2"/>
        <v>0</v>
      </c>
      <c r="F31" s="1905" t="str">
        <f t="shared" si="3"/>
        <v>0</v>
      </c>
    </row>
    <row r="32" spans="1:7" x14ac:dyDescent="0.25">
      <c r="A32" s="1887"/>
      <c r="B32" s="1908"/>
      <c r="C32" s="1888"/>
      <c r="D32" s="1885"/>
      <c r="E32" s="1905">
        <f t="shared" si="2"/>
        <v>0</v>
      </c>
      <c r="F32" s="1905" t="str">
        <f t="shared" si="3"/>
        <v>0</v>
      </c>
    </row>
    <row r="33" spans="1:6" x14ac:dyDescent="0.25">
      <c r="A33" s="1887"/>
      <c r="B33" s="1908"/>
      <c r="C33" s="1888"/>
      <c r="D33" s="1885"/>
      <c r="E33" s="1905">
        <f t="shared" si="2"/>
        <v>0</v>
      </c>
      <c r="F33" s="1905" t="str">
        <f t="shared" si="3"/>
        <v>0</v>
      </c>
    </row>
    <row r="34" spans="1:6" x14ac:dyDescent="0.25">
      <c r="A34" s="1887"/>
      <c r="B34" s="1908"/>
      <c r="C34" s="1888"/>
      <c r="D34" s="1885"/>
      <c r="E34" s="1905">
        <f t="shared" si="2"/>
        <v>0</v>
      </c>
      <c r="F34" s="1905" t="str">
        <f t="shared" si="3"/>
        <v>0</v>
      </c>
    </row>
    <row r="35" spans="1:6" x14ac:dyDescent="0.25">
      <c r="A35" s="1887"/>
      <c r="B35" s="1908"/>
      <c r="C35" s="1888"/>
      <c r="D35" s="1885"/>
      <c r="E35" s="1905">
        <f t="shared" si="2"/>
        <v>0</v>
      </c>
      <c r="F35" s="1905" t="str">
        <f t="shared" si="3"/>
        <v>0</v>
      </c>
    </row>
    <row r="36" spans="1:6" x14ac:dyDescent="0.25">
      <c r="A36" s="1887"/>
      <c r="B36" s="1908"/>
      <c r="C36" s="1888"/>
      <c r="D36" s="1885"/>
      <c r="E36" s="1905">
        <f t="shared" si="2"/>
        <v>0</v>
      </c>
      <c r="F36" s="1905" t="str">
        <f t="shared" si="3"/>
        <v>0</v>
      </c>
    </row>
    <row r="37" spans="1:6" x14ac:dyDescent="0.25">
      <c r="A37" s="1887"/>
      <c r="B37" s="1908"/>
      <c r="C37" s="1888"/>
      <c r="D37" s="1885"/>
      <c r="E37" s="1905">
        <f t="shared" si="2"/>
        <v>0</v>
      </c>
      <c r="F37" s="1905" t="str">
        <f t="shared" si="3"/>
        <v>0</v>
      </c>
    </row>
    <row r="38" spans="1:6" x14ac:dyDescent="0.25">
      <c r="A38" s="1889" t="s">
        <v>155</v>
      </c>
      <c r="B38" s="1909"/>
      <c r="C38" s="1890"/>
      <c r="D38" s="1891">
        <f>SUM(D18:D37)</f>
        <v>0</v>
      </c>
      <c r="E38" s="1892">
        <f>SUM(E18:E37)</f>
        <v>0</v>
      </c>
      <c r="F38" s="1893">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&amp;L&amp;8Page 22&amp;R&amp;8Page 22</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Normal="100" workbookViewId="0">
      <selection activeCell="I1" sqref="I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7" t="s">
        <v>1660</v>
      </c>
      <c r="B5" s="2388"/>
      <c r="C5" s="2388"/>
      <c r="D5" s="2388"/>
      <c r="E5" s="2388"/>
      <c r="F5" s="2388"/>
      <c r="G5" s="238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332186</v>
      </c>
      <c r="F19" s="1802"/>
      <c r="G19" s="1804">
        <f>'Expenditures 15-22'!K33-SUM('Expenditures 15-22'!G33,'Expenditures 15-22'!I33)+'Expenditures 15-22'!D229</f>
        <v>332186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0</v>
      </c>
      <c r="F23" s="1805"/>
      <c r="G23" s="1807">
        <f>'Expenditures 15-22'!K53-SUM('Expenditures 15-22'!G53,'Expenditures 15-22'!I53)+'Expenditures 15-22'!D257+'Expenditures 15-22'!K330-SUM('Expenditures 15-22'!G330,'Expenditures 15-22'!I330)</f>
        <v>0</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29'!F38</f>
        <v>0</v>
      </c>
      <c r="F40" s="1805"/>
      <c r="G40" s="1809">
        <f>-'Contracts Paid in CY 29'!F38</f>
        <v>0</v>
      </c>
    </row>
    <row r="41" spans="1:7" ht="12" customHeight="1" x14ac:dyDescent="0.2">
      <c r="A41" s="828" t="s">
        <v>155</v>
      </c>
      <c r="B41" s="829"/>
      <c r="C41" s="830"/>
      <c r="D41" s="1809">
        <f>SUM(D19:D39)</f>
        <v>0</v>
      </c>
      <c r="E41" s="1809">
        <f>SUM(E19:E40)</f>
        <v>332186</v>
      </c>
      <c r="F41" s="1809">
        <f>SUM(F19:F39)</f>
        <v>0</v>
      </c>
      <c r="G41" s="1809">
        <f>SUM(G19:G40)</f>
        <v>332186</v>
      </c>
    </row>
    <row r="42" spans="1:7" x14ac:dyDescent="0.2">
      <c r="A42" s="817"/>
      <c r="B42" s="157"/>
      <c r="C42" s="831"/>
      <c r="D42" s="2390" t="s">
        <v>519</v>
      </c>
      <c r="E42" s="2391"/>
      <c r="F42" s="832" t="s">
        <v>520</v>
      </c>
      <c r="G42" s="833"/>
    </row>
    <row r="43" spans="1:7" ht="12" customHeight="1" x14ac:dyDescent="0.2">
      <c r="A43" s="817"/>
      <c r="B43" s="157"/>
      <c r="C43" s="831"/>
      <c r="D43" s="1458" t="s">
        <v>470</v>
      </c>
      <c r="E43" s="1810">
        <f>D41</f>
        <v>0</v>
      </c>
      <c r="F43" s="1458" t="s">
        <v>470</v>
      </c>
      <c r="G43" s="1810">
        <f>F41</f>
        <v>0</v>
      </c>
    </row>
    <row r="44" spans="1:7" ht="12" customHeight="1" x14ac:dyDescent="0.2">
      <c r="A44" s="817"/>
      <c r="B44" s="157"/>
      <c r="C44" s="831"/>
      <c r="D44" s="1458" t="s">
        <v>471</v>
      </c>
      <c r="E44" s="1810">
        <f>E41</f>
        <v>332186</v>
      </c>
      <c r="F44" s="1458" t="s">
        <v>471</v>
      </c>
      <c r="G44" s="1810">
        <f>G41</f>
        <v>332186</v>
      </c>
    </row>
    <row r="45" spans="1:7" ht="12" customHeight="1" x14ac:dyDescent="0.2">
      <c r="A45" s="817"/>
      <c r="B45" s="157"/>
      <c r="C45" s="157"/>
      <c r="D45" s="1459" t="s">
        <v>999</v>
      </c>
      <c r="E45" s="1811">
        <f>(E43/E44)</f>
        <v>0</v>
      </c>
      <c r="F45" s="1459" t="s">
        <v>999</v>
      </c>
      <c r="G45" s="1811">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Normal="100" workbookViewId="0">
      <selection activeCell="I1" sqref="I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8" t="s">
        <v>1363</v>
      </c>
      <c r="B1" s="2398"/>
      <c r="C1" s="2398"/>
      <c r="D1" s="2398"/>
      <c r="E1" s="2398"/>
      <c r="F1" s="2398"/>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399" t="s">
        <v>1529</v>
      </c>
      <c r="B5" s="2400"/>
      <c r="C5" s="2401"/>
      <c r="D5" s="2401"/>
      <c r="E5" s="2401"/>
      <c r="F5" s="2401"/>
      <c r="G5" s="1507"/>
      <c r="L5" s="1507"/>
      <c r="M5" s="1855"/>
      <c r="N5" s="1855"/>
      <c r="O5" s="1855"/>
    </row>
    <row r="6" spans="1:15" ht="12" customHeight="1" x14ac:dyDescent="0.25">
      <c r="A6" s="1480"/>
      <c r="B6" s="1481"/>
      <c r="C6" s="2402" t="str">
        <f>COVER!A17</f>
        <v xml:space="preserve"> Mt Vernon Area Voc Center</v>
      </c>
      <c r="D6" s="2402"/>
      <c r="E6" s="2402"/>
      <c r="F6" s="1482"/>
      <c r="G6" s="1507"/>
      <c r="L6" s="1507"/>
      <c r="M6" s="1855"/>
      <c r="N6" s="1855"/>
      <c r="O6" s="1855"/>
    </row>
    <row r="7" spans="1:15" ht="11.25" customHeight="1" thickBot="1" x14ac:dyDescent="0.3">
      <c r="A7" s="1480"/>
      <c r="B7" s="1481"/>
      <c r="C7" s="2403">
        <f>COVER!A13</f>
        <v>13000000041</v>
      </c>
      <c r="D7" s="2403"/>
      <c r="E7" s="2403"/>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2050</v>
      </c>
      <c r="D25" s="1495" t="s">
        <v>2083</v>
      </c>
      <c r="E25" s="1498"/>
      <c r="F25" s="1497" t="s">
        <v>2084</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04"/>
      <c r="D35" s="2404"/>
      <c r="E35" s="2404"/>
      <c r="F35" s="2405"/>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409"/>
      <c r="B38" s="2410"/>
      <c r="C38" s="2410"/>
      <c r="D38" s="2410"/>
      <c r="E38" s="2410"/>
      <c r="F38" s="2411"/>
    </row>
    <row r="39" spans="1:15" ht="4.5" hidden="1" customHeight="1" x14ac:dyDescent="0.2">
      <c r="A39" s="1502"/>
      <c r="B39" s="1502"/>
      <c r="C39" s="1502"/>
      <c r="D39" s="1502"/>
      <c r="E39" s="1502"/>
      <c r="F39" s="1502"/>
    </row>
    <row r="40" spans="1:15" s="1499" customFormat="1" ht="12" customHeight="1" x14ac:dyDescent="0.25">
      <c r="A40" s="1503" t="s">
        <v>1375</v>
      </c>
      <c r="B40" s="1504"/>
      <c r="C40" s="2412"/>
      <c r="D40" s="2412"/>
      <c r="E40" s="2412"/>
      <c r="F40" s="2413"/>
      <c r="H40" s="1508"/>
      <c r="I40" s="1508"/>
      <c r="J40" s="1508"/>
      <c r="K40" s="1508"/>
    </row>
    <row r="41" spans="1:15" s="1499" customFormat="1" ht="12" customHeight="1" x14ac:dyDescent="0.25">
      <c r="A41" s="2414"/>
      <c r="B41" s="2415"/>
      <c r="C41" s="2415"/>
      <c r="D41" s="2415"/>
      <c r="E41" s="2415"/>
      <c r="F41" s="2416"/>
      <c r="H41" s="1508"/>
      <c r="I41" s="1508"/>
      <c r="J41" s="1508"/>
      <c r="K41" s="1508"/>
    </row>
    <row r="42" spans="1:15" s="1499" customFormat="1" ht="12" customHeight="1" x14ac:dyDescent="0.25">
      <c r="A42" s="2414"/>
      <c r="B42" s="2415"/>
      <c r="C42" s="2415"/>
      <c r="D42" s="2415"/>
      <c r="E42" s="2415"/>
      <c r="F42" s="2416"/>
      <c r="H42" s="1508"/>
      <c r="I42" s="1508"/>
      <c r="J42" s="1508"/>
      <c r="K42" s="1508"/>
    </row>
    <row r="43" spans="1:15" s="1499" customFormat="1" ht="15" x14ac:dyDescent="0.25">
      <c r="A43" s="2406"/>
      <c r="B43" s="2407"/>
      <c r="C43" s="2407"/>
      <c r="D43" s="2407"/>
      <c r="E43" s="2407"/>
      <c r="F43" s="2408"/>
      <c r="H43" s="1508"/>
      <c r="I43" s="1508"/>
      <c r="J43" s="1508"/>
      <c r="K43" s="1508"/>
    </row>
    <row r="44" spans="1:15" s="1499" customFormat="1" ht="12" hidden="1" customHeight="1" x14ac:dyDescent="0.25">
      <c r="A44" s="2406"/>
      <c r="B44" s="2407"/>
      <c r="C44" s="2407"/>
      <c r="D44" s="2407"/>
      <c r="E44" s="2407"/>
      <c r="F44" s="240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Header xml:space="preserve">&amp;L&amp;8Page 23&amp;R&amp;8Page 23&amp;10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I1" sqref="I1"/>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18" t="str">
        <f>COVER!A17</f>
        <v xml:space="preserve"> Mt Vernon Area Voc Center</v>
      </c>
      <c r="K6" s="2418"/>
      <c r="L6" s="2419"/>
      <c r="M6" s="838"/>
      <c r="N6" s="1997"/>
    </row>
    <row r="7" spans="1:14" x14ac:dyDescent="0.2">
      <c r="A7" s="2420" t="s">
        <v>864</v>
      </c>
      <c r="B7" s="2421"/>
      <c r="C7" s="2421"/>
      <c r="D7" s="2421"/>
      <c r="E7" s="2422"/>
      <c r="F7" s="839"/>
      <c r="G7" s="838"/>
      <c r="H7" s="838"/>
      <c r="I7" s="1923" t="s">
        <v>369</v>
      </c>
      <c r="J7" s="2423">
        <f>COVER!A13</f>
        <v>13000000041</v>
      </c>
      <c r="K7" s="2423"/>
      <c r="L7" s="2423"/>
      <c r="M7" s="838"/>
      <c r="N7" s="1997"/>
    </row>
    <row r="8" spans="1:14" x14ac:dyDescent="0.2">
      <c r="A8" s="1999"/>
      <c r="B8" s="1924"/>
      <c r="C8" s="1924"/>
      <c r="D8" s="1924"/>
      <c r="E8" s="1925"/>
      <c r="F8" s="1926"/>
      <c r="G8" s="1910"/>
      <c r="H8" s="1910"/>
      <c r="I8" s="1910"/>
      <c r="J8" s="1910"/>
      <c r="K8" s="1910"/>
      <c r="L8" s="1910"/>
      <c r="M8" s="838"/>
      <c r="N8" s="1997"/>
    </row>
    <row r="9" spans="1:14" x14ac:dyDescent="0.2">
      <c r="A9" s="2000"/>
      <c r="B9" s="840"/>
      <c r="C9" s="840"/>
      <c r="D9" s="841"/>
      <c r="E9" s="1927" t="s">
        <v>2017</v>
      </c>
      <c r="F9" s="1857"/>
      <c r="G9" s="1857"/>
      <c r="H9" s="1857"/>
      <c r="I9" s="1928" t="s">
        <v>2018</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4" t="s">
        <v>478</v>
      </c>
      <c r="B11" s="2425"/>
      <c r="C11" s="2426"/>
      <c r="D11" s="1936" t="s">
        <v>866</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813</v>
      </c>
      <c r="C12" s="842"/>
      <c r="D12" s="1940">
        <v>2320</v>
      </c>
      <c r="E12" s="1943">
        <f>'Expenditures 15-22'!K50</f>
        <v>0</v>
      </c>
      <c r="F12" s="1941"/>
      <c r="G12" s="1967">
        <f>G68</f>
        <v>0</v>
      </c>
      <c r="H12" s="1943">
        <f t="shared" ref="H12:H18" si="0">SUM(E12:G12)</f>
        <v>0</v>
      </c>
      <c r="I12" s="1942"/>
      <c r="J12" s="1941"/>
      <c r="K12" s="1942"/>
      <c r="L12" s="1943">
        <f t="shared" ref="L12:L18" si="1">SUM(I12:K12)</f>
        <v>0</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27" t="s">
        <v>7</v>
      </c>
      <c r="C18" s="2428"/>
      <c r="D18" s="242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0</v>
      </c>
      <c r="F19" s="1949">
        <f t="shared" si="2"/>
        <v>0</v>
      </c>
      <c r="G19" s="1949">
        <f t="shared" ref="G19" si="3">SUM(G12:G17)-G18</f>
        <v>0</v>
      </c>
      <c r="H19" s="1949">
        <f t="shared" si="2"/>
        <v>0</v>
      </c>
      <c r="I19" s="1949">
        <f t="shared" si="2"/>
        <v>0</v>
      </c>
      <c r="J19" s="1949">
        <f t="shared" si="2"/>
        <v>0</v>
      </c>
      <c r="K19" s="1949">
        <f t="shared" si="2"/>
        <v>0</v>
      </c>
      <c r="L19" s="1949">
        <f t="shared" si="2"/>
        <v>0</v>
      </c>
      <c r="M19" s="838"/>
      <c r="N19" s="1997"/>
    </row>
    <row r="20" spans="1:14" ht="13.5" thickTop="1" x14ac:dyDescent="0.2">
      <c r="A20" s="2002">
        <v>9</v>
      </c>
      <c r="B20" s="2430" t="s">
        <v>2020</v>
      </c>
      <c r="C20" s="2430"/>
      <c r="D20" s="2431"/>
      <c r="E20" s="1950"/>
      <c r="F20" s="1950"/>
      <c r="G20" s="1950"/>
      <c r="H20" s="1950"/>
      <c r="I20" s="1950"/>
      <c r="J20" s="1950"/>
      <c r="K20" s="1950"/>
      <c r="L20" s="1951" t="str">
        <f>IF(AND(H19&gt;0,L19&gt;0),(((L19-H19)/H19)),"Enter Budget Data")</f>
        <v>Enter Budget Data</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2"/>
      <c r="D27" s="2432"/>
      <c r="E27" s="843"/>
      <c r="F27" s="2433"/>
      <c r="G27" s="2433"/>
      <c r="H27" s="2433"/>
      <c r="I27" s="838"/>
      <c r="J27" s="838"/>
      <c r="K27" s="838"/>
      <c r="L27" s="838"/>
      <c r="M27" s="838"/>
      <c r="N27" s="1997"/>
    </row>
    <row r="28" spans="1:14" x14ac:dyDescent="0.2">
      <c r="A28" s="1996"/>
      <c r="B28" s="2006"/>
      <c r="C28" s="1956" t="s">
        <v>1026</v>
      </c>
      <c r="D28" s="844"/>
      <c r="E28" s="1957"/>
      <c r="F28" s="2434" t="s">
        <v>1492</v>
      </c>
      <c r="G28" s="2434"/>
      <c r="H28" s="2434"/>
      <c r="I28" s="838"/>
      <c r="J28" s="838"/>
      <c r="K28" s="838"/>
      <c r="L28" s="838"/>
      <c r="M28" s="838"/>
      <c r="N28" s="1997"/>
    </row>
    <row r="29" spans="1:14" x14ac:dyDescent="0.2">
      <c r="A29" s="1996"/>
      <c r="B29" s="2006"/>
      <c r="C29" s="2435"/>
      <c r="D29" s="2435"/>
      <c r="E29" s="845"/>
      <c r="F29" s="2435"/>
      <c r="G29" s="2435"/>
      <c r="H29" s="2435"/>
      <c r="I29" s="838"/>
      <c r="J29" s="838"/>
      <c r="K29" s="838"/>
      <c r="L29" s="838"/>
      <c r="M29" s="838"/>
      <c r="N29" s="1997"/>
    </row>
    <row r="30" spans="1:14" x14ac:dyDescent="0.2">
      <c r="A30" s="1996"/>
      <c r="B30" s="2006"/>
      <c r="C30" s="1959" t="s">
        <v>1544</v>
      </c>
      <c r="D30" s="838"/>
      <c r="E30" s="1958"/>
      <c r="F30" s="2417" t="s">
        <v>1493</v>
      </c>
      <c r="G30" s="2417"/>
      <c r="H30" s="2417"/>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38" t="s">
        <v>2023</v>
      </c>
      <c r="D34" s="2439"/>
      <c r="E34" s="2439"/>
      <c r="F34" s="2439"/>
      <c r="G34" s="2439"/>
      <c r="H34" s="2439"/>
      <c r="I34" s="2439"/>
      <c r="J34" s="2439"/>
      <c r="K34" s="2015"/>
      <c r="L34" s="838"/>
      <c r="M34" s="838"/>
      <c r="N34" s="1997"/>
    </row>
    <row r="35" spans="1:14" x14ac:dyDescent="0.2">
      <c r="A35" s="1996"/>
      <c r="B35" s="838"/>
      <c r="C35" s="2439"/>
      <c r="D35" s="2439"/>
      <c r="E35" s="2439"/>
      <c r="F35" s="2439"/>
      <c r="G35" s="2439"/>
      <c r="H35" s="2439"/>
      <c r="I35" s="2439"/>
      <c r="J35" s="2439"/>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38" t="s">
        <v>2024</v>
      </c>
      <c r="D37" s="2439"/>
      <c r="E37" s="2439"/>
      <c r="F37" s="2439"/>
      <c r="G37" s="2439"/>
      <c r="H37" s="2439"/>
      <c r="I37" s="2439"/>
      <c r="J37" s="2439"/>
      <c r="K37" s="2015"/>
      <c r="L37" s="2017"/>
      <c r="M37" s="838"/>
      <c r="N37" s="1997"/>
    </row>
    <row r="38" spans="1:14" x14ac:dyDescent="0.2">
      <c r="A38" s="1996"/>
      <c r="B38" s="838"/>
      <c r="C38" s="2439"/>
      <c r="D38" s="2439"/>
      <c r="E38" s="2439"/>
      <c r="F38" s="2439"/>
      <c r="G38" s="2439"/>
      <c r="H38" s="2439"/>
      <c r="I38" s="2439"/>
      <c r="J38" s="2439"/>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0" t="s">
        <v>2025</v>
      </c>
      <c r="D40" s="2441"/>
      <c r="E40" s="2441"/>
      <c r="F40" s="2441"/>
      <c r="G40" s="2441"/>
      <c r="H40" s="2441"/>
      <c r="I40" s="2441"/>
      <c r="J40" s="2441"/>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2" t="s">
        <v>2026</v>
      </c>
      <c r="B43" s="2443"/>
      <c r="C43" s="2443"/>
      <c r="D43" s="2443"/>
      <c r="E43" s="2443"/>
      <c r="F43" s="2443"/>
      <c r="G43" s="2443"/>
      <c r="H43" s="2443"/>
      <c r="I43" s="2443"/>
      <c r="J43" s="2443"/>
      <c r="K43" s="2443"/>
      <c r="L43" s="2443"/>
      <c r="M43" s="2443"/>
      <c r="N43" s="2444"/>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45" t="s">
        <v>2028</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18" t="str">
        <f>J6</f>
        <v xml:space="preserve"> Mt Vernon Area Voc Center</v>
      </c>
      <c r="M52" s="2418"/>
      <c r="N52" s="2448"/>
    </row>
    <row r="53" spans="1:14" x14ac:dyDescent="0.2">
      <c r="A53" s="1981"/>
      <c r="B53" s="1982"/>
      <c r="C53" s="1982"/>
      <c r="D53" s="1982"/>
      <c r="E53" s="1982"/>
      <c r="F53" s="1982"/>
      <c r="G53" s="1982"/>
      <c r="H53" s="1982"/>
      <c r="I53" s="1982"/>
      <c r="J53" s="1982"/>
      <c r="K53" s="1923" t="s">
        <v>369</v>
      </c>
      <c r="L53" s="2423">
        <f>J7</f>
        <v>13000000041</v>
      </c>
      <c r="M53" s="2423"/>
      <c r="N53" s="244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0"/>
      <c r="B55" s="2451"/>
      <c r="C55" s="2451"/>
      <c r="D55" s="1969"/>
      <c r="E55" s="1969"/>
      <c r="F55" s="1969"/>
      <c r="G55" s="2452" t="s">
        <v>2029</v>
      </c>
      <c r="H55" s="2452"/>
      <c r="I55" s="2452"/>
      <c r="J55" s="2452"/>
      <c r="K55" s="2452"/>
      <c r="L55" s="2452"/>
      <c r="M55" s="2452"/>
      <c r="N55" s="2453"/>
    </row>
    <row r="56" spans="1:14" ht="63.75" x14ac:dyDescent="0.2">
      <c r="A56" s="2454" t="s">
        <v>2030</v>
      </c>
      <c r="B56" s="2455"/>
      <c r="C56" s="2456"/>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57" t="s">
        <v>296</v>
      </c>
      <c r="B57" s="2458"/>
      <c r="C57" s="245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6" t="s">
        <v>2040</v>
      </c>
      <c r="B58" s="2437"/>
      <c r="C58" s="2437"/>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59" t="s">
        <v>297</v>
      </c>
      <c r="B59" s="2460"/>
      <c r="C59" s="2460"/>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59" t="s">
        <v>236</v>
      </c>
      <c r="B60" s="2460"/>
      <c r="C60" s="2460"/>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59" t="s">
        <v>697</v>
      </c>
      <c r="B61" s="2460"/>
      <c r="C61" s="2460"/>
      <c r="D61" s="1966">
        <v>2365</v>
      </c>
      <c r="E61" s="1976">
        <f>'Expenditures 15-22'!K323</f>
        <v>0</v>
      </c>
      <c r="F61" s="1971"/>
      <c r="G61" s="2030"/>
      <c r="H61" s="2031"/>
      <c r="I61" s="2031"/>
      <c r="J61" s="2031"/>
      <c r="K61" s="2031"/>
      <c r="L61" s="2031"/>
      <c r="M61" s="2031"/>
      <c r="N61" s="1974">
        <f t="shared" si="4"/>
        <v>0</v>
      </c>
    </row>
    <row r="62" spans="1:14" ht="24" customHeight="1" x14ac:dyDescent="0.2">
      <c r="A62" s="2459" t="s">
        <v>237</v>
      </c>
      <c r="B62" s="2460"/>
      <c r="C62" s="2460"/>
      <c r="D62" s="1966">
        <v>2366</v>
      </c>
      <c r="E62" s="1976">
        <f>'Expenditures 15-22'!K324</f>
        <v>0</v>
      </c>
      <c r="F62" s="1971"/>
      <c r="G62" s="2030"/>
      <c r="H62" s="2031"/>
      <c r="I62" s="2031"/>
      <c r="J62" s="2031"/>
      <c r="K62" s="2031"/>
      <c r="L62" s="2031"/>
      <c r="M62" s="2031"/>
      <c r="N62" s="1974">
        <f t="shared" si="4"/>
        <v>0</v>
      </c>
    </row>
    <row r="63" spans="1:14" ht="24" customHeight="1" x14ac:dyDescent="0.2">
      <c r="A63" s="2436" t="s">
        <v>1022</v>
      </c>
      <c r="B63" s="2437"/>
      <c r="C63" s="2437"/>
      <c r="D63" s="1966">
        <v>2367</v>
      </c>
      <c r="E63" s="1976">
        <f>'Expenditures 15-22'!K325</f>
        <v>0</v>
      </c>
      <c r="F63" s="1971"/>
      <c r="G63" s="2030"/>
      <c r="H63" s="2031"/>
      <c r="I63" s="2031"/>
      <c r="J63" s="2031"/>
      <c r="K63" s="2031"/>
      <c r="L63" s="2031"/>
      <c r="M63" s="2031"/>
      <c r="N63" s="1974">
        <f t="shared" si="4"/>
        <v>0</v>
      </c>
    </row>
    <row r="64" spans="1:14" ht="24" customHeight="1" x14ac:dyDescent="0.2">
      <c r="A64" s="2459" t="s">
        <v>1023</v>
      </c>
      <c r="B64" s="2460"/>
      <c r="C64" s="2460"/>
      <c r="D64" s="1966">
        <v>2368</v>
      </c>
      <c r="E64" s="1976">
        <f>'Expenditures 15-22'!K326</f>
        <v>0</v>
      </c>
      <c r="F64" s="1971"/>
      <c r="G64" s="2030"/>
      <c r="H64" s="2031"/>
      <c r="I64" s="2031"/>
      <c r="J64" s="2031"/>
      <c r="K64" s="2031"/>
      <c r="L64" s="2031"/>
      <c r="M64" s="2031"/>
      <c r="N64" s="1974">
        <f t="shared" si="4"/>
        <v>0</v>
      </c>
    </row>
    <row r="65" spans="1:14" ht="24" customHeight="1" x14ac:dyDescent="0.2">
      <c r="A65" s="2459" t="s">
        <v>965</v>
      </c>
      <c r="B65" s="2460"/>
      <c r="C65" s="2460"/>
      <c r="D65" s="1966">
        <v>2369</v>
      </c>
      <c r="E65" s="1976">
        <f>'Expenditures 15-22'!K327</f>
        <v>0</v>
      </c>
      <c r="F65" s="1971"/>
      <c r="G65" s="2030"/>
      <c r="H65" s="2031"/>
      <c r="I65" s="2031"/>
      <c r="J65" s="2031"/>
      <c r="K65" s="2031"/>
      <c r="L65" s="2031"/>
      <c r="M65" s="2031"/>
      <c r="N65" s="1974">
        <f t="shared" si="4"/>
        <v>0</v>
      </c>
    </row>
    <row r="66" spans="1:14" ht="24" customHeight="1" x14ac:dyDescent="0.2">
      <c r="A66" s="2459" t="s">
        <v>469</v>
      </c>
      <c r="B66" s="2460"/>
      <c r="C66" s="2460"/>
      <c r="D66" s="1966">
        <v>2371</v>
      </c>
      <c r="E66" s="1976">
        <f>'Expenditures 15-22'!K328</f>
        <v>0</v>
      </c>
      <c r="F66" s="1971"/>
      <c r="G66" s="2030"/>
      <c r="H66" s="2031"/>
      <c r="I66" s="2031"/>
      <c r="J66" s="2031"/>
      <c r="K66" s="2031"/>
      <c r="L66" s="2031"/>
      <c r="M66" s="2031"/>
      <c r="N66" s="1974">
        <f t="shared" si="4"/>
        <v>0</v>
      </c>
    </row>
    <row r="67" spans="1:14" ht="24.75" customHeight="1" x14ac:dyDescent="0.2">
      <c r="A67" s="2461" t="s">
        <v>2041</v>
      </c>
      <c r="B67" s="2462"/>
      <c r="C67" s="2462"/>
      <c r="D67" s="1968">
        <v>2372</v>
      </c>
      <c r="E67" s="1977">
        <f>'Expenditures 15-22'!K329</f>
        <v>0</v>
      </c>
      <c r="F67" s="1971"/>
      <c r="G67" s="2032"/>
      <c r="H67" s="2033"/>
      <c r="I67" s="2033"/>
      <c r="J67" s="2033"/>
      <c r="K67" s="2033"/>
      <c r="L67" s="2033"/>
      <c r="M67" s="2033"/>
      <c r="N67" s="1974">
        <f t="shared" si="4"/>
        <v>0</v>
      </c>
    </row>
    <row r="68" spans="1:14" x14ac:dyDescent="0.2">
      <c r="A68" s="2463" t="s">
        <v>1151</v>
      </c>
      <c r="B68" s="2464"/>
      <c r="C68" s="2464"/>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1" sqref="I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Mt Vernon Area Voc Center</v>
      </c>
    </row>
    <row r="65" spans="2:2" x14ac:dyDescent="0.2">
      <c r="B65" s="849">
        <f>COVER!A13</f>
        <v>13000000041</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Normal="100" workbookViewId="0">
      <selection activeCell="I1" sqref="I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&amp;L&amp;8Page 24&amp;R&amp;8Page 24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5" sqref="F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5" t="s">
        <v>1665</v>
      </c>
      <c r="B18" s="246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114300</xdr:colOff>
                <xdr:row>1</xdr:row>
                <xdr:rowOff>47625</xdr:rowOff>
              </from>
              <to>
                <xdr:col>1</xdr:col>
                <xdr:colOff>904875</xdr:colOff>
                <xdr:row>5</xdr:row>
                <xdr:rowOff>85725</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1371600</xdr:colOff>
                <xdr:row>1</xdr:row>
                <xdr:rowOff>19050</xdr:rowOff>
              </from>
              <to>
                <xdr:col>1</xdr:col>
                <xdr:colOff>2286000</xdr:colOff>
                <xdr:row>5</xdr:row>
                <xdr:rowOff>57150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2638425</xdr:colOff>
                <xdr:row>1</xdr:row>
                <xdr:rowOff>28575</xdr:rowOff>
              </from>
              <to>
                <xdr:col>1</xdr:col>
                <xdr:colOff>3552825</xdr:colOff>
                <xdr:row>5</xdr:row>
                <xdr:rowOff>66675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1352550</xdr:colOff>
                <xdr:row>7</xdr:row>
                <xdr:rowOff>0</xdr:rowOff>
              </from>
              <to>
                <xdr:col>1</xdr:col>
                <xdr:colOff>2266950</xdr:colOff>
                <xdr:row>11</xdr:row>
                <xdr:rowOff>38100</xdr:rowOff>
              </to>
            </anchor>
          </objectPr>
        </oleObject>
      </mc:Choice>
      <mc:Fallback>
        <oleObject progId="Acrobat Document" dvAspect="DVASPECT_ICON" shapeId="5632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Normal="100" workbookViewId="0">
      <selection activeCell="I1" sqref="I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1669</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53"/>
      <c r="H2" s="853"/>
    </row>
    <row r="3" spans="1:8" ht="57" customHeight="1" x14ac:dyDescent="0.2">
      <c r="A3" s="2479" t="s">
        <v>1971</v>
      </c>
      <c r="B3" s="2480"/>
      <c r="C3" s="2480"/>
      <c r="D3" s="2480"/>
      <c r="E3" s="2480"/>
      <c r="F3" s="2481"/>
      <c r="G3" s="853"/>
      <c r="H3" s="853"/>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53"/>
      <c r="H4" s="853"/>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53"/>
      <c r="H5" s="853"/>
    </row>
    <row r="6" spans="1:8" s="854" customFormat="1" ht="41.25" customHeight="1" x14ac:dyDescent="0.2">
      <c r="A6" s="2482" t="s">
        <v>1670</v>
      </c>
      <c r="B6" s="2483"/>
      <c r="C6" s="2483"/>
      <c r="D6" s="2483"/>
      <c r="E6" s="2483"/>
      <c r="F6" s="248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350731</v>
      </c>
      <c r="C8" s="1813">
        <f>'Acct Summary 7-8'!D8</f>
        <v>0</v>
      </c>
      <c r="D8" s="1813">
        <f>'Acct Summary 7-8'!F8</f>
        <v>0</v>
      </c>
      <c r="E8" s="1813">
        <f>'Acct Summary 7-8'!I8</f>
        <v>0</v>
      </c>
      <c r="F8" s="1813">
        <f>SUM(B8:E8)</f>
        <v>350731</v>
      </c>
    </row>
    <row r="9" spans="1:8" s="858" customFormat="1" ht="14.25" customHeight="1" thickBot="1" x14ac:dyDescent="0.25">
      <c r="A9" s="857" t="s">
        <v>1353</v>
      </c>
      <c r="B9" s="1814">
        <f>'Acct Summary 7-8'!C17</f>
        <v>351108</v>
      </c>
      <c r="C9" s="1814">
        <f>'Acct Summary 7-8'!D17</f>
        <v>0</v>
      </c>
      <c r="D9" s="1814">
        <f>'Acct Summary 7-8'!F17</f>
        <v>0</v>
      </c>
      <c r="E9" s="1813"/>
      <c r="F9" s="1813">
        <f>SUM(B9:E9)</f>
        <v>351108</v>
      </c>
    </row>
    <row r="10" spans="1:8" s="858" customFormat="1" ht="14.25" thickTop="1" thickBot="1" x14ac:dyDescent="0.25">
      <c r="A10" s="859" t="s">
        <v>1354</v>
      </c>
      <c r="B10" s="1815">
        <f>(B8-B9)</f>
        <v>-377</v>
      </c>
      <c r="C10" s="1815">
        <f>(C8-C9)</f>
        <v>0</v>
      </c>
      <c r="D10" s="1815">
        <f>(D8-D9)</f>
        <v>0</v>
      </c>
      <c r="E10" s="1814">
        <f>(E8-E9)</f>
        <v>0</v>
      </c>
      <c r="F10" s="1816">
        <f>SUM(F8-F9)</f>
        <v>-377</v>
      </c>
    </row>
    <row r="11" spans="1:8" s="858" customFormat="1" ht="14.25" thickTop="1" thickBot="1" x14ac:dyDescent="0.25">
      <c r="A11" s="860" t="s">
        <v>1902</v>
      </c>
      <c r="B11" s="1817">
        <f>'Acct Summary 7-8'!C81</f>
        <v>74822</v>
      </c>
      <c r="C11" s="1817">
        <f>'Acct Summary 7-8'!D81</f>
        <v>0</v>
      </c>
      <c r="D11" s="1817">
        <f>'Acct Summary 7-8'!F81</f>
        <v>0</v>
      </c>
      <c r="E11" s="1817">
        <f>'Acct Summary 7-8'!I81</f>
        <v>0</v>
      </c>
      <c r="F11" s="1818">
        <f>SUM(B11:E11)</f>
        <v>74822</v>
      </c>
    </row>
    <row r="12" spans="1:8" ht="16.5" customHeight="1" thickTop="1" x14ac:dyDescent="0.2">
      <c r="A12" s="861"/>
      <c r="B12" s="862"/>
      <c r="C12" s="2470" t="str">
        <f>IF(AND(F10&lt;0,F11&gt;=0,ABS(F10*3)&gt;ABS(F11)),A16,IF(AND(F10&lt;0,F11&gt;0,ABS(F10*3)&lt;=ABS(F11)),A17,IF(AND(F10&lt;0,F11&lt;0),A16,IF(F11=0,A19,A18))))</f>
        <v>Unbalanced -  however, a deficit reduction plan is not required at this time.</v>
      </c>
      <c r="D12" s="2471"/>
      <c r="E12" s="2471"/>
      <c r="F12" s="2472"/>
    </row>
    <row r="13" spans="1:8" ht="19.5" customHeight="1" x14ac:dyDescent="0.2">
      <c r="A13" s="863"/>
      <c r="B13" s="864"/>
      <c r="C13" s="2470"/>
      <c r="D13" s="2471"/>
      <c r="E13" s="2471"/>
      <c r="F13" s="2472"/>
      <c r="H13" s="853"/>
    </row>
    <row r="14" spans="1:8" ht="19.5" customHeight="1" x14ac:dyDescent="0.2">
      <c r="A14" s="863"/>
      <c r="B14" s="864"/>
      <c r="C14" s="2470"/>
      <c r="D14" s="2471"/>
      <c r="E14" s="2471"/>
      <c r="F14" s="2472"/>
      <c r="H14" s="853"/>
    </row>
    <row r="15" spans="1:8" ht="17.25" customHeight="1" x14ac:dyDescent="0.2">
      <c r="A15" s="863"/>
      <c r="B15" s="864"/>
      <c r="C15" s="2473"/>
      <c r="D15" s="2474"/>
      <c r="E15" s="2474"/>
      <c r="F15" s="2475"/>
      <c r="H15" s="853"/>
    </row>
    <row r="16" spans="1:8" s="288" customFormat="1" ht="51.75" hidden="1" customHeight="1" x14ac:dyDescent="0.2">
      <c r="A16" s="2469" t="s">
        <v>1666</v>
      </c>
      <c r="B16" s="2469"/>
      <c r="C16" s="2469"/>
      <c r="D16" s="2469"/>
      <c r="E16" s="246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&amp;L&amp;8Page 25&amp;R&amp;8Page 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4" colorId="8" zoomScale="110" zoomScaleNormal="110" workbookViewId="0">
      <selection activeCell="I1" sqref="I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1" t="s">
        <v>660</v>
      </c>
      <c r="B3" s="2492"/>
      <c r="C3" s="2492"/>
      <c r="D3" s="2493"/>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2" t="s">
        <v>1487</v>
      </c>
      <c r="D7" s="2503"/>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6" t="s">
        <v>311</v>
      </c>
      <c r="D21" s="2507"/>
    </row>
    <row r="22" spans="1:10" ht="12.75" x14ac:dyDescent="0.2">
      <c r="A22" s="918"/>
      <c r="B22" s="919">
        <v>2</v>
      </c>
      <c r="C22" s="2504" t="s">
        <v>1507</v>
      </c>
      <c r="D22" s="250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8" t="s">
        <v>533</v>
      </c>
      <c r="D43" s="250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0" t="s">
        <v>779</v>
      </c>
      <c r="D56" s="250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0" t="s">
        <v>1674</v>
      </c>
      <c r="D70" s="250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ht="22.5" x14ac:dyDescent="0.2">
      <c r="A82" s="877"/>
      <c r="B82" s="899">
        <v>15</v>
      </c>
      <c r="C82" s="909" t="s">
        <v>1883</v>
      </c>
      <c r="D82" s="1900" t="str">
        <f>IF('Contracts Paid in CY 29'!$D$38&gt;0,"OK","PLEASE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899" t="s">
        <v>1977</v>
      </c>
    </row>
    <row r="2" spans="1:7" ht="15.75" x14ac:dyDescent="0.25">
      <c r="A2" t="s">
        <v>260</v>
      </c>
      <c r="B2" s="135">
        <f>COVER!A13</f>
        <v>13000000041</v>
      </c>
      <c r="E2" s="1542">
        <v>2020</v>
      </c>
      <c r="F2" s="1542">
        <v>1</v>
      </c>
      <c r="G2" s="1898">
        <v>101000300</v>
      </c>
    </row>
    <row r="3" spans="1:7" ht="15" x14ac:dyDescent="0.25">
      <c r="A3" t="s">
        <v>950</v>
      </c>
      <c r="B3" s="135" t="str">
        <f>COVER!A15</f>
        <v>Jefferson</v>
      </c>
      <c r="E3" s="1830" t="s">
        <v>1970</v>
      </c>
      <c r="F3" s="1830" t="s">
        <v>1969</v>
      </c>
      <c r="G3" s="1898">
        <v>101000400</v>
      </c>
    </row>
    <row r="4" spans="1:7" ht="15" x14ac:dyDescent="0.25">
      <c r="A4" t="s">
        <v>1000</v>
      </c>
      <c r="B4" s="135" t="str">
        <f>COVER!A17</f>
        <v xml:space="preserve"> Mt Vernon Area Voc Center</v>
      </c>
      <c r="E4" s="1828">
        <v>44119</v>
      </c>
      <c r="F4" s="1829">
        <v>44151</v>
      </c>
      <c r="G4" s="1898">
        <v>101000600</v>
      </c>
    </row>
    <row r="5" spans="1:7" ht="15" x14ac:dyDescent="0.25">
      <c r="A5" t="s">
        <v>699</v>
      </c>
      <c r="B5" s="135" t="str">
        <f>COVER!A38</f>
        <v>Kara Andrews</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Ron Daniels</v>
      </c>
      <c r="G8" s="1898">
        <v>102100600</v>
      </c>
    </row>
    <row r="9" spans="1:7" ht="15" x14ac:dyDescent="0.25">
      <c r="A9" s="3" t="s">
        <v>951</v>
      </c>
      <c r="B9" s="153" t="str">
        <f>AUDITCHECK!D23</f>
        <v>CASH</v>
      </c>
      <c r="G9" s="1898">
        <v>102100800</v>
      </c>
    </row>
    <row r="10" spans="1:7" ht="15" x14ac:dyDescent="0.25">
      <c r="A10" t="s">
        <v>970</v>
      </c>
      <c r="B10" s="135">
        <f>COVER!B5</f>
        <v>0</v>
      </c>
      <c r="G10" s="1898">
        <v>202100300</v>
      </c>
    </row>
    <row r="11" spans="1:7" ht="15" x14ac:dyDescent="0.25">
      <c r="A11" t="s">
        <v>971</v>
      </c>
      <c r="B11" s="135" t="str">
        <f>COVER!B6</f>
        <v>X</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Yes</v>
      </c>
      <c r="G14" s="1898">
        <v>402100300</v>
      </c>
    </row>
    <row r="15" spans="1:7" ht="15" x14ac:dyDescent="0.25">
      <c r="A15" t="s">
        <v>573</v>
      </c>
      <c r="B15" s="135" t="str">
        <f>COVER!T23</f>
        <v>060-004252</v>
      </c>
      <c r="G15" s="1898">
        <v>402100400</v>
      </c>
    </row>
    <row r="16" spans="1:7" ht="15" x14ac:dyDescent="0.25">
      <c r="A16" t="s">
        <v>419</v>
      </c>
      <c r="B16" s="135" t="str">
        <f>COVER!T13</f>
        <v>Emling &amp; Hoffman, PC</v>
      </c>
      <c r="G16" s="1898">
        <v>402100600</v>
      </c>
    </row>
    <row r="17" spans="1:7" ht="15" x14ac:dyDescent="0.25">
      <c r="A17" t="s">
        <v>878</v>
      </c>
      <c r="B17" s="135" t="str">
        <f>COVER!T15</f>
        <v>Donald L Hoffman</v>
      </c>
      <c r="G17" s="1898">
        <v>402100800</v>
      </c>
    </row>
    <row r="18" spans="1:7" ht="15" x14ac:dyDescent="0.25">
      <c r="A18" t="s">
        <v>1140</v>
      </c>
      <c r="B18" s="135" t="str">
        <f>COVER!T17</f>
        <v>1191 West Saint Louis Street</v>
      </c>
      <c r="G18" s="1898">
        <v>102200300</v>
      </c>
    </row>
    <row r="19" spans="1:7" ht="15" x14ac:dyDescent="0.25">
      <c r="A19" t="s">
        <v>880</v>
      </c>
      <c r="B19" s="135" t="str">
        <f>COVER!T25</f>
        <v>donhoffman@emlingcpa.com</v>
      </c>
      <c r="G19" s="1898">
        <v>102200400</v>
      </c>
    </row>
    <row r="20" spans="1:7" ht="15" x14ac:dyDescent="0.25">
      <c r="A20" t="s">
        <v>881</v>
      </c>
      <c r="B20" s="135" t="str">
        <f>COVER!T19</f>
        <v>Nashville</v>
      </c>
      <c r="G20" s="1898">
        <v>102200600</v>
      </c>
    </row>
    <row r="21" spans="1:7" ht="15" x14ac:dyDescent="0.25">
      <c r="A21" t="s">
        <v>476</v>
      </c>
      <c r="B21" s="135" t="str">
        <f>COVER!X19</f>
        <v>IL</v>
      </c>
      <c r="G21" s="1898">
        <v>102200800</v>
      </c>
    </row>
    <row r="22" spans="1:7" ht="15" x14ac:dyDescent="0.25">
      <c r="A22" t="s">
        <v>882</v>
      </c>
      <c r="B22" s="135">
        <f>COVER!Z19</f>
        <v>62263</v>
      </c>
      <c r="G22" s="1898">
        <v>102300300</v>
      </c>
    </row>
    <row r="23" spans="1:7" ht="15" x14ac:dyDescent="0.25">
      <c r="A23" t="s">
        <v>1142</v>
      </c>
      <c r="B23" s="135" t="str">
        <f>COVER!T21</f>
        <v>618-327-4375</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t="str">
        <f>COVER!U34</f>
        <v>X</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130512</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55690</v>
      </c>
      <c r="C91" s="2" t="s">
        <v>569</v>
      </c>
      <c r="D91" s="2" t="str">
        <f t="shared" si="0"/>
        <v>Error?</v>
      </c>
      <c r="G91" s="1898">
        <v>102640400</v>
      </c>
    </row>
    <row r="92" spans="1:7" ht="15" x14ac:dyDescent="0.25">
      <c r="A92" s="5">
        <v>31</v>
      </c>
      <c r="B92" s="1832">
        <f>'Assets-Liab 5-6'!C39</f>
        <v>74822</v>
      </c>
      <c r="D92" s="2" t="str">
        <f t="shared" si="0"/>
        <v>Error?</v>
      </c>
      <c r="G92" s="1898">
        <v>102640600</v>
      </c>
    </row>
    <row r="93" spans="1:7" ht="15" x14ac:dyDescent="0.25">
      <c r="A93" s="5">
        <v>32</v>
      </c>
      <c r="B93" s="1832">
        <f>'Assets-Liab 5-6'!C41</f>
        <v>130512</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0</v>
      </c>
      <c r="D123" s="2" t="str">
        <f t="shared" si="0"/>
        <v>Error?</v>
      </c>
      <c r="G123" s="1898">
        <v>203000400</v>
      </c>
    </row>
    <row r="124" spans="1:7" ht="15" x14ac:dyDescent="0.25">
      <c r="A124" s="5">
        <v>63</v>
      </c>
      <c r="B124" s="1832">
        <f>'Assets-Liab 5-6'!D41</f>
        <v>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272192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272192</v>
      </c>
      <c r="C279" s="2" t="s">
        <v>569</v>
      </c>
      <c r="D279" s="2" t="str">
        <f t="shared" si="3"/>
        <v>Error?</v>
      </c>
    </row>
    <row r="280" spans="1:4" x14ac:dyDescent="0.2">
      <c r="A280" s="5">
        <v>219</v>
      </c>
      <c r="B280" s="1832">
        <f>'Assets-Liab 5-6'!M40</f>
        <v>272192</v>
      </c>
      <c r="D280" s="2" t="str">
        <f t="shared" si="3"/>
        <v>Error?</v>
      </c>
    </row>
    <row r="281" spans="1:4" x14ac:dyDescent="0.2">
      <c r="A281" s="5">
        <v>220</v>
      </c>
      <c r="B281" s="1832">
        <f>'Assets-Liab 5-6'!M41</f>
        <v>272192</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271849</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271849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0</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271849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47701</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47701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47701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4532</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4532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0</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4532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8104</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8104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8104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18922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18922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18922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351108</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351108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0</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351108</v>
      </c>
      <c r="C1152" s="2" t="s">
        <v>569</v>
      </c>
      <c r="D1152" s="2" t="str">
        <f t="shared" si="17"/>
        <v>Error?</v>
      </c>
    </row>
    <row r="1153" spans="1:4" x14ac:dyDescent="0.2">
      <c r="A1153" s="5">
        <v>1092</v>
      </c>
      <c r="B1153" s="1832">
        <f>'Expenditures 15-22'!K115</f>
        <v>-377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75199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74822</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217874</v>
      </c>
      <c r="D2011" s="2" t="str">
        <f t="shared" si="30"/>
        <v>Error?</v>
      </c>
    </row>
    <row r="2012" spans="1:4" x14ac:dyDescent="0.2">
      <c r="A2012" s="5">
        <v>1951</v>
      </c>
      <c r="B2012" s="1832">
        <f>'Cap Outlay Deprec 26'!C13</f>
        <v>35396</v>
      </c>
      <c r="D2012" s="2" t="str">
        <f t="shared" si="30"/>
        <v>Error?</v>
      </c>
    </row>
    <row r="2013" spans="1:4" x14ac:dyDescent="0.2">
      <c r="A2013" s="5">
        <v>1952</v>
      </c>
      <c r="B2013" s="1832">
        <f>'Cap Outlay Deprec 26'!C16</f>
        <v>253270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18922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18922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236796</v>
      </c>
      <c r="C2029" s="2" t="s">
        <v>569</v>
      </c>
      <c r="D2029" s="2" t="str">
        <f t="shared" si="30"/>
        <v>Error?</v>
      </c>
    </row>
    <row r="2030" spans="1:4" x14ac:dyDescent="0.2">
      <c r="A2030" s="5">
        <v>1969</v>
      </c>
      <c r="B2030" s="1832">
        <f>'Cap Outlay Deprec 26'!F13</f>
        <v>35396</v>
      </c>
      <c r="C2030" s="2" t="s">
        <v>569</v>
      </c>
      <c r="D2030" s="2" t="str">
        <f t="shared" si="30"/>
        <v>Error?</v>
      </c>
    </row>
    <row r="2031" spans="1:4" x14ac:dyDescent="0.2">
      <c r="A2031" s="5">
        <v>1970</v>
      </c>
      <c r="B2031" s="1832">
        <f>'Cap Outlay Deprec 26'!F16</f>
        <v>272192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118594</v>
      </c>
      <c r="D2035" s="2" t="str">
        <f t="shared" si="30"/>
        <v>Error?</v>
      </c>
    </row>
    <row r="2036" spans="1:4" x14ac:dyDescent="0.2">
      <c r="A2036" s="5">
        <v>1975</v>
      </c>
      <c r="B2036" s="1832">
        <f>'Cap Outlay Deprec 26'!H13</f>
        <v>35396</v>
      </c>
      <c r="D2036" s="2" t="str">
        <f t="shared" si="30"/>
        <v>Error?</v>
      </c>
    </row>
    <row r="2037" spans="1:4" x14ac:dyDescent="0.2">
      <c r="A2037" s="5">
        <v>1976</v>
      </c>
      <c r="B2037" s="1832">
        <f>'Cap Outlay Deprec 26'!H16</f>
        <v>153990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16787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16787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135381</v>
      </c>
      <c r="C2053" s="2" t="s">
        <v>569</v>
      </c>
      <c r="D2053" s="2" t="str">
        <f t="shared" si="31"/>
        <v>Error?</v>
      </c>
    </row>
    <row r="2054" spans="1:4" x14ac:dyDescent="0.2">
      <c r="A2054" s="5">
        <v>1993</v>
      </c>
      <c r="B2054" s="1832">
        <f>'Cap Outlay Deprec 26'!K13</f>
        <v>35396</v>
      </c>
      <c r="C2054" s="2" t="s">
        <v>569</v>
      </c>
      <c r="D2054" s="2" t="str">
        <f t="shared" si="31"/>
        <v>Error?</v>
      </c>
    </row>
    <row r="2055" spans="1:4" x14ac:dyDescent="0.2">
      <c r="A2055" s="5">
        <v>1994</v>
      </c>
      <c r="B2055" s="1832">
        <f>'Cap Outlay Deprec 26'!K16</f>
        <v>170777</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101415</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101415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213460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117271</v>
      </c>
      <c r="C2553" s="2" t="s">
        <v>569</v>
      </c>
      <c r="D2553" s="2" t="str">
        <f t="shared" si="38"/>
        <v>Error?</v>
      </c>
    </row>
    <row r="2554" spans="1:4" x14ac:dyDescent="0.2">
      <c r="A2554" s="5">
        <v>2493</v>
      </c>
      <c r="B2554" s="1832">
        <f>'Acct Summary 7-8'!C7</f>
        <v>20000</v>
      </c>
      <c r="C2554" s="2" t="s">
        <v>569</v>
      </c>
      <c r="D2554" s="2" t="str">
        <f t="shared" si="38"/>
        <v>Error?</v>
      </c>
    </row>
    <row r="2555" spans="1:4" x14ac:dyDescent="0.2">
      <c r="A2555" s="5">
        <v>2494</v>
      </c>
      <c r="B2555" s="1832">
        <f>'Acct Summary 7-8'!C8</f>
        <v>350731</v>
      </c>
      <c r="C2555" s="2" t="s">
        <v>569</v>
      </c>
      <c r="D2555" s="2" t="str">
        <f t="shared" si="38"/>
        <v>Error?</v>
      </c>
    </row>
    <row r="2556" spans="1:4" x14ac:dyDescent="0.2">
      <c r="A2556" s="5">
        <v>2495</v>
      </c>
      <c r="B2556" s="1832">
        <f>'Acct Summary 7-8'!C12</f>
        <v>351108</v>
      </c>
      <c r="C2556" s="2" t="s">
        <v>569</v>
      </c>
      <c r="D2556" s="2" t="str">
        <f t="shared" si="38"/>
        <v>Error?</v>
      </c>
    </row>
    <row r="2557" spans="1:4" x14ac:dyDescent="0.2">
      <c r="A2557" s="5">
        <v>2496</v>
      </c>
      <c r="B2557" s="1832">
        <f>'Acct Summary 7-8'!C13</f>
        <v>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351108</v>
      </c>
      <c r="C2561" s="2" t="s">
        <v>569</v>
      </c>
      <c r="D2561" s="2" t="str">
        <f t="shared" si="39"/>
        <v>Error?</v>
      </c>
    </row>
    <row r="2562" spans="1:4" x14ac:dyDescent="0.2">
      <c r="A2562" s="5">
        <v>2501</v>
      </c>
      <c r="B2562" s="1832">
        <f>'Acct Summary 7-8'!C20</f>
        <v>-377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-377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130512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350731</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351108</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74822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20000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212494</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212494</v>
      </c>
      <c r="C5087" s="2" t="s">
        <v>569</v>
      </c>
      <c r="D5087" s="2" t="str">
        <f t="shared" si="78"/>
        <v>Error?</v>
      </c>
    </row>
    <row r="5088" spans="1:4" x14ac:dyDescent="0.2">
      <c r="A5088" s="5">
        <v>5027</v>
      </c>
      <c r="B5088" s="1832">
        <f>'Revenues 9-14'!C65</f>
        <v>966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966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0</v>
      </c>
      <c r="C5120" s="2" t="s">
        <v>569</v>
      </c>
      <c r="D5120" s="2" t="str">
        <f t="shared" si="79"/>
        <v>Error?</v>
      </c>
    </row>
    <row r="5121" spans="1:4" x14ac:dyDescent="0.2">
      <c r="A5121" s="5">
        <v>5060</v>
      </c>
      <c r="B5121" s="1832">
        <f>'Revenues 9-14'!C109</f>
        <v>213460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117271</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117271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117271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117271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20000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20000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20000</v>
      </c>
      <c r="C5326" s="2" t="s">
        <v>569</v>
      </c>
      <c r="D5326" s="2" t="str">
        <f t="shared" si="82"/>
        <v>Error?</v>
      </c>
    </row>
    <row r="5327" spans="1:5" x14ac:dyDescent="0.2">
      <c r="A5327" s="5">
        <v>5266</v>
      </c>
      <c r="B5327" s="1832">
        <f>'Revenues 9-14'!C268</f>
        <v>350731</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55690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-377</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-5.0386250033412636E-3</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16787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0</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0</v>
      </c>
      <c r="D7817" s="2" t="str">
        <f t="shared" si="128"/>
        <v>Error?</v>
      </c>
      <c r="E7817" s="4" t="s">
        <v>1965</v>
      </c>
    </row>
    <row r="7818" spans="1:5" x14ac:dyDescent="0.2">
      <c r="A7818">
        <v>7757</v>
      </c>
      <c r="B7818" s="1832">
        <f>'PCTC-OEPP 27-28'!F172</f>
        <v>0</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351108</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18922</v>
      </c>
      <c r="D7834" s="2" t="str">
        <f t="shared" si="129"/>
        <v>Error?</v>
      </c>
      <c r="E7834" s="4" t="s">
        <v>1997</v>
      </c>
    </row>
    <row r="7835" spans="1:5" x14ac:dyDescent="0.2">
      <c r="A7835">
        <v>7774</v>
      </c>
      <c r="B7835" s="1832">
        <f>'PCTC-OEPP 27-28'!F78</f>
        <v>332186</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t="str">
        <f>'PCTC-OEPP 27-28'!F80</f>
        <v xml:space="preserve"> Complete Line 79</v>
      </c>
      <c r="D7837" s="2" t="e">
        <f t="shared" si="129"/>
        <v>#VALUE!</v>
      </c>
      <c r="E7837" s="4" t="s">
        <v>1997</v>
      </c>
    </row>
    <row r="7838" spans="1:5" x14ac:dyDescent="0.2">
      <c r="A7838">
        <v>7777</v>
      </c>
      <c r="B7838" s="1832">
        <f>'PCTC-OEPP 27-28'!F96</f>
        <v>0</v>
      </c>
      <c r="D7838" s="2" t="str">
        <f t="shared" si="129"/>
        <v>Error?</v>
      </c>
      <c r="E7838" s="4" t="s">
        <v>1997</v>
      </c>
    </row>
    <row r="7839" spans="1:5" x14ac:dyDescent="0.2">
      <c r="A7839">
        <v>7778</v>
      </c>
      <c r="B7839" s="1832">
        <f>'PCTC-OEPP 27-28'!F102</f>
        <v>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0</v>
      </c>
      <c r="D7842" s="2" t="str">
        <f t="shared" si="129"/>
        <v>Error?</v>
      </c>
      <c r="E7842" s="4" t="s">
        <v>1997</v>
      </c>
    </row>
    <row r="7843" spans="1:5" x14ac:dyDescent="0.2">
      <c r="A7843">
        <v>7782</v>
      </c>
      <c r="B7843" s="1832">
        <f>'PCTC-OEPP 27-28'!F107</f>
        <v>117271</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0</v>
      </c>
      <c r="D7846" s="2" t="str">
        <f t="shared" si="129"/>
        <v>Error?</v>
      </c>
      <c r="E7846" s="4" t="s">
        <v>1997</v>
      </c>
    </row>
    <row r="7847" spans="1:5" x14ac:dyDescent="0.2">
      <c r="A7847">
        <v>7786</v>
      </c>
      <c r="B7847" s="1832">
        <f>'PCTC-OEPP 27-28'!F112</f>
        <v>0</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0</v>
      </c>
      <c r="D7858" s="2" t="str">
        <f t="shared" si="129"/>
        <v>Error?</v>
      </c>
      <c r="E7858" s="4" t="s">
        <v>1997</v>
      </c>
    </row>
    <row r="7859" spans="1:5" x14ac:dyDescent="0.2">
      <c r="A7859">
        <v>7798</v>
      </c>
      <c r="B7859" s="1832">
        <f>'PCTC-OEPP 27-28'!F127</f>
        <v>0</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20000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0</v>
      </c>
      <c r="D7874" s="2" t="str">
        <f t="shared" si="129"/>
        <v>Error?</v>
      </c>
      <c r="E7874" s="4" t="s">
        <v>1997</v>
      </c>
    </row>
    <row r="7875" spans="1:5" x14ac:dyDescent="0.2">
      <c r="A7875">
        <v>7814</v>
      </c>
      <c r="B7875" s="1832">
        <f>'PCTC-OEPP 27-28'!F170</f>
        <v>0</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137271</v>
      </c>
      <c r="D7877" s="2" t="str">
        <f t="shared" si="129"/>
        <v>Error?</v>
      </c>
      <c r="E7877" s="4" t="s">
        <v>1997</v>
      </c>
    </row>
    <row r="7878" spans="1:5" x14ac:dyDescent="0.2">
      <c r="A7878">
        <v>7817</v>
      </c>
      <c r="B7878" s="1832">
        <f>'PCTC-OEPP 27-28'!F176</f>
        <v>194915</v>
      </c>
      <c r="D7878" s="2" t="str">
        <f t="shared" si="129"/>
        <v>Error?</v>
      </c>
      <c r="E7878" s="4" t="s">
        <v>1997</v>
      </c>
    </row>
    <row r="7879" spans="1:5" x14ac:dyDescent="0.2">
      <c r="A7879">
        <v>7818</v>
      </c>
      <c r="B7879" s="1832">
        <f>'PCTC-OEPP 27-28'!F178</f>
        <v>211702</v>
      </c>
      <c r="D7879" s="2" t="str">
        <f t="shared" si="129"/>
        <v>Error?</v>
      </c>
      <c r="E7879" s="4" t="s">
        <v>1997</v>
      </c>
    </row>
    <row r="7880" spans="1:5" x14ac:dyDescent="0.2">
      <c r="A7880">
        <v>7819</v>
      </c>
      <c r="B7880" s="1832" t="e">
        <f>'PCTC-OEPP 27-28'!F180</f>
        <v>#DIV/0!</v>
      </c>
      <c r="D7880" s="2" t="e">
        <f t="shared" si="129"/>
        <v>#DIV/0!</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I1" sqref="I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0" t="s">
        <v>1181</v>
      </c>
      <c r="B2" s="2510"/>
      <c r="C2" s="2510"/>
      <c r="D2" s="2510"/>
      <c r="E2" s="2510"/>
      <c r="F2" s="2510"/>
      <c r="G2" s="2510"/>
      <c r="H2" s="2510"/>
      <c r="I2" s="2510"/>
      <c r="J2" s="2510"/>
      <c r="K2" s="2510"/>
      <c r="L2" s="2510"/>
    </row>
    <row r="3" spans="1:29" ht="13.5" customHeight="1" x14ac:dyDescent="0.2">
      <c r="A3" s="2542" t="s">
        <v>1180</v>
      </c>
      <c r="B3" s="2542"/>
      <c r="C3" s="2542"/>
      <c r="D3" s="2542"/>
      <c r="E3" s="2542"/>
      <c r="F3" s="2542"/>
      <c r="G3" s="2542"/>
      <c r="H3" s="2542"/>
      <c r="I3" s="2542"/>
      <c r="J3" s="2542"/>
      <c r="K3" s="2542"/>
      <c r="L3" s="2542"/>
    </row>
    <row r="4" spans="1:29" ht="13.5" customHeight="1" x14ac:dyDescent="0.2">
      <c r="A4" s="2531" t="str">
        <f>"Year Ending June 30, "&amp;'AFR20'!E2</f>
        <v>Year Ending June 30, 2020</v>
      </c>
      <c r="B4" s="2532"/>
      <c r="C4" s="2532"/>
      <c r="D4" s="2532"/>
      <c r="E4" s="2532"/>
      <c r="F4" s="2532"/>
      <c r="G4" s="2532"/>
      <c r="H4" s="2532"/>
      <c r="I4" s="2532"/>
      <c r="J4" s="2532"/>
      <c r="K4" s="2532"/>
      <c r="L4" s="253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3" t="str">
        <f>COVER!A17</f>
        <v xml:space="preserve"> Mt Vernon Area Voc Center</v>
      </c>
      <c r="B7" s="2534"/>
      <c r="C7" s="2534"/>
      <c r="D7" s="2535"/>
      <c r="E7" s="2536">
        <f>COVER!A13</f>
        <v>13000000041</v>
      </c>
      <c r="F7" s="2537"/>
      <c r="G7" s="2543" t="str">
        <f>COVER!T23</f>
        <v>060-004252</v>
      </c>
      <c r="H7" s="2544"/>
      <c r="I7" s="2544"/>
      <c r="J7" s="2544"/>
      <c r="K7" s="2544"/>
      <c r="L7" s="254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6"/>
      <c r="B9" s="2547"/>
      <c r="C9" s="2547"/>
      <c r="D9" s="2547"/>
      <c r="E9" s="2547"/>
      <c r="F9" s="2548"/>
      <c r="G9" s="2516" t="str">
        <f>COVER!T13</f>
        <v>Emling &amp; Hoffman, PC</v>
      </c>
      <c r="H9" s="2549"/>
      <c r="I9" s="2549"/>
      <c r="J9" s="2549"/>
      <c r="K9" s="2549"/>
      <c r="L9" s="2550"/>
    </row>
    <row r="10" spans="1:29" ht="13.5" customHeight="1" x14ac:dyDescent="0.2">
      <c r="A10" s="2522" t="str">
        <f>COVER!A38</f>
        <v>Kara Andrews</v>
      </c>
      <c r="B10" s="2523"/>
      <c r="C10" s="2523"/>
      <c r="D10" s="2523"/>
      <c r="E10" s="2523"/>
      <c r="F10" s="2524"/>
      <c r="G10" s="2516" t="str">
        <f>COVER!T17</f>
        <v>1191 West Saint Louis Street</v>
      </c>
      <c r="H10" s="2517"/>
      <c r="I10" s="2517"/>
      <c r="J10" s="2517"/>
      <c r="K10" s="2517"/>
      <c r="L10" s="2518"/>
    </row>
    <row r="11" spans="1:29" ht="13.5" customHeight="1" x14ac:dyDescent="0.2">
      <c r="A11" s="963" t="s">
        <v>1502</v>
      </c>
      <c r="B11" s="964"/>
      <c r="C11" s="965"/>
      <c r="D11" s="970"/>
      <c r="E11" s="965"/>
      <c r="F11" s="969"/>
      <c r="G11" s="2516" t="str">
        <f>COVER!T19</f>
        <v>Nashville</v>
      </c>
      <c r="H11" s="2517"/>
      <c r="I11" s="2517"/>
      <c r="J11" s="2517"/>
      <c r="K11" s="2517"/>
      <c r="L11" s="2518"/>
    </row>
    <row r="12" spans="1:29" ht="13.5" customHeight="1" x14ac:dyDescent="0.2">
      <c r="A12" s="2525" t="s">
        <v>1501</v>
      </c>
      <c r="B12" s="2526"/>
      <c r="C12" s="2526"/>
      <c r="D12" s="2526"/>
      <c r="E12" s="2526"/>
      <c r="F12" s="2527"/>
      <c r="G12" s="2519"/>
      <c r="H12" s="2520"/>
      <c r="I12" s="2520"/>
      <c r="J12" s="2520"/>
      <c r="K12" s="2520"/>
      <c r="L12" s="2521"/>
    </row>
    <row r="13" spans="1:29" ht="13.5" customHeight="1" x14ac:dyDescent="0.2">
      <c r="A13" s="2516"/>
      <c r="B13" s="2517"/>
      <c r="C13" s="2517"/>
      <c r="D13" s="2517"/>
      <c r="E13" s="2517"/>
      <c r="F13" s="2518"/>
      <c r="G13" s="2511" t="s">
        <v>1503</v>
      </c>
      <c r="H13" s="2512"/>
      <c r="I13" s="2528" t="str">
        <f>COVER!T25</f>
        <v>donhoffman@emlingcpa.com</v>
      </c>
      <c r="J13" s="2529"/>
      <c r="K13" s="2529"/>
      <c r="L13" s="2530"/>
    </row>
    <row r="14" spans="1:29" ht="13.5" customHeight="1" x14ac:dyDescent="0.2">
      <c r="A14" s="2516" t="str">
        <f>COVER!A19</f>
        <v>11101 N. Wells Bypass</v>
      </c>
      <c r="B14" s="2517"/>
      <c r="C14" s="2517"/>
      <c r="D14" s="2517"/>
      <c r="E14" s="2517"/>
      <c r="F14" s="2518"/>
      <c r="G14" s="974" t="s">
        <v>1175</v>
      </c>
      <c r="H14" s="972"/>
      <c r="I14" s="972"/>
      <c r="J14" s="972"/>
      <c r="K14" s="972"/>
      <c r="L14" s="973"/>
    </row>
    <row r="15" spans="1:29" ht="13.5" customHeight="1" x14ac:dyDescent="0.2">
      <c r="A15" s="2516" t="str">
        <f>COVER!A21</f>
        <v>Mt. Vernon</v>
      </c>
      <c r="B15" s="2517"/>
      <c r="C15" s="2517"/>
      <c r="D15" s="2517"/>
      <c r="E15" s="2517"/>
      <c r="F15" s="2518"/>
      <c r="G15" s="2513" t="str">
        <f>COVER!T15</f>
        <v>Donald L Hoffman</v>
      </c>
      <c r="H15" s="2514"/>
      <c r="I15" s="2514"/>
      <c r="J15" s="2514"/>
      <c r="K15" s="2514"/>
      <c r="L15" s="2515"/>
    </row>
    <row r="16" spans="1:29" ht="12.2" customHeight="1" x14ac:dyDescent="0.2">
      <c r="A16" s="2539">
        <f>COVER!A25</f>
        <v>62864</v>
      </c>
      <c r="B16" s="2540"/>
      <c r="C16" s="2540"/>
      <c r="D16" s="2540"/>
      <c r="E16" s="2540"/>
      <c r="F16" s="2541"/>
      <c r="G16" s="2551"/>
      <c r="H16" s="2552"/>
      <c r="I16" s="2552"/>
      <c r="J16" s="2552"/>
      <c r="K16" s="2552"/>
      <c r="L16" s="2553"/>
    </row>
    <row r="17" spans="1:13" ht="12.2" customHeight="1" x14ac:dyDescent="0.2">
      <c r="A17" s="2554"/>
      <c r="B17" s="2540"/>
      <c r="C17" s="2540"/>
      <c r="D17" s="2540"/>
      <c r="E17" s="2540"/>
      <c r="F17" s="2541"/>
      <c r="G17" s="974" t="s">
        <v>1174</v>
      </c>
      <c r="H17" s="972"/>
      <c r="I17" s="972"/>
      <c r="J17" s="972"/>
      <c r="K17" s="976" t="s">
        <v>1173</v>
      </c>
      <c r="L17" s="969"/>
      <c r="M17" s="962"/>
    </row>
    <row r="18" spans="1:13" ht="12.2" customHeight="1" x14ac:dyDescent="0.2">
      <c r="A18" s="2522"/>
      <c r="B18" s="2523"/>
      <c r="C18" s="2523"/>
      <c r="D18" s="2523"/>
      <c r="E18" s="2523"/>
      <c r="F18" s="2524"/>
      <c r="G18" s="2533" t="str">
        <f>COVER!T21</f>
        <v>618-327-4375</v>
      </c>
      <c r="H18" s="2534"/>
      <c r="I18" s="2534"/>
      <c r="J18" s="2534"/>
      <c r="K18" s="2533" t="str">
        <f>COVER!X21</f>
        <v>618-327-4376</v>
      </c>
      <c r="L18" s="253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2" zoomScale="125" zoomScaleNormal="125" workbookViewId="0">
      <selection activeCell="I1" sqref="I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5" t="str">
        <f>'Single Audit Cover'!A7</f>
        <v xml:space="preserve"> Mt Vernon Area Voc Center</v>
      </c>
      <c r="B1" s="2556"/>
      <c r="C1" s="2556"/>
      <c r="D1" s="2556"/>
    </row>
    <row r="2" spans="1:11" s="991" customFormat="1" ht="12.75" x14ac:dyDescent="0.2">
      <c r="A2" s="2557">
        <f>'Single Audit Cover'!E7</f>
        <v>13000000041</v>
      </c>
      <c r="B2" s="2558"/>
      <c r="C2" s="2558"/>
      <c r="D2" s="2558"/>
    </row>
    <row r="3" spans="1:11" s="991" customFormat="1" ht="12.75" x14ac:dyDescent="0.2">
      <c r="A3" s="2555" t="s">
        <v>1496</v>
      </c>
      <c r="B3" s="2556"/>
      <c r="C3" s="2556"/>
      <c r="D3" s="255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Normal="100" zoomScaleSheetLayoutView="100" workbookViewId="0">
      <selection activeCell="I1" sqref="I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0" t="str">
        <f>'Single Audit Cover'!A7</f>
        <v xml:space="preserve"> Mt Vernon Area Voc Center</v>
      </c>
      <c r="B1" s="2560"/>
      <c r="C1" s="2560"/>
      <c r="D1" s="2560"/>
      <c r="E1" s="2560"/>
    </row>
    <row r="2" spans="1:5" x14ac:dyDescent="0.2">
      <c r="A2" s="2561">
        <f>'Single Audit Cover'!E7</f>
        <v>13000000041</v>
      </c>
      <c r="B2" s="2561"/>
      <c r="C2" s="2561"/>
      <c r="D2" s="2561"/>
      <c r="E2" s="2561"/>
    </row>
    <row r="3" spans="1:5" ht="4.5" customHeight="1" x14ac:dyDescent="0.2"/>
    <row r="4" spans="1:5" x14ac:dyDescent="0.2">
      <c r="A4" s="2560" t="s">
        <v>1234</v>
      </c>
      <c r="B4" s="2560"/>
      <c r="C4" s="2560"/>
      <c r="D4" s="2560"/>
      <c r="E4" s="2560"/>
    </row>
    <row r="5" spans="1:5" x14ac:dyDescent="0.2">
      <c r="A5" s="2563" t="str">
        <f>'Single Audit Cover'!A4</f>
        <v>Year Ending June 30, 2020</v>
      </c>
      <c r="B5" s="2563"/>
      <c r="C5" s="2563"/>
      <c r="D5" s="2563"/>
      <c r="E5" s="2563"/>
    </row>
    <row r="6" spans="1:5" x14ac:dyDescent="0.2">
      <c r="A6" s="2560" t="s">
        <v>1233</v>
      </c>
      <c r="B6" s="2560"/>
      <c r="C6" s="2560"/>
      <c r="D6" s="2560"/>
      <c r="E6" s="2560"/>
    </row>
    <row r="8" spans="1:5" x14ac:dyDescent="0.2">
      <c r="A8" s="1036" t="s">
        <v>1232</v>
      </c>
    </row>
    <row r="10" spans="1:5" x14ac:dyDescent="0.2">
      <c r="A10" s="1037" t="s">
        <v>1231</v>
      </c>
      <c r="B10" s="1038" t="s">
        <v>1230</v>
      </c>
      <c r="C10" s="1038"/>
      <c r="D10" s="1039">
        <f>SUM('Acct Summary 7-8'!C7:K7)</f>
        <v>20000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0</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0</v>
      </c>
    </row>
    <row r="19" spans="1:4" ht="13.5" thickBot="1" x14ac:dyDescent="0.25">
      <c r="A19" s="1041" t="s">
        <v>1224</v>
      </c>
      <c r="D19" s="1042">
        <f>SUM(D10:D17)</f>
        <v>20000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2"/>
      <c r="B24" s="2562"/>
      <c r="D24" s="1044"/>
    </row>
    <row r="25" spans="1:4" x14ac:dyDescent="0.2">
      <c r="A25" s="2559"/>
      <c r="B25" s="2559"/>
      <c r="D25" s="1044"/>
    </row>
    <row r="26" spans="1:4" x14ac:dyDescent="0.2">
      <c r="A26" s="2559"/>
      <c r="B26" s="2559"/>
      <c r="D26" s="1044"/>
    </row>
    <row r="27" spans="1:4" x14ac:dyDescent="0.2">
      <c r="A27" s="2559"/>
      <c r="B27" s="2559"/>
      <c r="D27" s="1044"/>
    </row>
    <row r="28" spans="1:4" x14ac:dyDescent="0.2">
      <c r="A28" s="2559"/>
      <c r="B28" s="2559"/>
      <c r="D28" s="1044"/>
    </row>
    <row r="29" spans="1:4" x14ac:dyDescent="0.2">
      <c r="A29" s="2559"/>
      <c r="B29" s="2559"/>
      <c r="D29" s="1044"/>
    </row>
    <row r="30" spans="1:4" x14ac:dyDescent="0.2">
      <c r="A30" s="2559"/>
      <c r="B30" s="2559"/>
      <c r="D30" s="1044"/>
    </row>
    <row r="32" spans="1:4" x14ac:dyDescent="0.2">
      <c r="A32" s="1036" t="s">
        <v>1222</v>
      </c>
      <c r="D32" s="1039">
        <f>SUM(D19:D30)</f>
        <v>20000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9"/>
      <c r="B40" s="2559"/>
      <c r="D40" s="1044"/>
    </row>
    <row r="41" spans="1:4" x14ac:dyDescent="0.2">
      <c r="A41" s="2559"/>
      <c r="B41" s="2559"/>
      <c r="D41" s="1047"/>
    </row>
    <row r="42" spans="1:4" x14ac:dyDescent="0.2">
      <c r="A42" s="2559"/>
      <c r="B42" s="2559"/>
      <c r="D42" s="1047"/>
    </row>
    <row r="43" spans="1:4" x14ac:dyDescent="0.2">
      <c r="A43" s="2559"/>
      <c r="B43" s="2559"/>
      <c r="D43" s="1047"/>
    </row>
    <row r="44" spans="1:4" x14ac:dyDescent="0.2">
      <c r="A44" s="2559"/>
      <c r="B44" s="2559"/>
      <c r="D44" s="1047"/>
    </row>
    <row r="45" spans="1:4" x14ac:dyDescent="0.2">
      <c r="A45" s="2559"/>
      <c r="B45" s="2559"/>
      <c r="D45" s="1047"/>
    </row>
    <row r="47" spans="1:4" x14ac:dyDescent="0.2">
      <c r="B47" s="1048" t="s">
        <v>1216</v>
      </c>
      <c r="C47" s="1048"/>
      <c r="D47" s="1049">
        <f>SUM(D35:D45)</f>
        <v>0</v>
      </c>
    </row>
    <row r="49" spans="2:4" x14ac:dyDescent="0.2">
      <c r="B49" s="1048" t="s">
        <v>1215</v>
      </c>
      <c r="C49" s="1048"/>
      <c r="D49" s="1049">
        <f>D32-D47</f>
        <v>20000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 sqref="I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Mt Vernon Area Voc Center</v>
      </c>
      <c r="C1" s="2564"/>
      <c r="D1" s="2564"/>
      <c r="E1" s="2564"/>
      <c r="F1" s="2564"/>
      <c r="G1" s="2564"/>
      <c r="H1" s="2564"/>
      <c r="I1" s="2564"/>
      <c r="J1" s="2564"/>
      <c r="K1" s="2564"/>
      <c r="L1" s="2564"/>
      <c r="M1" s="2564"/>
    </row>
    <row r="2" spans="2:14" ht="15" x14ac:dyDescent="0.2">
      <c r="B2" s="2565">
        <f>'Single Audit Cover'!E7</f>
        <v>13000000041</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I1" sqref="I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Mt Vernon Area Voc Center</v>
      </c>
      <c r="B1" s="2577"/>
      <c r="C1" s="2577"/>
      <c r="D1" s="2577"/>
      <c r="E1" s="2577"/>
      <c r="F1" s="2577"/>
    </row>
    <row r="2" spans="1:7" ht="13.5" customHeight="1" x14ac:dyDescent="0.2">
      <c r="A2" s="2565">
        <f>'Single Audit Cover'!E7</f>
        <v>13000000041</v>
      </c>
      <c r="B2" s="2565"/>
      <c r="C2" s="2565"/>
      <c r="D2" s="2565"/>
      <c r="E2" s="2565"/>
      <c r="F2" s="2565"/>
      <c r="G2" s="1051"/>
    </row>
    <row r="3" spans="1:7" ht="15.75" customHeight="1" x14ac:dyDescent="0.2">
      <c r="A3" s="2578" t="s">
        <v>1260</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2" t="s">
        <v>1705</v>
      </c>
      <c r="C6" s="295"/>
      <c r="D6" s="295"/>
    </row>
    <row r="7" spans="1:7" ht="60.95" customHeight="1" x14ac:dyDescent="0.2">
      <c r="A7" s="2576" t="s">
        <v>1706</v>
      </c>
      <c r="B7" s="2576"/>
      <c r="C7" s="2576"/>
      <c r="D7" s="2576"/>
      <c r="E7" s="2576"/>
      <c r="F7" s="257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6" t="s">
        <v>1708</v>
      </c>
      <c r="B13" s="2576"/>
      <c r="C13" s="2576"/>
      <c r="D13" s="2576"/>
      <c r="E13" s="2576"/>
      <c r="F13" s="2576"/>
    </row>
    <row r="14" spans="1:7" ht="9.75" customHeight="1" x14ac:dyDescent="0.2">
      <c r="C14" s="1036"/>
      <c r="D14" s="1036"/>
    </row>
    <row r="15" spans="1:7" ht="13.5" customHeight="1" x14ac:dyDescent="0.2">
      <c r="C15" s="1476" t="s">
        <v>1259</v>
      </c>
      <c r="D15" s="2574" t="s">
        <v>1258</v>
      </c>
      <c r="E15" s="2574"/>
      <c r="F15" s="2574"/>
    </row>
    <row r="16" spans="1:7" ht="13.5" customHeight="1" x14ac:dyDescent="0.2">
      <c r="A16" s="1058"/>
      <c r="B16" s="1052" t="s">
        <v>1257</v>
      </c>
      <c r="C16" s="1476" t="s">
        <v>1256</v>
      </c>
      <c r="D16" s="2575" t="s">
        <v>1571</v>
      </c>
      <c r="E16" s="2575"/>
      <c r="F16" s="2575"/>
    </row>
    <row r="17" spans="1:6" ht="20.45" customHeight="1" x14ac:dyDescent="0.2">
      <c r="A17" s="1059"/>
      <c r="B17" s="1060"/>
      <c r="C17" s="1061"/>
      <c r="D17" s="2569"/>
      <c r="E17" s="2569"/>
      <c r="F17" s="2569"/>
    </row>
    <row r="18" spans="1:6" ht="20.65" customHeight="1" x14ac:dyDescent="0.2">
      <c r="A18" s="1059"/>
      <c r="B18" s="1060"/>
      <c r="C18" s="1061"/>
      <c r="D18" s="2569"/>
      <c r="E18" s="2569"/>
      <c r="F18" s="2569"/>
    </row>
    <row r="19" spans="1:6" ht="20.65" customHeight="1" x14ac:dyDescent="0.2">
      <c r="A19" s="1059"/>
      <c r="B19" s="1060"/>
      <c r="C19" s="1061"/>
      <c r="D19" s="2569"/>
      <c r="E19" s="2569"/>
      <c r="F19" s="2569"/>
    </row>
    <row r="20" spans="1:6" ht="20.65" customHeight="1" x14ac:dyDescent="0.2">
      <c r="A20" s="1059"/>
      <c r="B20" s="1060"/>
      <c r="C20" s="1061"/>
      <c r="D20" s="2569"/>
      <c r="E20" s="2569"/>
      <c r="F20" s="2569"/>
    </row>
    <row r="21" spans="1:6" ht="20.65" customHeight="1" x14ac:dyDescent="0.2">
      <c r="A21" s="1059"/>
      <c r="B21" s="1060"/>
      <c r="C21" s="1061"/>
      <c r="D21" s="2569"/>
      <c r="E21" s="2569"/>
      <c r="F21" s="2569"/>
    </row>
    <row r="22" spans="1:6" ht="20.65" customHeight="1" x14ac:dyDescent="0.2">
      <c r="A22" s="1059"/>
      <c r="B22" s="1060"/>
      <c r="C22" s="1061"/>
      <c r="D22" s="2569"/>
      <c r="E22" s="2569"/>
      <c r="F22" s="2569"/>
    </row>
    <row r="23" spans="1:6" ht="20.65" customHeight="1" x14ac:dyDescent="0.2">
      <c r="A23" s="1059"/>
      <c r="B23" s="1060"/>
      <c r="C23" s="1061"/>
      <c r="D23" s="2569"/>
      <c r="E23" s="2569"/>
      <c r="F23" s="2569"/>
    </row>
    <row r="24" spans="1:6" ht="20.65" customHeight="1" x14ac:dyDescent="0.2">
      <c r="A24" s="1059"/>
      <c r="B24" s="1060"/>
      <c r="C24" s="1061"/>
      <c r="D24" s="2569"/>
      <c r="E24" s="2569"/>
      <c r="F24" s="2569"/>
    </row>
    <row r="25" spans="1:6" ht="20.65" customHeight="1" x14ac:dyDescent="0.2">
      <c r="A25" s="1059"/>
      <c r="B25" s="1060"/>
      <c r="C25" s="1061"/>
      <c r="D25" s="2569"/>
      <c r="E25" s="2569"/>
      <c r="F25" s="2569"/>
    </row>
    <row r="26" spans="1:6" ht="20.65" customHeight="1" x14ac:dyDescent="0.2">
      <c r="A26" s="1059"/>
      <c r="B26" s="1060"/>
      <c r="C26" s="1061"/>
      <c r="D26" s="2569"/>
      <c r="E26" s="2569"/>
      <c r="F26" s="2569"/>
    </row>
    <row r="27" spans="1:6" ht="20.65" customHeight="1" x14ac:dyDescent="0.2">
      <c r="A27" s="1059"/>
      <c r="B27" s="1060"/>
      <c r="C27" s="1061"/>
      <c r="D27" s="2569"/>
      <c r="E27" s="2569"/>
      <c r="F27" s="2569"/>
    </row>
    <row r="28" spans="1:6" ht="20.65" customHeight="1" x14ac:dyDescent="0.2">
      <c r="A28" s="1059"/>
      <c r="B28" s="1060"/>
      <c r="C28" s="1061"/>
      <c r="D28" s="2569"/>
      <c r="E28" s="2569"/>
      <c r="F28" s="2569"/>
    </row>
    <row r="29" spans="1:6" ht="20.65" customHeight="1" x14ac:dyDescent="0.2">
      <c r="A29" s="1059"/>
      <c r="B29" s="1060"/>
      <c r="C29" s="1061"/>
      <c r="D29" s="2569"/>
      <c r="E29" s="2569"/>
      <c r="F29" s="256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0" t="s">
        <v>1709</v>
      </c>
      <c r="B32" s="2570"/>
      <c r="C32" s="2570"/>
      <c r="D32" s="2570"/>
      <c r="E32" s="2570"/>
      <c r="F32" s="2570"/>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71">
        <f>+C33+C34</f>
        <v>0</v>
      </c>
      <c r="F34" s="257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3" t="s">
        <v>1573</v>
      </c>
      <c r="C49" s="2573"/>
      <c r="D49" s="2573"/>
      <c r="E49" s="1168"/>
    </row>
    <row r="50" spans="1:5" s="1076" customFormat="1" ht="3.75" customHeight="1" x14ac:dyDescent="0.2">
      <c r="A50" s="1075"/>
      <c r="B50" s="1475"/>
      <c r="C50" s="1475"/>
      <c r="D50" s="1475"/>
      <c r="E50" s="1168"/>
    </row>
    <row r="51" spans="1:5" s="1076" customFormat="1" ht="20.25" customHeight="1" x14ac:dyDescent="0.2">
      <c r="A51" s="1077">
        <v>6</v>
      </c>
      <c r="B51" s="2568" t="s">
        <v>1534</v>
      </c>
      <c r="C51" s="2568"/>
      <c r="D51" s="2568"/>
    </row>
    <row r="52" spans="1:5" ht="14.25" customHeight="1" x14ac:dyDescent="0.2">
      <c r="A52" s="1077"/>
      <c r="B52" s="2568"/>
      <c r="C52" s="2568"/>
      <c r="D52" s="25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I1" sqref="I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Mt Vernon Area Voc Center</v>
      </c>
      <c r="C1" s="2592"/>
      <c r="D1" s="2592"/>
      <c r="E1" s="2592"/>
      <c r="F1" s="2592"/>
      <c r="G1" s="2592"/>
      <c r="H1" s="2592"/>
      <c r="I1" s="2592"/>
      <c r="J1" s="1178"/>
    </row>
    <row r="2" spans="2:10" s="295" customFormat="1" ht="12.75" customHeight="1" x14ac:dyDescent="0.2">
      <c r="B2" s="2593">
        <f>'Single Audit Cover'!E7</f>
        <v>13000000041</v>
      </c>
      <c r="C2" s="2594"/>
      <c r="D2" s="2594"/>
      <c r="E2" s="2594"/>
      <c r="F2" s="2594"/>
      <c r="G2" s="2594"/>
      <c r="H2" s="2594"/>
      <c r="I2" s="2594"/>
      <c r="J2" s="1178"/>
    </row>
    <row r="3" spans="2:10" s="295" customFormat="1" ht="12.75" customHeight="1" x14ac:dyDescent="0.2">
      <c r="B3" s="2595" t="s">
        <v>1274</v>
      </c>
      <c r="C3" s="2596"/>
      <c r="D3" s="2596"/>
      <c r="E3" s="2596"/>
      <c r="F3" s="2596"/>
      <c r="G3" s="2596"/>
      <c r="H3" s="2596"/>
      <c r="I3" s="2596"/>
      <c r="J3" s="1179"/>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5" t="s">
        <v>1273</v>
      </c>
      <c r="C7" s="2596"/>
      <c r="D7" s="2596"/>
      <c r="E7" s="2596"/>
      <c r="F7" s="2596"/>
      <c r="G7" s="2596"/>
      <c r="H7" s="2596"/>
      <c r="I7" s="259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7" t="s">
        <v>1154</v>
      </c>
      <c r="D11" s="259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2050</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2050</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8"/>
      <c r="E29" s="2598"/>
      <c r="F29" s="2598"/>
      <c r="G29" s="2598"/>
      <c r="H29" s="2598"/>
      <c r="I29" s="259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9" t="s">
        <v>1728</v>
      </c>
      <c r="D37" s="2600"/>
      <c r="E37" s="2600"/>
      <c r="F37" s="2601"/>
      <c r="G37" s="2599" t="s">
        <v>1575</v>
      </c>
      <c r="H37" s="2600"/>
      <c r="I37" s="2601"/>
    </row>
    <row r="38" spans="2:9" ht="16.5" customHeight="1" x14ac:dyDescent="0.2">
      <c r="B38" s="1200"/>
      <c r="C38" s="2587"/>
      <c r="D38" s="2588"/>
      <c r="E38" s="2588"/>
      <c r="F38" s="2589"/>
      <c r="G38" s="2602"/>
      <c r="H38" s="2603"/>
      <c r="I38" s="2604"/>
    </row>
    <row r="39" spans="2:9" ht="16.5" customHeight="1" x14ac:dyDescent="0.2">
      <c r="B39" s="1200"/>
      <c r="C39" s="2587"/>
      <c r="D39" s="2588"/>
      <c r="E39" s="2588"/>
      <c r="F39" s="2589"/>
      <c r="G39" s="2590"/>
      <c r="H39" s="2590"/>
      <c r="I39" s="2590"/>
    </row>
    <row r="40" spans="2:9" ht="16.5" customHeight="1" x14ac:dyDescent="0.2">
      <c r="B40" s="1200"/>
      <c r="C40" s="2587"/>
      <c r="D40" s="2588"/>
      <c r="E40" s="2588"/>
      <c r="F40" s="2589"/>
      <c r="G40" s="2590"/>
      <c r="H40" s="2590"/>
      <c r="I40" s="2590"/>
    </row>
    <row r="41" spans="2:9" ht="16.5" customHeight="1" x14ac:dyDescent="0.2">
      <c r="B41" s="1200"/>
      <c r="C41" s="2587"/>
      <c r="D41" s="2588"/>
      <c r="E41" s="2588"/>
      <c r="F41" s="2589"/>
      <c r="G41" s="2590"/>
      <c r="H41" s="2590"/>
      <c r="I41" s="2590"/>
    </row>
    <row r="42" spans="2:9" ht="16.5" customHeight="1" x14ac:dyDescent="0.2">
      <c r="B42" s="1200"/>
      <c r="C42" s="2587"/>
      <c r="D42" s="2588"/>
      <c r="E42" s="2588"/>
      <c r="F42" s="2589"/>
      <c r="G42" s="2590"/>
      <c r="H42" s="2590"/>
      <c r="I42" s="2590"/>
    </row>
    <row r="43" spans="2:9" ht="16.5" customHeight="1" x14ac:dyDescent="0.2">
      <c r="B43" s="1200"/>
      <c r="C43" s="2580" t="s">
        <v>1576</v>
      </c>
      <c r="D43" s="2581"/>
      <c r="E43" s="2581"/>
      <c r="F43" s="2582"/>
      <c r="G43" s="2583">
        <f>SUM(G38:I42)</f>
        <v>0</v>
      </c>
      <c r="H43" s="2583"/>
      <c r="I43" s="2583"/>
    </row>
    <row r="44" spans="2:9" ht="12.75" customHeight="1" x14ac:dyDescent="0.2"/>
    <row r="45" spans="2:9" ht="12.75" customHeight="1" x14ac:dyDescent="0.2">
      <c r="B45" s="1916" t="str">
        <f>"Total Federal Expenditures for 7/1/"&amp;MID('AFR20'!E2,3,2)-1&amp;"-6/30/"&amp;MID('AFR20'!E2,3,2)</f>
        <v>Total Federal Expenditures for 7/1/19-6/30/20</v>
      </c>
      <c r="C45" s="1917"/>
      <c r="D45" s="2584">
        <v>0</v>
      </c>
      <c r="E45" s="258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6"/>
      <c r="F49" s="2586"/>
      <c r="G49" s="258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26&amp;R&amp;8Page 26</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I1" sqref="I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Mt Vernon Area Voc Center</v>
      </c>
      <c r="C1" s="2591"/>
      <c r="D1" s="2591"/>
      <c r="E1" s="2591"/>
      <c r="F1" s="2591"/>
      <c r="G1" s="2591"/>
      <c r="H1" s="2591"/>
      <c r="I1" s="2591"/>
      <c r="J1" s="2591"/>
      <c r="K1" s="2591"/>
      <c r="L1" s="1144"/>
      <c r="M1" s="1144"/>
    </row>
    <row r="2" spans="1:13" ht="12" customHeight="1" x14ac:dyDescent="0.2">
      <c r="B2" s="2593">
        <f>'Single Audit Cover'!E7</f>
        <v>13000000041</v>
      </c>
      <c r="C2" s="2593"/>
      <c r="D2" s="2593"/>
      <c r="E2" s="2593"/>
      <c r="F2" s="2593"/>
      <c r="G2" s="2593"/>
      <c r="H2" s="2593"/>
      <c r="I2" s="2593"/>
      <c r="J2" s="2593"/>
      <c r="K2" s="2593"/>
      <c r="L2" s="1145"/>
      <c r="M2" s="1146"/>
    </row>
    <row r="3" spans="1:13" ht="10.35" customHeight="1" x14ac:dyDescent="0.2">
      <c r="B3" s="2607" t="s">
        <v>1274</v>
      </c>
      <c r="C3" s="2607"/>
      <c r="D3" s="2607"/>
      <c r="E3" s="2607"/>
      <c r="F3" s="2607"/>
      <c r="G3" s="2607"/>
      <c r="H3" s="2607"/>
      <c r="I3" s="2607"/>
      <c r="J3" s="2607"/>
      <c r="K3" s="2607"/>
      <c r="L3" s="1147"/>
      <c r="M3" s="1147"/>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8" t="s">
        <v>1285</v>
      </c>
      <c r="C7" s="2608"/>
      <c r="D7" s="2609"/>
      <c r="E7" s="2609"/>
      <c r="F7" s="2609"/>
      <c r="G7" s="2609"/>
      <c r="H7" s="2609"/>
      <c r="I7" s="2609"/>
      <c r="J7" s="2609"/>
      <c r="K7" s="260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v>1</v>
      </c>
      <c r="E10" s="300"/>
      <c r="F10" s="1156" t="s">
        <v>1284</v>
      </c>
      <c r="G10" s="1157"/>
      <c r="H10" s="1158" t="s">
        <v>1283</v>
      </c>
      <c r="I10" s="1157" t="s">
        <v>2050</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6" t="s">
        <v>2071</v>
      </c>
      <c r="C14" s="2606"/>
      <c r="D14" s="2606"/>
      <c r="E14" s="2606"/>
      <c r="F14" s="2606"/>
      <c r="G14" s="2606"/>
      <c r="H14" s="2606"/>
      <c r="I14" s="2606"/>
      <c r="J14" s="2606"/>
      <c r="K14" s="260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6" t="s">
        <v>2072</v>
      </c>
      <c r="C17" s="2606"/>
      <c r="D17" s="2606"/>
      <c r="E17" s="2606"/>
      <c r="F17" s="2606"/>
      <c r="G17" s="2606"/>
      <c r="H17" s="2606"/>
      <c r="I17" s="2606"/>
      <c r="J17" s="2606"/>
      <c r="K17" s="260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0" t="s">
        <v>2073</v>
      </c>
      <c r="C20" s="2610"/>
      <c r="D20" s="2606"/>
      <c r="E20" s="2606"/>
      <c r="F20" s="2606"/>
      <c r="G20" s="2606"/>
      <c r="H20" s="2606"/>
      <c r="I20" s="2606"/>
      <c r="J20" s="2606"/>
      <c r="K20" s="260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6" t="s">
        <v>2074</v>
      </c>
      <c r="C23" s="2606"/>
      <c r="D23" s="2606"/>
      <c r="E23" s="2606"/>
      <c r="F23" s="2606"/>
      <c r="G23" s="2606"/>
      <c r="H23" s="2606"/>
      <c r="I23" s="2606"/>
      <c r="J23" s="2606"/>
      <c r="K23" s="260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30" customHeight="1" x14ac:dyDescent="0.2">
      <c r="B26" s="2606" t="s">
        <v>2075</v>
      </c>
      <c r="C26" s="2606"/>
      <c r="D26" s="2606"/>
      <c r="E26" s="2606"/>
      <c r="F26" s="2606"/>
      <c r="G26" s="2606"/>
      <c r="H26" s="2606"/>
      <c r="I26" s="2606"/>
      <c r="J26" s="2606"/>
      <c r="K26" s="260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8.5" customHeight="1" x14ac:dyDescent="0.2">
      <c r="B29" s="2605" t="s">
        <v>2076</v>
      </c>
      <c r="C29" s="2605"/>
      <c r="D29" s="2606"/>
      <c r="E29" s="2606"/>
      <c r="F29" s="2606"/>
      <c r="G29" s="2606"/>
      <c r="H29" s="2606"/>
      <c r="I29" s="2606"/>
      <c r="J29" s="2606"/>
      <c r="K29" s="260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5" t="s">
        <v>2077</v>
      </c>
      <c r="C32" s="2605"/>
      <c r="D32" s="2606"/>
      <c r="E32" s="2606"/>
      <c r="F32" s="2606"/>
      <c r="G32" s="2606"/>
      <c r="H32" s="2606"/>
      <c r="I32" s="2606"/>
      <c r="J32" s="2606"/>
      <c r="K32" s="260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 xml:space="preserve">&amp;L&amp;8Pgae 27&amp;R&amp;8Page 27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Mt Vernon Area Voc Center</v>
      </c>
      <c r="C1" s="2614"/>
      <c r="D1" s="2614"/>
      <c r="E1" s="2614"/>
      <c r="F1" s="2614"/>
      <c r="G1" s="2614"/>
      <c r="H1" s="2614"/>
      <c r="I1" s="2614"/>
      <c r="J1" s="2614"/>
      <c r="K1" s="2614"/>
      <c r="L1" s="1221"/>
    </row>
    <row r="2" spans="1:12" ht="12.75" customHeight="1" x14ac:dyDescent="0.2">
      <c r="B2" s="2615">
        <f>'Single Audit Cover'!E7</f>
        <v>13000000041</v>
      </c>
      <c r="C2" s="2615"/>
      <c r="D2" s="2615"/>
      <c r="E2" s="2615"/>
      <c r="F2" s="2615"/>
      <c r="G2" s="2615"/>
      <c r="H2" s="2615"/>
      <c r="I2" s="2615"/>
      <c r="J2" s="2615"/>
      <c r="K2" s="2615"/>
      <c r="L2" s="1222"/>
    </row>
    <row r="3" spans="1:12" ht="12.75" customHeight="1" x14ac:dyDescent="0.2">
      <c r="B3" s="2607" t="s">
        <v>1274</v>
      </c>
      <c r="C3" s="2607"/>
      <c r="D3" s="2607"/>
      <c r="E3" s="2607"/>
      <c r="F3" s="2607"/>
      <c r="G3" s="2607"/>
      <c r="H3" s="2607"/>
      <c r="I3" s="2607"/>
      <c r="J3" s="2607"/>
      <c r="K3" s="2607"/>
      <c r="L3" s="1147"/>
    </row>
    <row r="4" spans="1:12" ht="12.75" customHeight="1" x14ac:dyDescent="0.2">
      <c r="B4" s="2607" t="str">
        <f>'Single Audit Cover'!A4</f>
        <v>Year Ending June 30, 2020</v>
      </c>
      <c r="C4" s="2607"/>
      <c r="D4" s="2607"/>
      <c r="E4" s="2607"/>
      <c r="F4" s="2607"/>
      <c r="G4" s="2607"/>
      <c r="H4" s="2607"/>
      <c r="I4" s="2607"/>
      <c r="J4" s="2607"/>
      <c r="K4" s="2607"/>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8"/>
      <c r="G12" s="2598"/>
      <c r="H12" s="2598"/>
      <c r="I12" s="2598"/>
      <c r="J12" s="2598"/>
      <c r="K12" s="259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1"/>
      <c r="E14" s="2611"/>
      <c r="F14" s="2611"/>
      <c r="H14" s="1230" t="s">
        <v>1292</v>
      </c>
      <c r="I14" s="2612"/>
      <c r="J14" s="2612"/>
      <c r="K14" s="261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2"/>
      <c r="E16" s="2612"/>
      <c r="F16" s="2612"/>
      <c r="G16" s="2612"/>
      <c r="H16" s="2612"/>
      <c r="I16" s="2612"/>
      <c r="J16" s="2612"/>
      <c r="K16" s="2612"/>
      <c r="L16" s="300"/>
    </row>
    <row r="17" spans="2:12" ht="13.5" customHeight="1" x14ac:dyDescent="0.2">
      <c r="B17" s="1156" t="s">
        <v>1290</v>
      </c>
      <c r="C17" s="1156"/>
      <c r="D17" s="2613"/>
      <c r="E17" s="2613"/>
      <c r="F17" s="2613"/>
      <c r="G17" s="2613"/>
      <c r="H17" s="2613"/>
      <c r="I17" s="2613"/>
      <c r="J17" s="2613"/>
      <c r="K17" s="261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6"/>
      <c r="C20" s="2606"/>
      <c r="D20" s="2606"/>
      <c r="E20" s="2606"/>
      <c r="F20" s="2606"/>
      <c r="G20" s="2606"/>
      <c r="H20" s="2606"/>
      <c r="I20" s="2606"/>
      <c r="J20" s="2606"/>
      <c r="K20" s="260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1" sqref="I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1" t="str">
        <f>'Single Audit Cover'!A7</f>
        <v xml:space="preserve"> Mt Vernon Area Voc Center</v>
      </c>
      <c r="C1" s="2591"/>
      <c r="D1" s="2591"/>
      <c r="E1" s="1240"/>
    </row>
    <row r="2" spans="2:5" s="1058" customFormat="1" ht="12.75" customHeight="1" x14ac:dyDescent="0.2">
      <c r="B2" s="2593">
        <f>'Single Audit Cover'!E7</f>
        <v>13000000041</v>
      </c>
      <c r="C2" s="2593"/>
      <c r="D2" s="2593"/>
      <c r="E2" s="1241"/>
    </row>
    <row r="3" spans="2:5" ht="12.75" customHeight="1" x14ac:dyDescent="0.2">
      <c r="B3" s="2607" t="s">
        <v>1743</v>
      </c>
      <c r="C3" s="2607"/>
      <c r="D3" s="2607"/>
      <c r="E3" s="1050"/>
    </row>
    <row r="4" spans="2:5" s="1058" customFormat="1" ht="12.75" customHeight="1" x14ac:dyDescent="0.2">
      <c r="B4" s="2617" t="str">
        <f>'Single Audit Cover'!A4</f>
        <v>Year Ending June 30, 2020</v>
      </c>
      <c r="C4" s="2617"/>
      <c r="D4" s="2617"/>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t="s">
        <v>2078</v>
      </c>
      <c r="C9" s="301" t="s">
        <v>2071</v>
      </c>
      <c r="D9" s="301" t="s">
        <v>2079</v>
      </c>
      <c r="E9" s="301"/>
    </row>
    <row r="10" spans="2:5" ht="13.5" customHeight="1" x14ac:dyDescent="0.2">
      <c r="B10" s="1245"/>
      <c r="C10" s="301"/>
      <c r="D10" s="301"/>
      <c r="E10" s="301"/>
    </row>
    <row r="11" spans="2:5" ht="13.5" customHeight="1" x14ac:dyDescent="0.2">
      <c r="B11" s="1245" t="s">
        <v>2080</v>
      </c>
      <c r="C11" s="301" t="s">
        <v>2081</v>
      </c>
      <c r="D11" s="301" t="s">
        <v>2082</v>
      </c>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28&amp;R&amp;8Page 28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d21dc803-237d-4c68-8692-8d731fd29118"/>
    <ds:schemaRef ds:uri="http://schemas.openxmlformats.org/package/2006/metadata/core-properties"/>
    <ds:schemaRef ds:uri="http://schemas.microsoft.com/office/2006/documentManagement/types"/>
    <ds:schemaRef ds:uri="http://www.w3.org/XML/1998/namespace"/>
    <ds:schemaRef ds:uri="6ce3111e-7420-4802-b50a-75d4e9a0b980"/>
    <ds:schemaRef ds:uri="http://schemas.microsoft.com/sharepoint/v3"/>
    <ds:schemaRef ds:uri="http://schemas.microsoft.com/office/2006/metadata/properties"/>
    <ds:schemaRef ds:uri="http://schemas.microsoft.com/office/infopath/2007/PartnerControls"/>
    <ds:schemaRef ds:uri="4d435f69-8686-490b-bd6d-b153bf22ab5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2020-10-15T21:32:46Z</cp:lastPrinted>
  <dcterms:created xsi:type="dcterms:W3CDTF">2003-10-29T19:06:34Z</dcterms:created>
  <dcterms:modified xsi:type="dcterms:W3CDTF">2020-11-10T01:04:22Z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