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CFA987E-1D58-46BE-88E8-CCBABFCD5725}"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3" i="184" l="1"/>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F20" i="183" s="1"/>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l="1"/>
  <c r="F52" i="34"/>
  <c r="B7831" i="106" s="1"/>
  <c r="D7831" i="106" s="1"/>
  <c r="D24" i="37"/>
  <c r="B4270" i="106" s="1"/>
  <c r="D4270" i="106" s="1"/>
  <c r="D69" i="36"/>
  <c r="B7078" i="106"/>
  <c r="D7078" i="106" s="1"/>
  <c r="D36" i="108"/>
  <c r="F36" i="108"/>
  <c r="B6289" i="106"/>
  <c r="D6289" i="106" s="1"/>
  <c r="B7047" i="106"/>
  <c r="D7047" i="106" s="1"/>
  <c r="H33" i="118"/>
  <c r="F50" i="34"/>
  <c r="L22" i="37"/>
  <c r="D22" i="37"/>
  <c r="B2805" i="106"/>
  <c r="D2805" i="106" s="1"/>
  <c r="D14" i="4"/>
  <c r="B2570" i="106" s="1"/>
  <c r="D2570" i="106" s="1"/>
  <c r="F34" i="34"/>
  <c r="B7826" i="106" s="1"/>
  <c r="D7826" i="106" s="1"/>
  <c r="F42" i="34"/>
  <c r="H365" i="29"/>
  <c r="B7242" i="106" s="1"/>
  <c r="D7242" i="106" s="1"/>
  <c r="G26" i="108"/>
  <c r="F36" i="34"/>
  <c r="B7828" i="106" s="1"/>
  <c r="D7828" i="106" s="1"/>
  <c r="F77" i="4"/>
  <c r="B3255" i="106" s="1"/>
  <c r="D3255" i="106" s="1"/>
  <c r="B2724" i="106"/>
  <c r="D2724" i="106" s="1"/>
  <c r="B2836" i="106"/>
  <c r="D2836" i="106" s="1"/>
  <c r="G39" i="108"/>
  <c r="H342" i="29"/>
  <c r="B7221" i="106" s="1"/>
  <c r="D7221" i="106" s="1"/>
  <c r="I129" i="29"/>
  <c r="B7037" i="106" s="1"/>
  <c r="D7037" i="106" s="1"/>
  <c r="F70" i="34"/>
  <c r="B7189" i="106"/>
  <c r="D7189" i="106" s="1"/>
  <c r="E64" i="184"/>
  <c r="N64" i="184" s="1"/>
  <c r="B7153" i="106"/>
  <c r="D7153" i="106" s="1"/>
  <c r="E60" i="184"/>
  <c r="N60" i="184" s="1"/>
  <c r="C352" i="29"/>
  <c r="B3621" i="106" s="1"/>
  <c r="D3621" i="106" s="1"/>
  <c r="H76" i="4"/>
  <c r="B3298" i="106" s="1"/>
  <c r="D3298" i="106" s="1"/>
  <c r="B1274" i="106"/>
  <c r="D1274" i="106" s="1"/>
  <c r="H12" i="184"/>
  <c r="J210" i="29"/>
  <c r="B7072" i="106" s="1"/>
  <c r="D7072" i="106" s="1"/>
  <c r="J129" i="29"/>
  <c r="B7038" i="106" s="1"/>
  <c r="D7038" i="106" s="1"/>
  <c r="I210" i="29"/>
  <c r="B7071" i="106" s="1"/>
  <c r="D7071" i="106" s="1"/>
  <c r="C129" i="29"/>
  <c r="C151" i="29" s="1"/>
  <c r="B1226" i="106" s="1"/>
  <c r="D1226" i="106" s="1"/>
  <c r="B7198" i="106"/>
  <c r="D7198" i="106" s="1"/>
  <c r="E65" i="184"/>
  <c r="N65" i="184" s="1"/>
  <c r="B7162" i="106"/>
  <c r="D7162" i="106" s="1"/>
  <c r="E61" i="184"/>
  <c r="N61" i="184" s="1"/>
  <c r="B7126" i="106"/>
  <c r="D7126" i="106" s="1"/>
  <c r="E57" i="184"/>
  <c r="B7705" i="106"/>
  <c r="D7705" i="106" s="1"/>
  <c r="E67" i="184"/>
  <c r="N67" i="184" s="1"/>
  <c r="B7696" i="106"/>
  <c r="D7696" i="106" s="1"/>
  <c r="E66" i="184"/>
  <c r="N66" i="184" s="1"/>
  <c r="B7171" i="106"/>
  <c r="D7171" i="106" s="1"/>
  <c r="E62" i="184"/>
  <c r="N62" i="184" s="1"/>
  <c r="B7135" i="106"/>
  <c r="D7135" i="106" s="1"/>
  <c r="E58" i="184"/>
  <c r="N58" i="184" s="1"/>
  <c r="H15" i="184"/>
  <c r="F37" i="34"/>
  <c r="B7829" i="106" s="1"/>
  <c r="D7829" i="106" s="1"/>
  <c r="D31" i="108"/>
  <c r="E16" i="184"/>
  <c r="H16" i="184" s="1"/>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H77" i="4"/>
  <c r="B3299" i="106" s="1"/>
  <c r="D3299" i="106" s="1"/>
  <c r="I7" i="4"/>
  <c r="B4444" i="106" s="1"/>
  <c r="D4444" i="106" s="1"/>
  <c r="B1225" i="106"/>
  <c r="D1225" i="106" s="1"/>
  <c r="B1328" i="106"/>
  <c r="D1328" i="106" s="1"/>
  <c r="K365" i="29"/>
  <c r="K16" i="4" s="1"/>
  <c r="B1266" i="106"/>
  <c r="D1266" i="106" s="1"/>
  <c r="K342" i="29"/>
  <c r="F13" i="34" s="1"/>
  <c r="I151" i="29"/>
  <c r="F59" i="34" s="1"/>
  <c r="B7235" i="106"/>
  <c r="D7235" i="106" s="1"/>
  <c r="B7215" i="106"/>
  <c r="D7215" i="106" s="1"/>
  <c r="F41" i="108"/>
  <c r="G43" i="108" s="1"/>
  <c r="F66" i="34"/>
  <c r="D44" i="36"/>
  <c r="B6216" i="106"/>
  <c r="D6216" i="106" s="1"/>
  <c r="K77" i="4"/>
  <c r="B3587" i="106" s="1"/>
  <c r="D3587" i="106" s="1"/>
  <c r="C367" i="29"/>
  <c r="B3622" i="106" s="1"/>
  <c r="D3622" i="106" s="1"/>
  <c r="N23" i="3"/>
  <c r="B284" i="106" s="1"/>
  <c r="D284" i="106" s="1"/>
  <c r="H19" i="184"/>
  <c r="L20" i="184" s="1"/>
  <c r="B7220" i="106"/>
  <c r="D7220" i="106" s="1"/>
  <c r="F75" i="34"/>
  <c r="B7886" i="106" s="1"/>
  <c r="D7886" i="106" s="1"/>
  <c r="E19" i="184"/>
  <c r="N57" i="184"/>
  <c r="N68" i="184" s="1"/>
  <c r="E68" i="184"/>
  <c r="L16" i="11"/>
  <c r="B2061" i="106" s="1"/>
  <c r="D2061" i="106" s="1"/>
  <c r="B7222" i="106"/>
  <c r="D7222" i="106" s="1"/>
  <c r="F76" i="34"/>
  <c r="B7887" i="106" s="1"/>
  <c r="D7887" i="106" s="1"/>
  <c r="J151" i="29"/>
  <c r="B7052" i="106" s="1"/>
  <c r="D7052" i="106" s="1"/>
  <c r="B5770" i="106"/>
  <c r="D5770" i="106" s="1"/>
  <c r="E367" i="29"/>
  <c r="B3636" i="106" s="1"/>
  <c r="D3636" i="106" s="1"/>
  <c r="B3635" i="106"/>
  <c r="D3635" i="106" s="1"/>
  <c r="L114" i="29"/>
  <c r="J16" i="4"/>
  <c r="B6226" i="106" s="1"/>
  <c r="D6226"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224" i="106"/>
  <c r="D7224" i="106" s="1"/>
  <c r="K367" i="29"/>
  <c r="B3678" i="106" s="1"/>
  <c r="D3678" i="106" s="1"/>
  <c r="B7051" i="106"/>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K20" i="4" s="1"/>
  <c r="F77" i="34"/>
  <c r="B7834" i="106" s="1"/>
  <c r="D7834" i="106" s="1"/>
  <c r="B6227" i="106"/>
  <c r="D6227" i="106" s="1"/>
  <c r="F8" i="4"/>
  <c r="B2595" i="106" s="1"/>
  <c r="D2595"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D82" i="4"/>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<sst xmlns="http://schemas.openxmlformats.org/spreadsheetml/2006/main" count="5185" uniqueCount="2101">
  <si>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</si>
  <si>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</si>
  <si>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</si>
  <si>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</si>
  <si>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</si>
  <si>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</si>
  <si>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</si>
  <si>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</si>
  <si>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</si>
  <si>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</si>
  <si>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</si>
  <si>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</si>
  <si>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</si>
  <si>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</si>
  <si>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</si>
  <si>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</si>
  <si>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</si>
  <si>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</si>
  <si>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</si>
  <si>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</si>
  <si>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</si>
  <si>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</si>
  <si>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</si>
  <si>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</si>
  <si>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</si>
  <si>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</si>
  <si>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</si>
  <si>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</si>
  <si>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</si>
  <si>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</si>
  <si>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</si>
  <si>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</si>
  <si>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</si>
  <si>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</si>
  <si>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</si>
  <si>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</si>
  <si>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</si>
  <si>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</si>
  <si>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</si>
  <si>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</si>
  <si>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</si>
  <si>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</si>
  <si>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</si>
  <si>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</si>
  <si>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</si>
  <si>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</si>
  <si>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</si>
  <si>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</si>
  <si>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</si>
  <si>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</si>
  <si>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</si>
  <si>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</si>
  <si>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</si>
  <si>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</si>
  <si>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</si>
  <si>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</si>
  <si>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</si>
  <si>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</si>
  <si>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</si>
  <si>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</si>
  <si>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</si>
  <si>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</si>
  <si>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</si>
  <si>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</si>
  <si>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</si>
  <si>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</si>
  <si>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</si>
  <si>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</si>
  <si>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</si>
  <si>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</si>
  <si>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</si>
  <si>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</si>
  <si>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</si>
  <si>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</si>
  <si>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</si>
  <si>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</si>
  <si>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</si>
  <si>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</si>
  <si>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</si>
  <si>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</si>
  <si>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</si>
  <si>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</si>
  <si>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</si>
  <si>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</si>
  <si>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</si>
  <si>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</si>
  <si>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</si>
  <si>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</si>
  <si>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</si>
  <si>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</si>
  <si>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</si>
  <si>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</si>
  <si>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</si>
  <si>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</si>
  <si>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</si>
  <si>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</si>
  <si>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</si>
  <si>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</si>
  <si>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</si>
  <si>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</si>
  <si>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</si>
  <si>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</si>
  <si>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</si>
  <si>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</si>
  <si>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</si>
  <si>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</si>
  <si>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</si>
  <si>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</si>
  <si>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</si>
  <si>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</si>
  <si>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</si>
  <si>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</si>
  <si>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</si>
  <si>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</si>
  <si>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</si>
  <si>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</si>
  <si>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</si>
  <si>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</si>
  <si>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</si>
  <si>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</si>
  <si>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</si>
  <si>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</si>
  <si>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</si>
  <si>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</si>
  <si>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</si>
  <si>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</si>
  <si>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</si>
  <si>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</si>
  <si>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</si>
  <si>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</si>
  <si>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</si>
  <si>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</si>
  <si>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</si>
  <si>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</si>
  <si>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</si>
  <si>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</si>
  <si>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</si>
  <si>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</si>
  <si>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</si>
  <si>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</si>
  <si>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</si>
  <si>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</si>
  <si>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</si>
  <si>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</si>
  <si>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</si>
  <si>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</si>
  <si>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</si>
  <si>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</si>
  <si>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</si>
  <si>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</si>
  <si>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</si>
  <si>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</si>
  <si>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</si>
  <si>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</si>
  <si>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</si>
  <si>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</si>
  <si>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</si>
  <si>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</si>
  <si>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</si>
  <si>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</si>
  <si>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</si>
  <si>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</si>
  <si>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</si>
  <si>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</si>
  <si>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</si>
  <si>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</si>
  <si>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</si>
  <si>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</si>
  <si>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</si>
  <si>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</si>
  <si>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</si>
  <si>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</si>
  <si>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</si>
  <si>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</si>
  <si>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</si>
  <si>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</si>
  <si>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</si>
  <si>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</si>
  <si>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</si>
  <si>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</si>
  <si>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</si>
  <si>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</si>
  <si>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</si>
  <si>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</si>
  <si>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</si>
  <si>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</si>
  <si>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</si>
  <si>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</si>
  <si>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</si>
  <si>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</si>
  <si>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</si>
  <si>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</si>
  <si>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</si>
  <si>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</si>
  <si>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</si>
  <si>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</si>
  <si>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</si>
  <si>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</si>
  <si>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</si>
  <si>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</si>
  <si>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</si>
  <si>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</si>
  <si>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</si>
  <si>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</si>
  <si>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</si>
  <si>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</si>
  <si>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</si>
  <si>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</si>
  <si>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</si>
  <si>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</si>
  <si>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</si>
  <si>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</si>
  <si>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</si>
  <si>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</si>
  <si>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</si>
  <si>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</si>
  <si>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</si>
  <si>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</si>
  <si>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</si>
  <si>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</si>
  <si>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</si>
  <si>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</si>
  <si>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</si>
  <si>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</si>
  <si>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</si>
  <si>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</si>
  <si>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</si>
  <si>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</si>
  <si>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</si>
  <si>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</si>
  <si>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</si>
  <si>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</si>
  <si>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</si>
  <si>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</si>
  <si>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</si>
  <si>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</si>
  <si>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</si>
  <si>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</si>
  <si>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</si>
  <si>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</si>
  <si>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</si>
  <si>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</si>
  <si>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</si>
  <si>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</si>
  <si>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</si>
  <si>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</si>
  <si>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</si>
  <si>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</si>
  <si>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</si>
  <si>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</si>
  <si>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</si>
  <si>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</si>
  <si>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</si>
  <si>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</si>
  <si>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</si>
  <si>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</si>
  <si>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</si>
  <si>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</si>
  <si>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</si>
  <si>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</si>
  <si>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</si>
  <si>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</si>
  <si>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</si>
  <si>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</si>
  <si>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</si>
  <si>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</si>
  <si>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</si>
  <si>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</si>
  <si>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</si>
  <si>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</si>
  <si>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</si>
  <si>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</si>
  <si>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</si>
  <si>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</si>
  <si>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</si>
  <si>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</si>
  <si>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</si>
  <si>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</si>
  <si>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</si>
  <si>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</si>
  <si>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</si>
  <si>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</si>
  <si>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</si>
  <si>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</si>
  <si>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</si>
  <si>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</si>
  <si>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</si>
  <si>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</si>
  <si>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</si>
  <si>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</si>
  <si>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</si>
  <si>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</si>
  <si>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</si>
  <si>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</si>
  <si>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</si>
  <si>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</si>
  <si>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</si>
  <si>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</si>
  <si>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</si>
  <si>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</si>
  <si>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</si>
  <si>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</si>
  <si>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</si>
  <si>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</si>
  <si>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</si>
  <si>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</si>
  <si>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</si>
  <si>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</si>
  <si>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</si>
  <si>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</si>
  <si>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</si>
  <si>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</si>
  <si>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</si>
  <si>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</si>
  <si>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</si>
  <si>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</si>
  <si>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</si>
  <si>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</si>
  <si>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</si>
  <si>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</si>
  <si>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</si>
  <si>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</si>
  <si>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</si>
  <si>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</si>
  <si>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</si>
  <si>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</si>
  <si>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</si>
  <si>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</si>
  <si>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</si>
  <si>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</si>
  <si>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</si>
  <si>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</si>
  <si>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</si>
  <si>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</si>
  <si>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</si>
  <si>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</si>
  <si>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</si>
  <si>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</si>
  <si>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</si>
  <si>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</si>
  <si>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</si>
  <si>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</si>
  <si>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</si>
  <si>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</si>
  <si>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</si>
  <si>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</si>
  <si>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</si>
  <si>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</si>
  <si>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</si>
  <si>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</si>
  <si>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</si>
  <si>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</si>
  <si>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</si>
  <si>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</si>
  <si>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</si>
  <si>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</si>
  <si>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</si>
  <si>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</si>
  <si>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</si>
  <si>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</si>
  <si>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</si>
  <si>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</si>
  <si>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</si>
  <si>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</si>
  <si>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</si>
  <si>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</si>
  <si>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</si>
  <si>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</si>
  <si>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</si>
  <si>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</si>
  <si>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</si>
  <si>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</si>
  <si>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</si>
  <si>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</si>
  <si>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</si>
  <si>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</si>
  <si>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</si>
  <si>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</si>
  <si>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</si>
  <si>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</si>
  <si>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</si>
  <si>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</si>
  <si>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</si>
  <si>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</si>
  <si>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</si>
  <si>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</si>
  <si>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</si>
  <si>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</si>
  <si>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</si>
  <si>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</si>
  <si>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</si>
  <si>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</si>
  <si>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</si>
  <si>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</si>
  <si>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</si>
  <si>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</si>
  <si>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</si>
  <si>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</si>
  <si>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</si>
  <si>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</si>
  <si>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</si>
  <si>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</si>
  <si>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</si>
  <si>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</si>
  <si>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</si>
  <si>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</si>
  <si>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</si>
  <si>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</si>
  <si>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</si>
  <si>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</si>
  <si>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</si>
  <si>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</si>
  <si>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</si>
  <si>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</si>
  <si>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</si>
  <si>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</si>
  <si>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</si>
  <si>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</si>
  <si>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</si>
  <si>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</si>
  <si>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</si>
  <si>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</si>
  <si>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</si>
  <si>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</si>
  <si>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</si>
  <si>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</si>
  <si>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</si>
  <si>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</si>
  <si>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</si>
  <si>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</si>
  <si>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</si>
  <si>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</si>
  <si>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</si>
  <si>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</si>
  <si>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</si>
  <si>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</si>
  <si>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</si>
  <si>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</si>
  <si>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</si>
  <si>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</si>
  <si>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</si>
  <si>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</si>
  <si>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</si>
  <si>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</si>
  <si>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</si>
  <si>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</si>
  <si>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</si>
  <si>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</si>
  <si>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</si>
  <si>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</si>
  <si>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</si>
  <si>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</si>
  <si>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</si>
  <si>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</si>
  <si>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</si>
  <si>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</si>
  <si>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</si>
  <si>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</si>
  <si>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</si>
  <si>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</si>
  <si>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</si>
  <si>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</si>
  <si>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</si>
  <si>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</si>
  <si>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</si>
  <si>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</si>
  <si>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</si>
  <si>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</si>
  <si>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</si>
  <si>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</si>
  <si>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</si>
  <si>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</si>
  <si>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</si>
  <si>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</si>
  <si>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</si>
  <si>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</si>
  <si>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</si>
  <si>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</si>
  <si>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</si>
  <si>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</si>
  <si>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</si>
  <si>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</si>
  <si>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</si>
  <si>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</si>
  <si>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</si>
  <si>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</si>
  <si>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</si>
  <si>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</si>
  <si>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</si>
  <si>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</si>
  <si>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</si>
  <si>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</si>
  <si>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</si>
  <si>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</si>
  <si>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</si>
  <si>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</si>
  <si>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</si>
  <si>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</si>
  <si>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</si>
  <si>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</si>
  <si>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</si>
  <si>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</si>
  <si>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</si>
  <si>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</si>
  <si>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</si>
  <si>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</si>
  <si>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</si>
  <si>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</si>
  <si>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</si>
  <si>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</si>
  <si>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</si>
  <si>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</si>
  <si>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</si>
  <si>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</si>
  <si>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</si>
  <si>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</si>
  <si>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</si>
  <si>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</si>
  <si>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</si>
  <si>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</si>
  <si>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</si>
  <si>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</si>
  <si>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</si>
  <si>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</si>
  <si>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</si>
  <si>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</si>
  <si>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</si>
  <si>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</si>
  <si>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</si>
  <si>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</si>
  <si>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</si>
  <si>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</si>
  <si>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</si>
  <si>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</si>
  <si>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</si>
  <si>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</si>
  <si>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</si>
  <si>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</si>
  <si>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</si>
  <si>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</si>
  <si>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</si>
  <si>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</si>
  <si>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</si>
  <si>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</si>
  <si>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</si>
  <si>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</si>
  <si>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</si>
  <si>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</si>
  <si>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</si>
  <si>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</si>
  <si>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</si>
  <si>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</si>
  <si>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</si>
  <si>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</si>
  <si>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</si>
  <si>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</si>
  <si>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</si>
  <si>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</si>
  <si>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</si>
  <si>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</si>
  <si>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</si>
  <si>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</si>
  <si>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</si>
  <si>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</si>
  <si>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</si>
  <si>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</si>
  <si>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</si>
  <si>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</si>
  <si>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</si>
  <si>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</si>
  <si>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</si>
  <si>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</si>
  <si>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</si>
  <si>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</si>
  <si>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</si>
  <si>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</si>
  <si>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</si>
  <si>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</si>
  <si>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</si>
  <si>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</si>
  <si>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</si>
  <si>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</si>
  <si>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</si>
  <si>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</si>
  <si>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</si>
  <si>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</si>
  <si>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</si>
  <si>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</si>
  <si>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</si>
  <si>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</si>
  <si>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</si>
  <si>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</si>
  <si>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</si>
  <si>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</si>
  <si>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</si>
  <si>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</si>
  <si>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</si>
  <si>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</si>
  <si>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</si>
  <si>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</si>
  <si>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</si>
  <si>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</si>
  <si>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</si>
  <si>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</si>
  <si>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</si>
  <si>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</si>
  <si>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</si>
  <si>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</si>
  <si>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</si>
  <si>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</si>
  <si>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</si>
  <si>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</si>
  <si>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</si>
  <si>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</si>
  <si>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</si>
  <si>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</si>
  <si>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</si>
  <si>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</si>
  <si>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</si>
  <si>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</si>
  <si>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</si>
  <si>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</si>
  <si>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</si>
  <si>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</si>
  <si>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</si>
  <si>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</si>
  <si>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</si>
  <si>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</si>
  <si>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</si>
  <si>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</si>
  <si>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</si>
  <si>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</si>
  <si>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</si>
  <si>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</si>
  <si>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</si>
  <si>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</si>
  <si>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</si>
  <si>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</si>
  <si>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</si>
  <si>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</si>
  <si>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</si>
  <si>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</si>
  <si>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</si>
  <si>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</si>
  <si>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</si>
  <si>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</si>
  <si>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</si>
  <si>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</si>
  <si>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</si>
  <si>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</si>
  <si>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</si>
  <si>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</si>
  <si>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</si>
  <si>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</si>
  <si>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</si>
  <si>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</si>
  <si>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</si>
  <si>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</si>
  <si>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</si>
  <si>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</si>
  <si>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</si>
  <si>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</si>
  <si>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</si>
  <si>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</si>
  <si>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</si>
  <si>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</si>
  <si>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</si>
  <si>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</si>
  <si>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</si>
  <si>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</si>
  <si>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</si>
  <si>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</si>
  <si>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</si>
  <si>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</si>
  <si>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</si>
  <si>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</si>
  <si>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</si>
  <si>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</si>
  <si>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</si>
  <si>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</si>
  <si>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</si>
  <si>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</si>
  <si>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</si>
  <si>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</si>
  <si>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</si>
  <si>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</si>
  <si>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</si>
  <si>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</si>
  <si>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</si>
  <si>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</si>
  <si>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</si>
  <si>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</si>
  <si>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</si>
  <si>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</si>
  <si>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</si>
  <si>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</si>
  <si>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</si>
  <si>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</si>
  <si>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</si>
  <si>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</si>
  <si>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</si>
  <si>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</si>
  <si>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</si>
  <si>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</si>
  <si>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</si>
  <si>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</si>
  <si>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</si>
  <si>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</si>
  <si>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</si>
  <si>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</si>
  <si>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</si>
  <si>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</si>
  <si>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</si>
  <si>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</si>
  <si>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</si>
  <si>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</si>
  <si>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</si>
  <si>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</si>
  <si>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</si>
  <si>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</si>
  <si>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</si>
  <si>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</si>
  <si>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</si>
  <si>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</si>
  <si>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</si>
  <si>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</si>
  <si>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</si>
  <si>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</si>
  <si>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</si>
  <si>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</si>
  <si>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</si>
  <si>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</si>
  <si>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</si>
  <si>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</si>
  <si>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</si>
  <si>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</si>
  <si>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</si>
  <si>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</si>
  <si>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</si>
  <si>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</si>
  <si>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</si>
  <si>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</si>
  <si>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</si>
  <si>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</si>
  <si>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</si>
  <si>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</si>
  <si>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</si>
  <si>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</si>
  <si>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</si>
  <si>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</si>
  <si>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</si>
  <si>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</si>
  <si>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</si>
  <si>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</si>
  <si>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</si>
  <si>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</si>
  <si>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</si>
  <si>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</si>
  <si>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</si>
  <si>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</si>
  <si>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</si>
  <si>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</si>
  <si>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</si>
  <si>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</si>
  <si>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</si>
  <si>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</si>
  <si>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</si>
  <si>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</si>
  <si>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</si>
  <si>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</si>
  <si>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</si>
  <si>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</si>
  <si>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</si>
  <si>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</si>
  <si>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</si>
  <si>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</si>
  <si>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</si>
  <si>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</si>
  <si>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</si>
  <si>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</si>
  <si>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</si>
  <si>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</si>
  <si>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</si>
  <si>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</si>
  <si>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</si>
  <si>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</si>
  <si>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</si>
  <si>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</si>
  <si>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</si>
  <si>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</si>
  <si>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</si>
  <si>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</si>
  <si>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</si>
  <si>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</si>
  <si>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</si>
  <si>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</si>
  <si>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</si>
  <si>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</si>
  <si>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</si>
  <si>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</si>
  <si>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</si>
  <si>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</si>
  <si>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</si>
  <si>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</si>
  <si>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</si>
  <si>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</si>
  <si>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</si>
  <si>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</si>
  <si>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</si>
  <si>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</si>
  <si>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</si>
  <si>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</si>
  <si>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</si>
  <si>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</si>
  <si>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</si>
  <si>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</si>
  <si>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</si>
  <si>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</si>
  <si>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</si>
  <si>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</si>
  <si>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</si>
  <si>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</si>
  <si>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</si>
  <si>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</si>
  <si>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</si>
  <si>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</si>
  <si>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</si>
  <si>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</si>
  <si>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</si>
  <si>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</si>
  <si>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</si>
  <si>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</si>
  <si>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</si>
  <si>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</si>
  <si>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</si>
  <si>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</si>
  <si>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</si>
  <si>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</si>
  <si>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</si>
  <si>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</si>
  <si>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</si>
  <si>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</si>
  <si>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</si>
  <si>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</si>
  <si>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</si>
  <si>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</si>
  <si>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</si>
  <si>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</si>
  <si>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</si>
  <si>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</si>
  <si>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</si>
  <si>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</si>
  <si>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</si>
  <si>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</si>
  <si>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</si>
  <si>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</si>
  <si>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</si>
  <si>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</si>
  <si>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</si>
  <si>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</si>
  <si>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</si>
  <si>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</si>
  <si>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</si>
  <si>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</si>
  <si>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</si>
  <si>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</si>
  <si>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</si>
  <si>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</si>
  <si>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</si>
  <si>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</si>
  <si>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</si>
  <si>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</si>
  <si>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</si>
  <si>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</si>
  <si>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</si>
  <si>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</si>
  <si>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</si>
  <si>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</si>
  <si>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</si>
  <si>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</si>
  <si>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</si>
  <si>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</si>
  <si>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</si>
  <si>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</si>
  <si>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</si>
  <si>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</si>
  <si>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</si>
  <si>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</si>
  <si>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</si>
  <si>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</si>
  <si>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</si>
  <si>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</si>
  <si>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</si>
  <si>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</si>
  <si>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</si>
  <si>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</si>
  <si>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</si>
  <si>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</si>
  <si>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</si>
  <si>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</si>
  <si>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</si>
  <si>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</si>
  <si>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</si>
  <si>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</si>
  <si>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</si>
  <si>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</si>
  <si>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</si>
  <si>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</si>
  <si>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</si>
  <si>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</si>
  <si>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</si>
  <si>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</si>
  <si>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</si>
  <si>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</si>
  <si>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</si>
  <si>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</si>
  <si>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</si>
  <si>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</si>
  <si>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</si>
  <si>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</si>
  <si>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</si>
  <si>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</si>
  <si>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</si>
  <si>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</si>
  <si>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</si>
  <si>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</si>
  <si>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</si>
  <si>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</si>
  <si>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</si>
  <si>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</si>
  <si>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</si>
  <si>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</si>
  <si>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</si>
  <si>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</si>
  <si>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</si>
  <si>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</si>
  <si>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</si>
  <si>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</si>
  <si>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</si>
  <si>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</si>
  <si>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</si>
  <si>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</si>
  <si>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</si>
  <si>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</si>
  <si>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</si>
  <si>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</si>
  <si>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</si>
  <si>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</si>
  <si>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</si>
  <si>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</si>
  <si>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</si>
  <si>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</si>
  <si>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</si>
  <si>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</si>
  <si>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</si>
  <si>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</si>
  <si>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</si>
  <si>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</si>
  <si>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</si>
  <si>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</si>
  <si>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</si>
  <si>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</si>
  <si>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</si>
  <si>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</si>
  <si>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</si>
  <si>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</si>
  <si>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</si>
  <si>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</si>
  <si>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</si>
  <si>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</si>
  <si>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</si>
  <si>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</si>
  <si>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</si>
  <si>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</si>
  <si>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</si>
  <si>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</si>
  <si>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</si>
  <si>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</si>
  <si>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</si>
  <si>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</si>
  <si>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</si>
  <si>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</si>
  <si>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</si>
  <si>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</si>
  <si>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</si>
  <si>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</si>
  <si>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</si>
  <si>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</si>
  <si>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</si>
  <si>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</si>
  <si>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</si>
  <si>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</si>
  <si>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</si>
  <si>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</si>
  <si>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</si>
  <si>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</si>
  <si>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</si>
  <si>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</si>
  <si>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</si>
  <si>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</si>
  <si>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</si>
  <si>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</si>
  <si>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</si>
  <si>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</si>
  <si>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</si>
  <si>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</si>
  <si>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</si>
  <si>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</si>
  <si>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</si>
  <si>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</si>
  <si>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</si>
  <si>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</si>
  <si>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</si>
  <si>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</si>
  <si>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</si>
  <si>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</si>
  <si>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</si>
  <si>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</si>
  <si>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</si>
  <si>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</si>
  <si>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</si>
  <si>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</si>
  <si>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</si>
  <si>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</si>
  <si>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</si>
  <si>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</si>
  <si>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</si>
  <si>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</si>
  <si>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</si>
  <si>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</si>
  <si>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</si>
  <si>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</si>
  <si>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</si>
  <si>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</si>
  <si>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</si>
  <si>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</si>
  <si>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</si>
  <si>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</si>
  <si>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</si>
  <si>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</si>
  <si>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</si>
  <si>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</si>
  <si>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</si>
  <si>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</si>
  <si>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</si>
  <si>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</si>
  <si>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</si>
  <si>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</si>
  <si>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</si>
  <si>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</si>
  <si>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</si>
  <si>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</si>
  <si>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</si>
  <si>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</si>
  <si>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</si>
  <si>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</si>
  <si>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</si>
  <si>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</si>
  <si>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</si>
  <si>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</si>
  <si>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</si>
  <si>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</si>
  <si>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</si>
  <si>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</si>
  <si>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</si>
  <si>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</si>
  <si>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</si>
  <si>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</si>
  <si>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</si>
  <si>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</si>
  <si>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</si>
  <si>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</si>
  <si>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</si>
  <si>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</si>
  <si>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</si>
  <si>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</si>
  <si>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</si>
  <si>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</si>
  <si>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</si>
  <si>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</si>
  <si>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</si>
  <si>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</si>
  <si>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</si>
  <si>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</si>
  <si>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</si>
  <si>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</si>
  <si>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</si>
  <si>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</si>
  <si>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</si>
  <si>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</si>
  <si>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</si>
  <si>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</si>
  <si>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</si>
  <si>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</si>
  <si>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</si>
  <si>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</si>
  <si>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</si>
  <si>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</si>
  <si>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</si>
  <si>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</si>
  <si>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</si>
  <si>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</si>
  <si>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</si>
  <si>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</si>
  <si>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</si>
  <si>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</si>
  <si>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</si>
  <si>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</si>
  <si>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</si>
  <si>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</si>
  <si>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</si>
  <si>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</si>
  <si>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</si>
  <si>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</si>
  <si>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</si>
  <si>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</si>
  <si>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</si>
  <si>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</si>
  <si>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</si>
  <si>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</si>
  <si>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</si>
  <si>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</si>
  <si>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</si>
  <si>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</si>
  <si>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</si>
  <si>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</si>
  <si>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</si>
  <si>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</si>
  <si>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</si>
  <si>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</si>
  <si>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</si>
  <si>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</si>
  <si>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</si>
  <si>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</si>
  <si>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</si>
  <si>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</si>
  <si>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</si>
  <si>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</si>
  <si>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</si>
  <si>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</si>
  <si>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</si>
  <si>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</si>
  <si>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</si>
  <si>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</si>
  <si>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</si>
  <si>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</si>
  <si>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</si>
  <si>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</si>
  <si>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</si>
  <si>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</si>
  <si>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</si>
  <si>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</si>
  <si>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</si>
  <si>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</si>
  <si>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</si>
  <si>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</si>
  <si>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</si>
  <si>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</si>
  <si>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</si>
  <si>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</si>
  <si>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</si>
  <si>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</si>
  <si>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</si>
  <si>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</si>
  <si>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</si>
  <si>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</si>
  <si>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</si>
  <si>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</si>
  <si>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</si>
  <si>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</si>
  <si>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</si>
  <si>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</si>
  <si>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</si>
  <si>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</si>
  <si>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</si>
  <si>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</si>
  <si>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</si>
  <si>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</si>
  <si>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</si>
  <si>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</si>
  <si>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</si>
  <si>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</si>
  <si>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</si>
  <si>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</si>
  <si>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</si>
  <si>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</si>
  <si>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</si>
  <si>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</si>
  <si>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</si>
  <si>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</si>
  <si>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</si>
  <si>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</si>
  <si>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</si>
  <si>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</si>
  <si>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</si>
  <si>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</si>
  <si>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</si>
  <si>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</si>
  <si>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</si>
  <si>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</si>
  <si>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</si>
  <si>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</si>
  <si>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</si>
  <si>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</si>
  <si>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</si>
  <si>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</si>
  <si>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</si>
  <si>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</si>
  <si>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</si>
  <si>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</si>
  <si>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</si>
  <si>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</si>
  <si>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</si>
  <si>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</si>
  <si>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</si>
  <si>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</si>
  <si>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</si>
  <si>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</si>
  <si>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</si>
  <si>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</si>
  <si>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</si>
  <si>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</si>
  <si>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</si>
  <si>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</si>
  <si>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</si>
  <si>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</si>
  <si>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</si>
  <si>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</si>
  <si>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</si>
  <si>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</si>
  <si>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</si>
  <si>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</si>
  <si>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</si>
  <si>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</si>
  <si>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</si>
  <si>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</si>
  <si>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</si>
  <si>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</si>
  <si>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</si>
  <si>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</si>
  <si>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</si>
  <si>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</si>
  <si>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</si>
  <si>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</si>
  <si>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</si>
  <si>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</si>
  <si>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</si>
  <si>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</si>
  <si>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</si>
  <si>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</si>
  <si>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</si>
  <si>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</si>
  <si>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</si>
  <si>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</si>
  <si>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</si>
  <si>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</si>
  <si>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</si>
  <si>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</si>
  <si>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</si>
  <si>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</si>
  <si>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</si>
  <si>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</si>
  <si>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</si>
  <si>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</si>
  <si>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</si>
  <si>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</si>
  <si>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</si>
  <si>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</si>
  <si>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</si>
  <si>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</si>
  <si>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</si>
  <si>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</si>
  <si>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</si>
  <si>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</si>
  <si>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</si>
  <si>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</si>
  <si>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</si>
  <si>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</si>
  <si>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</si>
  <si>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</si>
  <si>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</si>
  <si>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</si>
  <si>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</si>
  <si>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</si>
  <si>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</si>
  <si>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</si>
  <si>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</si>
  <si>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</si>
  <si>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</si>
  <si>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</si>
  <si>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</si>
  <si>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</si>
  <si>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</si>
  <si>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</si>
  <si>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</si>
  <si>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</si>
  <si>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</si>
  <si>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</si>
  <si>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</si>
  <si>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</si>
  <si>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</si>
  <si>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</si>
  <si>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</si>
  <si>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</si>
  <si>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</si>
  <si>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</si>
  <si>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</si>
  <si>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</si>
  <si>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</si>
  <si>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</si>
  <si>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</si>
  <si>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</si>
  <si>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</si>
  <si>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</si>
  <si>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</si>
  <si>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</si>
  <si>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</si>
  <si>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</si>
  <si>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</si>
  <si>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</si>
  <si>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</si>
  <si>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</si>
  <si>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</si>
  <si>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</si>
  <si>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</si>
  <si>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</si>
  <si>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</si>
  <si>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</si>
  <si>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</si>
  <si>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</si>
  <si>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</si>
  <si>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</si>
  <si>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</si>
  <si>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</si>
  <si>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</si>
  <si>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</si>
  <si>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</si>
  <si>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</si>
  <si>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</si>
  <si>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</si>
  <si>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</si>
  <si>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</si>
  <si>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</si>
  <si>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</si>
  <si>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</si>
  <si>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</si>
  <si>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</si>
  <si>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</si>
  <si>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</si>
  <si>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</si>
  <si>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</si>
  <si>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</si>
  <si>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</si>
  <si>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</si>
  <si>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</si>
  <si>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</si>
  <si>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</si>
  <si>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</si>
  <si>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</si>
  <si>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</si>
  <si>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</si>
  <si>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</si>
  <si>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</si>
  <si>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</si>
  <si>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</si>
  <si>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</si>
  <si>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</si>
  <si>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</si>
  <si>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</si>
  <si>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</si>
  <si>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</si>
  <si>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</si>
  <si>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</si>
  <si>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</si>
  <si>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</si>
  <si>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</si>
  <si>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</si>
  <si>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</si>
  <si>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</si>
  <si>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</si>
  <si>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</si>
  <si>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</si>
  <si>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</si>
  <si>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</si>
  <si>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</si>
  <si>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</si>
  <si>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</si>
  <si>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</si>
  <si>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</si>
  <si>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</si>
  <si>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</si>
  <si>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</si>
  <si>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</si>
  <si>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</si>
  <si>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</si>
  <si>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</si>
  <si>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</si>
  <si>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</si>
  <si>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</si>
  <si>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</si>
  <si>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</si>
  <si>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</si>
  <si>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</si>
  <si>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</si>
  <si>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</si>
  <si>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</si>
  <si>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</si>
  <si>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</si>
  <si>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</si>
  <si>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</si>
  <si>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</si>
  <si>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</si>
  <si>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</si>
  <si>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</si>
  <si>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</si>
  <si>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</si>
  <si>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</si>
  <si>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</si>
  <si>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</si>
  <si>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</si>
  <si>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</si>
  <si>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</si>
  <si>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</si>
  <si>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</si>
  <si>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</si>
  <si>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</si>
  <si>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</si>
  <si>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</si>
  <si>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</si>
  <si>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</si>
  <si>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</si>
  <si>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</si>
  <si>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</si>
  <si>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</si>
  <si>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</si>
  <si>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</si>
  <si>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</si>
  <si>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</si>
  <si>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</si>
  <si>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</si>
  <si>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</si>
  <si>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</si>
  <si>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</si>
  <si>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</si>
  <si>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</si>
  <si>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</si>
  <si>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</si>
  <si>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</si>
  <si>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</si>
  <si>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</si>
  <si>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</si>
  <si>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</si>
  <si>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</si>
  <si>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</si>
  <si>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</si>
  <si>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</si>
  <si>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</si>
  <si>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</si>
  <si>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</si>
  <si>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</si>
  <si>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</si>
  <si>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</si>
  <si>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</si>
  <si>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</si>
  <si>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</si>
  <si>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</si>
  <si>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</si>
  <si>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</si>
  <si>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</si>
  <si>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</si>
  <si>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</si>
  <si>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</si>
  <si>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</si>
  <si>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</si>
  <si>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</si>
  <si>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</si>
  <si>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</si>
  <si>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</si>
  <si>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</si>
  <si>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</si>
  <si>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</si>
  <si>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</si>
  <si>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</si>
  <si>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</si>
  <si>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</si>
  <si>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</si>
  <si>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</si>
  <si>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</si>
  <si>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</si>
  <si>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</si>
  <si>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</si>
  <si>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</si>
  <si>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</si>
  <si>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</si>
  <si>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</si>
  <si>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</si>
  <si>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</si>
  <si>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</si>
  <si>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</si>
  <si>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</si>
  <si>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</si>
  <si>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</si>
  <si>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</si>
  <si>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</si>
  <si>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</si>
  <si>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</si>
  <si>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</si>
  <si>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</si>
  <si>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</si>
  <si>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</si>
  <si>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</si>
  <si>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</si>
  <si>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</si>
  <si>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</si>
  <si>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</si>
  <si>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</si>
  <si>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</si>
  <si>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</si>
  <si>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</si>
  <si>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</si>
  <si>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</si>
  <si>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</si>
  <si>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</si>
  <si>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</si>
  <si>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</si>
  <si>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</si>
  <si>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</si>
  <si>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</si>
  <si>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</si>
  <si>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</si>
  <si>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</si>
  <si>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</si>
  <si>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</si>
  <si>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</si>
  <si>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</si>
  <si>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</si>
  <si>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</si>
  <si>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</si>
  <si>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</si>
  <si>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</si>
  <si>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</si>
  <si>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</si>
  <si>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</si>
  <si>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</si>
  <si>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</si>
  <si>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</si>
  <si>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</si>
  <si>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</si>
  <si>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</si>
  <si>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</si>
  <si>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</si>
  <si>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</si>
  <si>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</si>
  <si>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</si>
  <si>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</si>
  <si>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</si>
  <si>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</si>
  <si>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</si>
  <si>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</si>
  <si>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</si>
  <si>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</si>
  <si>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</si>
  <si>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</si>
  <si>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</si>
  <si>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</si>
  <si>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</si>
  <si>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</si>
  <si>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</si>
  <si>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</si>
  <si>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</si>
  <si>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</si>
  <si>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</si>
  <si>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</si>
  <si>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</si>
  <si>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</si>
  <si>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</si>
  <si>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</si>
  <si>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</si>
  <si>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</si>
  <si>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</si>
  <si>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</si>
  <si>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</si>
  <si>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</si>
  <si>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</si>
  <si>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</si>
  <si>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</si>
  <si>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</si>
  <si>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</si>
  <si>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</si>
  <si>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</si>
  <si>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</si>
  <si>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</si>
  <si>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</si>
  <si>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</si>
  <si>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</si>
  <si>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</si>
  <si>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</si>
  <si>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</si>
  <si>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</si>
  <si>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</si>
  <si>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</si>
  <si>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</si>
  <si>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</si>
  <si>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</si>
  <si>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</si>
  <si>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</si>
  <si>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</si>
  <si>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</si>
  <si>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</si>
  <si>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</si>
  <si>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</si>
  <si>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</si>
  <si>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</si>
  <si>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</si>
  <si>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</si>
  <si>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</si>
  <si>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</si>
  <si>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</si>
  <si>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</si>
  <si>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</si>
  <si>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</si>
  <si>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</si>
  <si>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</si>
  <si>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</si>
  <si>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</si>
  <si>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</si>
  <si>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</si>
  <si>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</si>
  <si>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</si>
  <si>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</si>
  <si>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</si>
  <si>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</si>
  <si>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</si>
  <si>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</si>
  <si>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</si>
  <si>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</si>
  <si>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</si>
  <si>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</si>
  <si>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</si>
  <si>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</si>
  <si>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</si>
  <si>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</si>
  <si>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</si>
  <si>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</si>
  <si>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</si>
  <si>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</si>
  <si>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</si>
  <si>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</si>
  <si>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</si>
  <si>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</si>
  <si>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</si>
  <si>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</si>
  <si>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</si>
  <si>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</si>
  <si>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</si>
  <si>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</si>
  <si>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</si>
  <si>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</si>
  <si>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</si>
  <si>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</si>
  <si>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</si>
  <si>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</si>
  <si>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</si>
  <si>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</si>
  <si>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</si>
  <si>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</si>
  <si>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</si>
  <si>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</si>
  <si>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</si>
  <si>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</si>
  <si>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</si>
  <si>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</si>
  <si>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</si>
  <si>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</si>
  <si>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</si>
  <si>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</si>
  <si>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</si>
  <si>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</si>
  <si>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</si>
  <si>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</si>
  <si>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</si>
  <si>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</si>
  <si>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</si>
  <si>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</si>
  <si>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</si>
  <si>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</si>
  <si>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</si>
  <si>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</si>
  <si>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</si>
  <si>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</si>
  <si>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</si>
  <si>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</si>
  <si>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</si>
  <si>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</si>
  <si>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</si>
  <si>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</si>
  <si>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</si>
  <si>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</si>
  <si>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</si>
  <si>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</si>
  <si>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</si>
  <si>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</si>
  <si>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</si>
  <si>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</si>
  <si>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</si>
  <si>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</si>
  <si>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</si>
  <si>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</si>
  <si>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</si>
  <si>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</si>
  <si>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</si>
  <si>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</si>
  <si>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</si>
  <si>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</si>
  <si>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</si>
  <si>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</si>
  <si>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</si>
  <si>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</si>
  <si>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</si>
  <si>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</si>
  <si>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</si>
  <si>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</si>
  <si>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</si>
  <si>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</si>
  <si>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</si>
  <si>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</si>
  <si>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</si>
  <si>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</si>
  <si>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</si>
  <si>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</si>
  <si>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</si>
  <si>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</si>
  <si>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</si>
  <si>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</si>
  <si>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</si>
  <si>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</si>
  <si>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</si>
  <si>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</si>
  <si>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</si>
  <si>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</si>
  <si>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</si>
  <si>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</si>
  <si>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</si>
  <si>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</si>
  <si>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</si>
  <si>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</si>
  <si>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</si>
  <si>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</si>
  <si>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</si>
  <si>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</si>
  <si>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</si>
  <si>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</si>
  <si>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</si>
  <si>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</si>
  <si>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</si>
  <si>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</si>
  <si>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</si>
  <si>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</si>
  <si>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</si>
  <si>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</si>
  <si>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</si>
  <si>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</si>
  <si>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</si>
  <si>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</si>
  <si>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</si>
  <si>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</si>
  <si>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</si>
  <si>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</si>
  <si>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</si>
  <si>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</si>
  <si>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</si>
  <si>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</si>
  <si>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</si>
  <si>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</si>
  <si>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</si>
  <si>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</si>
  <si>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</si>
  <si>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</si>
  <si>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</si>
  <si>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</si>
  <si>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</si>
  <si>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</si>
  <si>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</si>
  <si>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</si>
  <si>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</si>
  <si>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</si>
  <si>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</si>
  <si>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</si>
  <si>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</si>
  <si>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</si>
  <si>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</si>
  <si>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</si>
  <si>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</si>
  <si>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</si>
  <si>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</si>
  <si>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</si>
  <si>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</si>
  <si>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</si>
  <si>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</si>
  <si>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</si>
  <si>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</si>
  <si>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</si>
  <si>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</si>
  <si>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</si>
  <si>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</si>
  <si>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</si>
  <si>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</si>
  <si>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</si>
  <si>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</si>
  <si>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</si>
  <si>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</si>
  <si>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</si>
  <si>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</si>
  <si>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</si>
  <si>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</si>
  <si>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</si>
  <si>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</si>
  <si>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</si>
  <si>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</si>
  <si>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</si>
  <si>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</si>
  <si>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</si>
  <si>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</si>
  <si>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</si>
  <si>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</si>
  <si>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</si>
  <si>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</si>
  <si>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</si>
  <si>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</si>
  <si>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</si>
  <si>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</si>
  <si>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</si>
  <si>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</si>
  <si>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</si>
  <si>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</si>
  <si>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</si>
  <si>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</si>
  <si>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</si>
  <si>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</si>
  <si>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</si>
  <si>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</si>
  <si>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</si>
  <si>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</si>
  <si>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</si>
  <si>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</si>
  <si>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</si>
  <si>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</si>
  <si>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</si>
  <si>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</si>
  <si>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</si>
  <si>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</si>
  <si>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</si>
  <si>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</si>
  <si>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</si>
  <si>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</si>
  <si>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</si>
  <si>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</si>
  <si>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</si>
  <si>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</si>
  <si>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</si>
  <si>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</si>
  <si>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</si>
  <si>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</si>
  <si>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</si>
  <si>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</si>
  <si>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</si>
  <si>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</si>
  <si>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</si>
  <si>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</si>
  <si>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</si>
  <si>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</si>
  <si>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</si>
  <si>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</si>
  <si>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</si>
  <si>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</si>
  <si>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</si>
  <si>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</si>
  <si>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</si>
  <si>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</si>
  <si>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</si>
  <si>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</si>
  <si>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</si>
  <si>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</si>
  <si>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</si>
  <si>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</si>
  <si>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</si>
  <si>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</si>
  <si>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</si>
  <si>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</si>
  <si>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</si>
  <si>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</si>
  <si>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</si>
  <si>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</si>
  <si>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</si>
  <si>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</si>
  <si>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</si>
  <si>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</si>
  <si>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</si>
  <si>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</si>
  <si>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</si>
  <si>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</si>
  <si>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</si>
  <si>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</si>
  <si>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</si>
  <si>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</si>
  <si>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</si>
  <si>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</si>
  <si>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</si>
  <si>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</si>
  <si>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</si>
  <si>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</si>
  <si>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</si>
  <si>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</si>
  <si>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</si>
  <si>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</si>
  <si>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</si>
  <si>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</si>
  <si>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</si>
  <si>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</si>
  <si>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</si>
  <si>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</si>
  <si>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</si>
  <si>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</si>
  <si>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</si>
  <si>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</si>
  <si>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</si>
  <si>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</si>
  <si>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</si>
  <si>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</si>
  <si>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</si>
  <si>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</si>
  <si>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</si>
  <si>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</si>
  <si>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</si>
  <si>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</si>
  <si>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</si>
  <si>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</si>
  <si>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</si>
  <si>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</si>
  <si>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</si>
  <si>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</si>
  <si>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</si>
  <si>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</si>
  <si>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</si>
  <si>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</si>
  <si>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</si>
  <si>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</si>
  <si>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</si>
  <si>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</si>
  <si>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</si>
  <si>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</si>
  <si>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</si>
  <si>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</si>
  <si>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</si>
  <si>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</si>
  <si>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</si>
  <si>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</si>
  <si>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</si>
  <si>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</si>
  <si>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</si>
  <si>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</si>
  <si>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</si>
  <si>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</si>
  <si>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</si>
  <si>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</si>
  <si>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</si>
  <si>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</si>
  <si>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</si>
  <si>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</si>
  <si>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</si>
  <si>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</si>
  <si>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</si>
  <si>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</si>
  <si>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</si>
  <si>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</si>
  <si>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</si>
  <si>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</si>
  <si>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</si>
  <si>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</si>
  <si>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</si>
  <si>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</si>
  <si>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</si>
  <si>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</si>
  <si>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</si>
  <si>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</si>
  <si>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</si>
  <si>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</si>
  <si>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</si>
  <si>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</si>
  <si>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</si>
  <si>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</si>
  <si>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</si>
  <si>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</si>
  <si>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</si>
  <si>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</si>
  <si>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</si>
  <si>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</si>
  <si>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</si>
  <si>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</si>
  <si>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</si>
  <si>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</si>
  <si>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</si>
  <si>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</si>
  <si>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</si>
  <si>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</si>
  <si>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</si>
  <si>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</si>
  <si>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</si>
  <si>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</si>
  <si>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</si>
  <si>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</si>
  <si>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</si>
  <si>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</si>
  <si>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</si>
  <si>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</si>
  <si>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</si>
  <si>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</si>
  <si>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</si>
  <si>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</si>
  <si>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</si>
  <si>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</si>
  <si>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</si>
  <si>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</si>
  <si>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</si>
  <si>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</si>
  <si>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</si>
  <si>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</si>
  <si>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</si>
  <si>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</si>
  <si>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</si>
  <si>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</si>
  <si>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</si>
  <si>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</si>
  <si>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</si>
  <si>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</si>
  <si>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</si>
  <si>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</si>
  <si>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</si>
  <si>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</si>
  <si>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</si>
  <si>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</si>
  <si>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</si>
  <si>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</si>
  <si>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</si>
  <si>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</si>
  <si>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</si>
  <si>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</si>
  <si>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</si>
  <si>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</si>
  <si>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</si>
  <si>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</si>
  <si>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</si>
  <si>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Jasper</t>
  </si>
  <si>
    <t>P.O. Box 185</t>
  </si>
  <si>
    <t>St. Marie</t>
  </si>
  <si>
    <t>kkessler@sese.org</t>
  </si>
  <si>
    <t>Kim Kessler</t>
  </si>
  <si>
    <t>618-455-3396</t>
  </si>
  <si>
    <t>618-455-3134</t>
  </si>
  <si>
    <t>Kemper CPA Group LLP</t>
  </si>
  <si>
    <t>Jodi Truitt</t>
  </si>
  <si>
    <t>1619 W. Main St</t>
  </si>
  <si>
    <t>Robinson</t>
  </si>
  <si>
    <t>IL</t>
  </si>
  <si>
    <t>618-546-1502</t>
  </si>
  <si>
    <t>618-544-2140</t>
  </si>
  <si>
    <t>066-003998</t>
  </si>
  <si>
    <t>jtruitt@kempercpa.com</t>
  </si>
  <si>
    <t>Part C, Number 23:  The Auditor's Report issued a modified opinion because the financial statements do not include disclosures regarding postemployment health insurance benefits required by the financial reporting provisions of the ISBE.</t>
  </si>
  <si>
    <t>Egyption Area Schools Employee Benefit Trust</t>
  </si>
  <si>
    <t>Illinois School District Agency &amp; WCSIT</t>
  </si>
  <si>
    <t>Eastern Illinois Area of Special Education</t>
  </si>
  <si>
    <t>Although internal controls are in place, there are some reporting functions that the entity cannot perform.</t>
  </si>
  <si>
    <t>The entity does not have an individual with the necessary knowledge and technical expertise to properly prepare the notes to the financial statements.</t>
  </si>
  <si>
    <t>The entity cannot prepare the notes to the financial statements.</t>
  </si>
  <si>
    <t>The entity should provide the necessary training to personnel or contract with an independent contractor with the necessary knowledge to properly prepare the notes to the financial statements.</t>
  </si>
  <si>
    <t>The entity does not intend to correct the finding in the next fiscal year.</t>
  </si>
  <si>
    <t>2019-001</t>
  </si>
  <si>
    <t>The entity did not have the necessary knowledge</t>
  </si>
  <si>
    <t>and technical expertise to properly prepare the</t>
  </si>
  <si>
    <t>notes to the financial statements.</t>
  </si>
  <si>
    <t>Repeated as 2020-001</t>
  </si>
  <si>
    <t>Ed-Support Services - PS</t>
  </si>
  <si>
    <t>Clay City Comm Unit #10</t>
  </si>
  <si>
    <t>Flora Comm Unit #35</t>
  </si>
  <si>
    <t>Hutsonville Comm Unit #1</t>
  </si>
  <si>
    <t>North Clay Comm Unit #25</t>
  </si>
  <si>
    <t>Oblong Comm Unit #4</t>
  </si>
  <si>
    <t>Red Hill Comm Unit #10</t>
  </si>
  <si>
    <t>Richland County Comm Unit #1</t>
  </si>
  <si>
    <t>Robinson Comm Unit #2</t>
  </si>
  <si>
    <t>Griffith Lawn &amp; Garden</t>
  </si>
  <si>
    <t>Jeff Shamhart</t>
  </si>
  <si>
    <t>Page 12, Line 168, Column 10: Other Restricted Revenue from State Sources: DIVS of Rehab - $45,900</t>
  </si>
  <si>
    <t>Page 16, Line 73, Column 300: Other Support Services: Technical Purchased Services - $9,980</t>
  </si>
  <si>
    <t>Page 16, Line 73, Column 400: Other Support Services: Medicaid Supplies - $63,032</t>
  </si>
  <si>
    <t>Page 16, Line 73, Column 500: Other Support Services: Medicaid Equipment - $57,946</t>
  </si>
  <si>
    <t>Page 11, Line 107, Column 10:  Other Local Sources: FSA Reimbursement - $5,141</t>
  </si>
  <si>
    <t>In the absence of the necessary knowledge and technical expertise, the entity must rely on the auditors to ensure the notes to the financial statements are properly presented.</t>
  </si>
  <si>
    <t>The entity's personnel have not obtained the necessary knowledge or technical expertise.</t>
  </si>
  <si>
    <t xml:space="preserve">  South Eastern Sp Ed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</si>
</sst>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28575</xdr:rowOff>
        </xdr:from>
        <xdr:to>
          <xdr:col>1</xdr:col>
          <xdr:colOff>2009775</xdr:colOff>
          <xdr:row>5</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2152650</xdr:colOff>
          <xdr:row>1</xdr:row>
          <xdr:rowOff>47625</xdr:rowOff>
        </xdr:from>
        <xdr:to>
          <xdr:col>1</xdr:col>
          <xdr:colOff>3067050</xdr:colOff>
          <xdr:row>5</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12017801060</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2100</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62454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2066</v>
      </c>
      <c r="U23" s="2127"/>
      <c r="V23" s="2127"/>
      <c r="W23" s="2127"/>
      <c r="X23" s="2131">
        <v>44469</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62459</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144"/>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2440767</v>
      </c>
      <c r="D8" s="1771">
        <v>49221</v>
      </c>
      <c r="E8" s="1771"/>
      <c r="F8" s="1765">
        <f>(C8+D8)-E8</f>
        <v>2489988</v>
      </c>
      <c r="G8" s="681">
        <v>50</v>
      </c>
      <c r="H8" s="619">
        <v>659443</v>
      </c>
      <c r="I8" s="619">
        <v>49441</v>
      </c>
      <c r="J8" s="619"/>
      <c r="K8" s="1442">
        <f>(H8+I8)-J8</f>
        <v>708884</v>
      </c>
      <c r="L8" s="1442">
        <f>F8-K8</f>
        <v>1781104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6382</v>
      </c>
      <c r="D10" s="1772"/>
      <c r="E10" s="1772"/>
      <c r="F10" s="1773">
        <f>(C10+D10)-E10</f>
        <v>6382</v>
      </c>
      <c r="G10" s="681">
        <v>20</v>
      </c>
      <c r="H10" s="683">
        <v>6382</v>
      </c>
      <c r="I10" s="683"/>
      <c r="J10" s="683"/>
      <c r="K10" s="1442">
        <f>(H10+I10)-J10</f>
        <v>6382</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647947</v>
      </c>
      <c r="D12" s="1771">
        <v>10083</v>
      </c>
      <c r="E12" s="1771">
        <v>17423</v>
      </c>
      <c r="F12" s="1765">
        <f>(C12+D12)-E12</f>
        <v>640607</v>
      </c>
      <c r="G12" s="681">
        <v>10</v>
      </c>
      <c r="H12" s="619">
        <v>533704</v>
      </c>
      <c r="I12" s="619">
        <v>53188</v>
      </c>
      <c r="J12" s="619">
        <v>17423</v>
      </c>
      <c r="K12" s="1442">
        <f>(H12+I12)-J12</f>
        <v>569469</v>
      </c>
      <c r="L12" s="1442">
        <f>F12-K12</f>
        <v>71138</v>
      </c>
    </row>
    <row r="13" spans="1:14" ht="14.25" thickTop="1" thickBot="1" x14ac:dyDescent="0.25">
      <c r="A13" s="684" t="s">
        <v>1112</v>
      </c>
      <c r="B13" s="679">
        <v>252</v>
      </c>
      <c r="C13" s="1771">
        <v>147082</v>
      </c>
      <c r="D13" s="1771">
        <v>47863</v>
      </c>
      <c r="E13" s="1771"/>
      <c r="F13" s="1765">
        <f>(C13+D13)-E13</f>
        <v>194945</v>
      </c>
      <c r="G13" s="681">
        <v>5</v>
      </c>
      <c r="H13" s="619">
        <v>26791</v>
      </c>
      <c r="I13" s="619">
        <v>32271</v>
      </c>
      <c r="J13" s="619"/>
      <c r="K13" s="1442">
        <f>(H13+I13)-J13</f>
        <v>59062</v>
      </c>
      <c r="L13" s="1442">
        <f>F13-K13</f>
        <v>135883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3242178</v>
      </c>
      <c r="D16" s="1765">
        <f>SUM(D3,D5:D6,D8:D10,D12:D15)</f>
        <v>107167</v>
      </c>
      <c r="E16" s="1765">
        <f>SUM(E3,E5:E6,E8:E10,E12:E15)</f>
        <v>17423</v>
      </c>
      <c r="F16" s="1765">
        <f>SUM(F3,F5:F6,F8:F10,F12:F15)</f>
        <v>3331922</v>
      </c>
      <c r="G16" s="681"/>
      <c r="H16" s="1435">
        <f>SUM(H3,H6,H8:H10,H12:H14,)</f>
        <v>1226320</v>
      </c>
      <c r="I16" s="1435">
        <f>SUM(I3,I6,I8:I10,I12:I14,)</f>
        <v>134900</v>
      </c>
      <c r="J16" s="1435">
        <f>SUM(J3,J6,J8:J10,J12:J14,)</f>
        <v>17423</v>
      </c>
      <c r="K16" s="1435">
        <f>(H16+I16)-J16</f>
        <v>1343797</v>
      </c>
      <c r="L16" s="1435">
        <f>F16-K16</f>
        <v>1988125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134900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9" colorId="8" zoomScale="110" zoomScaleNormal="110" workbookViewId="0">
      <selection activeCell="J40" sqref="J4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6656329</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6656329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456505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849659</v>
      </c>
      <c r="G53" s="701"/>
    </row>
    <row r="54" spans="1:7" x14ac:dyDescent="0.2">
      <c r="A54" s="705" t="s">
        <v>456</v>
      </c>
      <c r="B54" s="705" t="s">
        <v>1459</v>
      </c>
      <c r="C54" s="724" t="s">
        <v>975</v>
      </c>
      <c r="D54" s="720" t="s">
        <v>1086</v>
      </c>
      <c r="E54" s="704"/>
      <c r="F54" s="1782">
        <f>'Expenditures 15-22'!G114</f>
        <v>107167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1413331</v>
      </c>
      <c r="G77" s="701"/>
    </row>
    <row r="78" spans="1:9" s="728" customFormat="1" ht="12" customHeight="1" thickTop="1" thickBot="1" x14ac:dyDescent="0.25">
      <c r="A78" s="1450"/>
      <c r="B78" s="1448"/>
      <c r="C78" s="1445"/>
      <c r="D78" s="1449" t="s">
        <v>2012</v>
      </c>
      <c r="E78" s="1447"/>
      <c r="F78" s="1788">
        <f>(F14-F77)</f>
        <v>5242998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591832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45900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601110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58914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195013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1492769</v>
      </c>
    </row>
    <row r="176" spans="1:7" ht="12" customHeight="1" x14ac:dyDescent="0.2">
      <c r="A176" s="1443"/>
      <c r="B176" s="1453"/>
      <c r="C176" s="1454"/>
      <c r="D176" s="1455" t="s">
        <v>2014</v>
      </c>
      <c r="E176" s="1456"/>
      <c r="F176" s="1793">
        <f>'PCTC-OEPP 27-28'!F78-F175</f>
        <v>3750229</v>
      </c>
    </row>
    <row r="177" spans="1:9" ht="12" customHeight="1" x14ac:dyDescent="0.2">
      <c r="A177" s="1443"/>
      <c r="B177" s="1453"/>
      <c r="C177" s="1454"/>
      <c r="D177" s="1455" t="s">
        <v>1794</v>
      </c>
      <c r="E177" s="1456"/>
      <c r="F177" s="1793">
        <f>'Cap Outlay Deprec 26'!I18</f>
        <v>134900</v>
      </c>
    </row>
    <row r="178" spans="1:9" ht="12" customHeight="1" x14ac:dyDescent="0.2">
      <c r="A178" s="1443"/>
      <c r="B178" s="1453"/>
      <c r="C178" s="1454"/>
      <c r="D178" s="1455" t="s">
        <v>2015</v>
      </c>
      <c r="E178" s="1456"/>
      <c r="F178" s="1793">
        <f>F176+F177</f>
        <v>3885129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11" sqref="A11:F1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2082</v>
      </c>
      <c r="B18" s="1908">
        <v>102540300</v>
      </c>
      <c r="C18" s="2036" t="s">
        <v>2083</v>
      </c>
      <c r="D18" s="1886">
        <v>50000</v>
      </c>
      <c r="E18" s="1906" t="str">
        <f t="shared" ref="E18:E81" si="0">IF(D18&lt;25000,D18,"25,000")</f>
        <v>25,000</v>
      </c>
      <c r="F18" s="1906">
        <f t="shared" ref="F18:F81" si="1">IF(D18&gt;=25000,(D18-E18),"0")</f>
        <v>25000</v>
      </c>
      <c r="G18" s="1887"/>
    </row>
    <row r="19" spans="1:7" x14ac:dyDescent="0.25">
      <c r="A19" s="2035" t="s">
        <v>2082</v>
      </c>
      <c r="B19" s="1908">
        <v>102540300</v>
      </c>
      <c r="C19" s="2036" t="s">
        <v>2084</v>
      </c>
      <c r="D19" s="1886">
        <v>5000</v>
      </c>
      <c r="E19" s="1906">
        <f t="shared" si="0"/>
        <v>5000</v>
      </c>
      <c r="F19" s="1906" t="str">
        <f t="shared" si="1"/>
        <v>0</v>
      </c>
    </row>
    <row r="20" spans="1:7" x14ac:dyDescent="0.25">
      <c r="A20" s="2035" t="s">
        <v>2082</v>
      </c>
      <c r="B20" s="1908">
        <v>102540300</v>
      </c>
      <c r="C20" s="2036" t="s">
        <v>2085</v>
      </c>
      <c r="D20" s="1886">
        <v>30000</v>
      </c>
      <c r="E20" s="1906" t="str">
        <f t="shared" si="0"/>
        <v>25,000</v>
      </c>
      <c r="F20" s="1906">
        <f t="shared" si="1"/>
        <v>5000</v>
      </c>
    </row>
    <row r="21" spans="1:7" x14ac:dyDescent="0.25">
      <c r="A21" s="2035" t="s">
        <v>2082</v>
      </c>
      <c r="B21" s="1908">
        <v>102540300</v>
      </c>
      <c r="C21" s="2036" t="s">
        <v>2086</v>
      </c>
      <c r="D21" s="1886">
        <v>15000</v>
      </c>
      <c r="E21" s="1906">
        <f t="shared" si="0"/>
        <v>15000</v>
      </c>
      <c r="F21" s="1906" t="str">
        <f t="shared" si="1"/>
        <v>0</v>
      </c>
    </row>
    <row r="22" spans="1:7" x14ac:dyDescent="0.25">
      <c r="A22" s="2035" t="s">
        <v>2082</v>
      </c>
      <c r="B22" s="1908">
        <v>102540300</v>
      </c>
      <c r="C22" s="2036" t="s">
        <v>2087</v>
      </c>
      <c r="D22" s="1886">
        <v>35000</v>
      </c>
      <c r="E22" s="1906" t="str">
        <f t="shared" si="0"/>
        <v>25,000</v>
      </c>
      <c r="F22" s="1906">
        <f t="shared" si="1"/>
        <v>10000</v>
      </c>
    </row>
    <row r="23" spans="1:7" x14ac:dyDescent="0.25">
      <c r="A23" s="2035" t="s">
        <v>2082</v>
      </c>
      <c r="B23" s="1908">
        <v>102540300</v>
      </c>
      <c r="C23" s="2036" t="s">
        <v>2088</v>
      </c>
      <c r="D23" s="1886">
        <v>5000</v>
      </c>
      <c r="E23" s="1906">
        <f t="shared" si="0"/>
        <v>5000</v>
      </c>
      <c r="F23" s="1906" t="str">
        <f t="shared" si="1"/>
        <v>0</v>
      </c>
    </row>
    <row r="24" spans="1:7" x14ac:dyDescent="0.25">
      <c r="A24" s="2035" t="s">
        <v>2082</v>
      </c>
      <c r="B24" s="1908">
        <v>102540300</v>
      </c>
      <c r="C24" s="2036" t="s">
        <v>2089</v>
      </c>
      <c r="D24" s="1886">
        <v>10000</v>
      </c>
      <c r="E24" s="1906">
        <f t="shared" si="0"/>
        <v>10000</v>
      </c>
      <c r="F24" s="1906" t="str">
        <f t="shared" si="1"/>
        <v>0</v>
      </c>
    </row>
    <row r="25" spans="1:7" x14ac:dyDescent="0.25">
      <c r="A25" s="2035" t="s">
        <v>2082</v>
      </c>
      <c r="B25" s="1908">
        <v>102540300</v>
      </c>
      <c r="C25" s="2036" t="s">
        <v>2090</v>
      </c>
      <c r="D25" s="1886">
        <v>20000</v>
      </c>
      <c r="E25" s="1906">
        <f t="shared" si="0"/>
        <v>20000</v>
      </c>
      <c r="F25" s="1906" t="str">
        <f t="shared" si="1"/>
        <v>0</v>
      </c>
    </row>
    <row r="26" spans="1:7" x14ac:dyDescent="0.25">
      <c r="A26" s="2035" t="s">
        <v>2082</v>
      </c>
      <c r="B26" s="1908">
        <v>102540300</v>
      </c>
      <c r="C26" s="2036" t="s">
        <v>2091</v>
      </c>
      <c r="D26" s="1886">
        <v>4320</v>
      </c>
      <c r="E26" s="1906">
        <f t="shared" si="0"/>
        <v>4320</v>
      </c>
      <c r="F26" s="1906" t="str">
        <f t="shared" si="1"/>
        <v>0</v>
      </c>
    </row>
    <row r="27" spans="1:7" x14ac:dyDescent="0.25">
      <c r="A27" s="2035" t="s">
        <v>2082</v>
      </c>
      <c r="B27" s="1908">
        <v>102540300</v>
      </c>
      <c r="C27" s="2036" t="s">
        <v>2092</v>
      </c>
      <c r="D27" s="1886">
        <v>10214</v>
      </c>
      <c r="E27" s="1906">
        <f t="shared" si="0"/>
        <v>10214</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184534</v>
      </c>
      <c r="E142" s="1893">
        <f>SUM(E18:E141)</f>
        <v>69534</v>
      </c>
      <c r="F142" s="1894">
        <f>SUM(F18:F141)</f>
        <v>40000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34" sqref="E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2273772</v>
      </c>
      <c r="F19" s="1802"/>
      <c r="G19" s="1804">
        <f>'Expenditures 15-22'!K33-SUM('Expenditures 15-22'!G33,'Expenditures 15-22'!I33)+'Expenditures 15-22'!D229</f>
        <v>2273772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1772578</v>
      </c>
      <c r="F21" s="1805"/>
      <c r="G21" s="1808">
        <f>'Expenditures 15-22'!K42-SUM('Expenditures 15-22'!G42,'Expenditures 15-22'!I42)+'Expenditures 15-22'!K120-SUM('Expenditures 15-22'!G120,'Expenditures 15-22'!I120)+'Expenditures 15-22'!K180-SUM('Expenditures 15-22'!G180,'Expenditures 15-22'!I180)+'Expenditures 15-22'!D238</f>
        <v>1772578</v>
      </c>
      <c r="H21" s="817"/>
      <c r="I21" s="157"/>
    </row>
    <row r="22" spans="1:9" s="542" customFormat="1" ht="12" customHeight="1" x14ac:dyDescent="0.2">
      <c r="A22" s="824" t="s">
        <v>560</v>
      </c>
      <c r="B22" s="825"/>
      <c r="C22" s="823">
        <v>2200</v>
      </c>
      <c r="D22" s="1805"/>
      <c r="E22" s="1807">
        <f>'Expenditures 15-22'!K47-SUM('Expenditures 15-22'!G47,'Expenditures 15-22'!I47)+'Expenditures 15-22'!D243</f>
        <v>155923</v>
      </c>
      <c r="F22" s="1805"/>
      <c r="G22" s="1808">
        <f>'Expenditures 15-22'!K47-SUM('Expenditures 15-22'!G47,'Expenditures 15-22'!I47)+'Expenditures 15-22'!D243</f>
        <v>155923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1117256</v>
      </c>
      <c r="F23" s="1805"/>
      <c r="G23" s="1807">
        <f>'Expenditures 15-22'!K53-SUM('Expenditures 15-22'!G53,'Expenditures 15-22'!I53)+'Expenditures 15-22'!D257+'Expenditures 15-22'!K330-SUM('Expenditures 15-22'!G330,'Expenditures 15-22'!I330)</f>
        <v>1117256</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5470</v>
      </c>
      <c r="E27" s="1807">
        <f>E8</f>
        <v>0</v>
      </c>
      <c r="F27" s="1807">
        <f>'Expenditures 15-22'!K60-SUM('Expenditures 15-22'!G60,'Expenditures 15-22'!I60)+'Expenditures 15-22'!D264-E8</f>
        <v>5470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292686</v>
      </c>
      <c r="F28" s="1809">
        <f>'Expenditures 15-22'!K61-SUM('Expenditures 15-22'!G61,'Expenditures 15-22'!I61)+'Expenditures 15-22'!K124-SUM('Expenditures 15-22'!G124,'Expenditures 15-22'!I124)+'Expenditures 15-22'!D266-E9</f>
        <v>292686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6524</v>
      </c>
      <c r="F29" s="1805"/>
      <c r="G29" s="1808">
        <f>'Expenditures 15-22'!K62-SUM('Expenditures 15-22'!G62,'Expenditures 15-22'!I62)+'Expenditures 15-22'!K125-SUM('Expenditures 15-22'!G125,'Expenditures 15-22'!I125)+'Expenditures 15-22'!K182-SUM('Expenditures 15-22'!G182,'Expenditures 15-22'!I182)+'Expenditures 15-22'!D267</f>
        <v>6524</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1057</v>
      </c>
      <c r="E31" s="1807">
        <f>E12</f>
        <v>0</v>
      </c>
      <c r="F31" s="1807">
        <f>'Expenditures 15-22'!K64-SUM('Expenditures 15-22'!G64,'Expenditures 15-22'!I64)+'Expenditures 15-22'!D269-E12</f>
        <v>1057</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1225</v>
      </c>
      <c r="E36" s="1807">
        <f>E13</f>
        <v>0</v>
      </c>
      <c r="F36" s="1807">
        <f>'Expenditures 15-22'!K70-SUM('Expenditures 15-22'!G70,'Expenditures 15-22'!I70)+'Expenditures 15-22'!D275-E13</f>
        <v>1225</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73012</v>
      </c>
      <c r="F38" s="1805"/>
      <c r="G38" s="1807">
        <f>'Expenditures 15-22'!K73-SUM('Expenditures 15-22'!G73,'Expenditures 15-22'!I73)+'Expenditures 15-22'!K128-SUM('Expenditures 15-22'!G128,'Expenditures 15-22'!I128)+'Expenditures 15-22'!K183-SUM('Expenditures 15-22'!G183,'Expenditures 15-22'!I183)+'Expenditures 15-22'!D278</f>
        <v>73012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-40000</v>
      </c>
      <c r="F40" s="1805"/>
      <c r="G40" s="1809">
        <f>-'Contracts Paid in CY 29'!F142</f>
        <v>-40000</v>
      </c>
    </row>
    <row r="41" spans="1:7" ht="12" customHeight="1" x14ac:dyDescent="0.2">
      <c r="A41" s="828" t="s">
        <v>155</v>
      </c>
      <c r="B41" s="829"/>
      <c r="C41" s="830"/>
      <c r="D41" s="1809">
        <f>SUM(D19:D39)</f>
        <v>7752</v>
      </c>
      <c r="E41" s="1809">
        <f>SUM(E19:E40)</f>
        <v>5651751</v>
      </c>
      <c r="F41" s="1809">
        <f>SUM(F19:F39)</f>
        <v>300438</v>
      </c>
      <c r="G41" s="1809">
        <f>SUM(G19:G40)</f>
        <v>5359065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7752</v>
      </c>
      <c r="F43" s="1458" t="s">
        <v>470</v>
      </c>
      <c r="G43" s="1810">
        <f>F41</f>
        <v>300438</v>
      </c>
    </row>
    <row r="44" spans="1:7" ht="12" customHeight="1" x14ac:dyDescent="0.2">
      <c r="A44" s="817"/>
      <c r="B44" s="157"/>
      <c r="C44" s="831"/>
      <c r="D44" s="1458" t="s">
        <v>471</v>
      </c>
      <c r="E44" s="1810">
        <f>E41</f>
        <v>5651751</v>
      </c>
      <c r="F44" s="1458" t="s">
        <v>471</v>
      </c>
      <c r="G44" s="1810">
        <f>G41</f>
        <v>5359065</v>
      </c>
    </row>
    <row r="45" spans="1:7" ht="12" customHeight="1" x14ac:dyDescent="0.2">
      <c r="A45" s="817"/>
      <c r="B45" s="157"/>
      <c r="C45" s="157"/>
      <c r="D45" s="1459" t="s">
        <v>999</v>
      </c>
      <c r="E45" s="1811">
        <f>(E43/E44)</f>
        <v>1.3716103204122049E-3</v>
      </c>
      <c r="F45" s="1459" t="s">
        <v>999</v>
      </c>
      <c r="G45" s="1811">
        <f>(G43/G44)</f>
        <v>5.6061645081744667E-2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South Eastern Sp Ed Program</v>
      </c>
      <c r="D6" s="2415"/>
      <c r="E6" s="2415"/>
      <c r="F6" s="1482"/>
      <c r="G6" s="1507"/>
      <c r="L6" s="1507"/>
      <c r="M6" s="1855"/>
      <c r="N6" s="1855"/>
      <c r="O6" s="1855"/>
    </row>
    <row r="7" spans="1:15" ht="11.25" customHeight="1" thickBot="1" x14ac:dyDescent="0.3">
      <c r="A7" s="1480"/>
      <c r="B7" s="1481"/>
      <c r="C7" s="2416">
        <f>COVER!A13</f>
        <v>12017801060</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t="s">
        <v>2051</v>
      </c>
      <c r="F14" s="1497" t="s">
        <v>2069</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2051</v>
      </c>
      <c r="F19" s="1497" t="s">
        <v>2070</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t="s">
        <v>2051</v>
      </c>
      <c r="F24" s="1497" t="s">
        <v>2071</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20</v>
      </c>
      <c r="K34" s="1507">
        <f>SUM(H34:J34)</f>
        <v>60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4" zoomScaleNormal="100" workbookViewId="0">
      <selection activeCell="C30" sqref="C30"/>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South Eastern Sp Ed Program</v>
      </c>
      <c r="K6" s="2437"/>
      <c r="L6" s="2451"/>
      <c r="M6" s="838"/>
      <c r="N6" s="1998"/>
    </row>
    <row r="7" spans="1:14" x14ac:dyDescent="0.2">
      <c r="A7" s="2452" t="s">
        <v>864</v>
      </c>
      <c r="B7" s="2453"/>
      <c r="C7" s="2453"/>
      <c r="D7" s="2453"/>
      <c r="E7" s="2454"/>
      <c r="F7" s="839"/>
      <c r="G7" s="838"/>
      <c r="H7" s="838"/>
      <c r="I7" s="1924" t="s">
        <v>369</v>
      </c>
      <c r="J7" s="2439">
        <f>COVER!A13</f>
        <v>12017801060</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193178</v>
      </c>
      <c r="F12" s="1942"/>
      <c r="G12" s="1968">
        <f>G68</f>
        <v>0</v>
      </c>
      <c r="H12" s="1944">
        <f t="shared" ref="H12:H18" si="0">SUM(E12:G12)</f>
        <v>193178</v>
      </c>
      <c r="I12" s="1943">
        <v>162598</v>
      </c>
      <c r="J12" s="1942"/>
      <c r="K12" s="1943"/>
      <c r="L12" s="1944">
        <f t="shared" ref="L12:L18" si="1">SUM(I12:K12)</f>
        <v>162598</v>
      </c>
      <c r="M12" s="838"/>
      <c r="N12" s="1998"/>
    </row>
    <row r="13" spans="1:14" x14ac:dyDescent="0.2">
      <c r="A13" s="2003">
        <v>2</v>
      </c>
      <c r="B13" s="1940" t="s">
        <v>42</v>
      </c>
      <c r="C13" s="842"/>
      <c r="D13" s="1941">
        <v>2330</v>
      </c>
      <c r="E13" s="1944">
        <f>'Expenditures 15-22'!K51</f>
        <v>920559</v>
      </c>
      <c r="F13" s="1942"/>
      <c r="G13" s="1968">
        <f>H68</f>
        <v>0</v>
      </c>
      <c r="H13" s="1944">
        <f t="shared" si="0"/>
        <v>920559</v>
      </c>
      <c r="I13" s="1943">
        <f>630294+271818</f>
        <v>902112</v>
      </c>
      <c r="J13" s="1942"/>
      <c r="K13" s="1943"/>
      <c r="L13" s="1944">
        <f t="shared" si="1"/>
        <v>902112</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1057</v>
      </c>
      <c r="F16" s="1942"/>
      <c r="G16" s="1968">
        <f>K68</f>
        <v>0</v>
      </c>
      <c r="H16" s="1944">
        <f t="shared" si="0"/>
        <v>1057</v>
      </c>
      <c r="I16" s="1943">
        <v>1000</v>
      </c>
      <c r="J16" s="1942"/>
      <c r="K16" s="1943"/>
      <c r="L16" s="1944">
        <f t="shared" si="1"/>
        <v>1000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1114794</v>
      </c>
      <c r="F19" s="1950">
        <f t="shared" si="2"/>
        <v>0</v>
      </c>
      <c r="G19" s="1950">
        <f t="shared" ref="G19" si="3">SUM(G12:G17)-G18</f>
        <v>0</v>
      </c>
      <c r="H19" s="1950">
        <f t="shared" si="2"/>
        <v>1114794</v>
      </c>
      <c r="I19" s="1950">
        <f t="shared" si="2"/>
        <v>1065710</v>
      </c>
      <c r="J19" s="1950">
        <f t="shared" si="2"/>
        <v>0</v>
      </c>
      <c r="K19" s="1950">
        <f t="shared" si="2"/>
        <v>0</v>
      </c>
      <c r="L19" s="1950">
        <f t="shared" si="2"/>
        <v>1065710</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-4.4029659291313014E-2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t="s">
        <v>2056</v>
      </c>
      <c r="D29" s="2466"/>
      <c r="E29" s="845"/>
      <c r="F29" s="2466" t="s">
        <v>2057</v>
      </c>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South Eastern Sp Ed Program</v>
      </c>
      <c r="M52" s="2437"/>
      <c r="N52" s="2438"/>
    </row>
    <row r="53" spans="1:14" x14ac:dyDescent="0.2">
      <c r="A53" s="1982"/>
      <c r="B53" s="1983"/>
      <c r="C53" s="1983"/>
      <c r="D53" s="1983"/>
      <c r="E53" s="1983"/>
      <c r="F53" s="1983"/>
      <c r="G53" s="1983"/>
      <c r="H53" s="1983"/>
      <c r="I53" s="1983"/>
      <c r="J53" s="1983"/>
      <c r="K53" s="1924" t="s">
        <v>369</v>
      </c>
      <c r="L53" s="2439">
        <f>J7</f>
        <v>12017801060</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2" sqref="B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2093</v>
      </c>
    </row>
    <row r="6" spans="1:2" x14ac:dyDescent="0.2">
      <c r="A6" s="847">
        <v>2</v>
      </c>
      <c r="B6" s="307" t="s">
        <v>2094</v>
      </c>
    </row>
    <row r="7" spans="1:2" x14ac:dyDescent="0.2">
      <c r="A7" s="847">
        <v>3</v>
      </c>
      <c r="B7" s="307" t="s">
        <v>2095</v>
      </c>
    </row>
    <row r="8" spans="1:2" x14ac:dyDescent="0.2">
      <c r="A8" s="847">
        <v>4</v>
      </c>
      <c r="B8" s="307" t="s">
        <v>2096</v>
      </c>
    </row>
    <row r="9" spans="1:2" x14ac:dyDescent="0.2">
      <c r="A9" s="847">
        <v>5</v>
      </c>
      <c r="B9" s="307" t="s">
        <v>2097</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South Eastern Sp Ed Program</v>
      </c>
    </row>
    <row r="65" spans="2:2" x14ac:dyDescent="0.2">
      <c r="B65" s="849">
        <f>COVER!A13</f>
        <v>12017801060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B63" sqref="B6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5"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43009" r:id="rId4"/>
      </mc:Fallback>
    </mc:AlternateContent>
    <mc:AlternateContent xmlns:mc="http://schemas.openxmlformats.org/markup-compatibility/2006">
      <mc:Choice Requires="x14">
        <oleObject progId="Acrobat.Document.2015" dvAspect="DVASPECT_ICON" shapeId="43010" r:id="rId6">
          <objectPr defaultSize="0" r:id="rId5">
            <anchor moveWithCells="1">
              <from>
                <xdr:col>1</xdr:col>
                <xdr:colOff>1095375</xdr:colOff>
                <xdr:row>1</xdr:row>
                <xdr:rowOff>28575</xdr:rowOff>
              </from>
              <to>
                <xdr:col>1</xdr:col>
                <xdr:colOff>2009775</xdr:colOff>
                <xdr:row>5</xdr:row>
                <xdr:rowOff>66675</xdr:rowOff>
              </to>
            </anchor>
          </objectPr>
        </oleObject>
      </mc:Choice>
      <mc:Fallback>
        <oleObject progId="Acrobat.Document.2015" dvAspect="DVASPECT_ICON" shapeId="43010" r:id="rId6"/>
      </mc:Fallback>
    </mc:AlternateContent>
    <mc:AlternateContent xmlns:mc="http://schemas.openxmlformats.org/markup-compatibility/2006">
      <mc:Choice Requires="x14">
        <oleObject progId="Acrobat.Document.2015" dvAspect="DVASPECT_ICON" shapeId="43011" r:id="rId7">
          <objectPr defaultSize="0" r:id="rId5">
            <anchor moveWithCells="1">
              <from>
                <xdr:col>1</xdr:col>
                <xdr:colOff>2152650</xdr:colOff>
                <xdr:row>1</xdr:row>
                <xdr:rowOff>47625</xdr:rowOff>
              </from>
              <to>
                <xdr:col>1</xdr:col>
                <xdr:colOff>3067050</xdr:colOff>
                <xdr:row>5</xdr:row>
                <xdr:rowOff>85725</xdr:rowOff>
              </to>
            </anchor>
          </objectPr>
        </oleObject>
      </mc:Choice>
      <mc:Fallback>
        <oleObject progId="Acrobat.Document.2015" dvAspect="DVASPECT_ICON" shapeId="43011"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7091138</v>
      </c>
      <c r="C8" s="1813">
        <f>'Acct Summary 7-8'!D8</f>
        <v>0</v>
      </c>
      <c r="D8" s="1813">
        <f>'Acct Summary 7-8'!F8</f>
        <v>0</v>
      </c>
      <c r="E8" s="1813">
        <f>'Acct Summary 7-8'!I8</f>
        <v>0</v>
      </c>
      <c r="F8" s="1813">
        <f>SUM(B8:E8)</f>
        <v>7091138</v>
      </c>
    </row>
    <row r="9" spans="1:8" s="858" customFormat="1" ht="14.25" customHeight="1" thickBot="1" x14ac:dyDescent="0.25">
      <c r="A9" s="857" t="s">
        <v>1353</v>
      </c>
      <c r="B9" s="1814">
        <f>'Acct Summary 7-8'!C17</f>
        <v>6656329</v>
      </c>
      <c r="C9" s="1814">
        <f>'Acct Summary 7-8'!D17</f>
        <v>0</v>
      </c>
      <c r="D9" s="1814">
        <f>'Acct Summary 7-8'!F17</f>
        <v>0</v>
      </c>
      <c r="E9" s="1813"/>
      <c r="F9" s="1813">
        <f>SUM(B9:E9)</f>
        <v>6656329</v>
      </c>
    </row>
    <row r="10" spans="1:8" s="858" customFormat="1" ht="14.25" thickTop="1" thickBot="1" x14ac:dyDescent="0.25">
      <c r="A10" s="859" t="s">
        <v>1354</v>
      </c>
      <c r="B10" s="1815">
        <f>(B8-B9)</f>
        <v>434809</v>
      </c>
      <c r="C10" s="1815">
        <f>(C8-C9)</f>
        <v>0</v>
      </c>
      <c r="D10" s="1815">
        <f>(D8-D9)</f>
        <v>0</v>
      </c>
      <c r="E10" s="1814">
        <f>(E8-E9)</f>
        <v>0</v>
      </c>
      <c r="F10" s="1816">
        <f>SUM(F8-F9)</f>
        <v>434809</v>
      </c>
    </row>
    <row r="11" spans="1:8" s="858" customFormat="1" ht="14.25" thickTop="1" thickBot="1" x14ac:dyDescent="0.25">
      <c r="A11" s="860" t="s">
        <v>1903</v>
      </c>
      <c r="B11" s="1817">
        <f>'Acct Summary 7-8'!C81</f>
        <v>1363177</v>
      </c>
      <c r="C11" s="1817">
        <f>'Acct Summary 7-8'!D81</f>
        <v>0</v>
      </c>
      <c r="D11" s="1817">
        <f>'Acct Summary 7-8'!F81</f>
        <v>0</v>
      </c>
      <c r="E11" s="1817">
        <f>'Acct Summary 7-8'!I81</f>
        <v>0</v>
      </c>
      <c r="F11" s="1818">
        <f>SUM(B11:E11)</f>
        <v>1363177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12017801060</v>
      </c>
      <c r="E2" s="1542">
        <v>2020</v>
      </c>
      <c r="F2" s="1542">
        <v>1</v>
      </c>
      <c r="G2" s="1899">
        <v>101000300</v>
      </c>
    </row>
    <row r="3" spans="1:7" ht="15" x14ac:dyDescent="0.25">
      <c r="A3" t="s">
        <v>950</v>
      </c>
      <c r="B3" s="135" t="str">
        <f>COVER!A15</f>
        <v>Jasper</v>
      </c>
      <c r="E3" s="1830" t="s">
        <v>1971</v>
      </c>
      <c r="F3" s="1830" t="s">
        <v>1970</v>
      </c>
      <c r="G3" s="1899">
        <v>101000400</v>
      </c>
    </row>
    <row r="4" spans="1:7" ht="15" x14ac:dyDescent="0.25">
      <c r="A4" t="s">
        <v>1000</v>
      </c>
      <c r="B4" s="135" t="str">
        <f>COVER!A17</f>
        <v xml:space="preserve">  South Eastern Sp Ed Program</v>
      </c>
      <c r="E4" s="1828">
        <v>44119</v>
      </c>
      <c r="F4" s="1829">
        <v>44151</v>
      </c>
      <c r="G4" s="1899">
        <v>101000600</v>
      </c>
    </row>
    <row r="5" spans="1:7" ht="15" x14ac:dyDescent="0.25">
      <c r="A5" t="s">
        <v>699</v>
      </c>
      <c r="B5" s="135" t="str">
        <f>COVER!A38</f>
        <v>Kim Kessler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066-003998</v>
      </c>
      <c r="G15" s="1899">
        <v>402100400</v>
      </c>
    </row>
    <row r="16" spans="1:7" ht="15" x14ac:dyDescent="0.25">
      <c r="A16" t="s">
        <v>419</v>
      </c>
      <c r="B16" s="135" t="str">
        <f>COVER!T13</f>
        <v>Kemper CPA Group LLP</v>
      </c>
      <c r="G16" s="1899">
        <v>402100600</v>
      </c>
    </row>
    <row r="17" spans="1:7" ht="15" x14ac:dyDescent="0.25">
      <c r="A17" t="s">
        <v>878</v>
      </c>
      <c r="B17" s="135" t="str">
        <f>COVER!T15</f>
        <v>Jodi Truitt</v>
      </c>
      <c r="G17" s="1899">
        <v>402100800</v>
      </c>
    </row>
    <row r="18" spans="1:7" ht="15" x14ac:dyDescent="0.25">
      <c r="A18" t="s">
        <v>1140</v>
      </c>
      <c r="B18" s="135" t="str">
        <f>COVER!T17</f>
        <v>1619 W. Main St</v>
      </c>
      <c r="G18" s="1899">
        <v>102200300</v>
      </c>
    </row>
    <row r="19" spans="1:7" ht="15" x14ac:dyDescent="0.25">
      <c r="A19" t="s">
        <v>880</v>
      </c>
      <c r="B19" s="135" t="str">
        <f>COVER!T25</f>
        <v>jtruitt@kempercpa.com</v>
      </c>
      <c r="G19" s="1899">
        <v>102200400</v>
      </c>
    </row>
    <row r="20" spans="1:7" ht="15" x14ac:dyDescent="0.25">
      <c r="A20" t="s">
        <v>881</v>
      </c>
      <c r="B20" s="135" t="str">
        <f>COVER!T19</f>
        <v>Robinson</v>
      </c>
      <c r="G20" s="1899">
        <v>102200600</v>
      </c>
    </row>
    <row r="21" spans="1:7" ht="15" x14ac:dyDescent="0.25">
      <c r="A21" t="s">
        <v>476</v>
      </c>
      <c r="B21" s="135" t="str">
        <f>COVER!X19</f>
        <v>IL</v>
      </c>
      <c r="G21" s="1899">
        <v>102200800</v>
      </c>
    </row>
    <row r="22" spans="1:7" ht="15" x14ac:dyDescent="0.25">
      <c r="A22" t="s">
        <v>882</v>
      </c>
      <c r="B22" s="135">
        <f>COVER!Z19</f>
        <v>62454</v>
      </c>
      <c r="G22" s="1899">
        <v>102300300</v>
      </c>
    </row>
    <row r="23" spans="1:7" ht="15" x14ac:dyDescent="0.25">
      <c r="A23" t="s">
        <v>1142</v>
      </c>
      <c r="B23" s="135" t="str">
        <f>COVER!T21</f>
        <v>618-546-1502</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1367363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4186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4186</v>
      </c>
      <c r="C91" s="2" t="s">
        <v>569</v>
      </c>
      <c r="D91" s="2" t="str">
        <f t="shared" si="0"/>
        <v>Error?</v>
      </c>
      <c r="G91" s="1899">
        <v>102640400</v>
      </c>
    </row>
    <row r="92" spans="1:7" ht="15" x14ac:dyDescent="0.25">
      <c r="A92" s="5">
        <v>31</v>
      </c>
      <c r="B92" s="1832">
        <f>'Assets-Liab 5-6'!C39</f>
        <v>1363177</v>
      </c>
      <c r="D92" s="2" t="str">
        <f t="shared" si="0"/>
        <v>Error?</v>
      </c>
      <c r="G92" s="1899">
        <v>102640600</v>
      </c>
    </row>
    <row r="93" spans="1:7" ht="15" x14ac:dyDescent="0.25">
      <c r="A93" s="5">
        <v>32</v>
      </c>
      <c r="B93" s="1832">
        <f>'Assets-Liab 5-6'!C41</f>
        <v>1367363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2489988</v>
      </c>
      <c r="D274" s="2" t="str">
        <f t="shared" si="3"/>
        <v>Error?</v>
      </c>
    </row>
    <row r="275" spans="1:4" x14ac:dyDescent="0.2">
      <c r="A275" s="5">
        <v>214</v>
      </c>
      <c r="B275" s="1832">
        <f>'Assets-Liab 5-6'!M18</f>
        <v>6382</v>
      </c>
      <c r="D275" s="2" t="str">
        <f t="shared" si="3"/>
        <v>Error?</v>
      </c>
    </row>
    <row r="276" spans="1:4" x14ac:dyDescent="0.2">
      <c r="A276" s="5">
        <v>215</v>
      </c>
      <c r="B276" s="1832">
        <f>'Assets-Liab 5-6'!M19</f>
        <v>835552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3331922</v>
      </c>
      <c r="C279" s="2" t="s">
        <v>569</v>
      </c>
      <c r="D279" s="2" t="str">
        <f t="shared" si="3"/>
        <v>Error?</v>
      </c>
    </row>
    <row r="280" spans="1:4" x14ac:dyDescent="0.2">
      <c r="A280" s="5">
        <v>219</v>
      </c>
      <c r="B280" s="1832">
        <f>'Assets-Liab 5-6'!M40</f>
        <v>3331922</v>
      </c>
      <c r="D280" s="2" t="str">
        <f t="shared" si="3"/>
        <v>Error?</v>
      </c>
    </row>
    <row r="281" spans="1:4" x14ac:dyDescent="0.2">
      <c r="A281" s="5">
        <v>220</v>
      </c>
      <c r="B281" s="1832">
        <f>'Assets-Liab 5-6'!M41</f>
        <v>3331922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74803</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1862603</v>
      </c>
      <c r="C720" s="2" t="s">
        <v>569</v>
      </c>
      <c r="D720" s="2" t="str">
        <f t="shared" si="10"/>
        <v>Error?</v>
      </c>
    </row>
    <row r="721" spans="1:4" x14ac:dyDescent="0.2">
      <c r="A721" s="5">
        <v>660</v>
      </c>
      <c r="B721" s="1832">
        <f>'Expenditures 15-22'!C36</f>
        <v>301038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384757</v>
      </c>
      <c r="D723" s="2" t="str">
        <f t="shared" si="10"/>
        <v>Error?</v>
      </c>
    </row>
    <row r="724" spans="1:4" x14ac:dyDescent="0.2">
      <c r="A724" s="5">
        <v>663</v>
      </c>
      <c r="B724" s="1832">
        <f>'Expenditures 15-22'!C39</f>
        <v>454444</v>
      </c>
      <c r="D724" s="2" t="str">
        <f t="shared" si="10"/>
        <v>Error?</v>
      </c>
    </row>
    <row r="725" spans="1:4" x14ac:dyDescent="0.2">
      <c r="A725" s="5">
        <v>664</v>
      </c>
      <c r="B725" s="1832">
        <f>'Expenditures 15-22'!C40</f>
        <v>343286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1483525</v>
      </c>
      <c r="C727" s="2" t="s">
        <v>569</v>
      </c>
      <c r="D727" s="2" t="str">
        <f t="shared" si="10"/>
        <v>Error?</v>
      </c>
    </row>
    <row r="728" spans="1:4" x14ac:dyDescent="0.2">
      <c r="A728" s="5">
        <v>667</v>
      </c>
      <c r="B728" s="1832">
        <f>'Expenditures 15-22'!C44</f>
        <v>51509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51509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154622</v>
      </c>
      <c r="D733" s="2" t="str">
        <f t="shared" si="10"/>
        <v>Error?</v>
      </c>
    </row>
    <row r="734" spans="1:4" x14ac:dyDescent="0.2">
      <c r="A734" s="5">
        <v>673</v>
      </c>
      <c r="B734" s="1832">
        <f>'Expenditures 15-22'!C53</f>
        <v>878876</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2413910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4276513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9271</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350687</v>
      </c>
      <c r="C778" s="2" t="s">
        <v>569</v>
      </c>
      <c r="D778" s="2" t="str">
        <f t="shared" si="11"/>
        <v>Error?</v>
      </c>
    </row>
    <row r="779" spans="1:4" x14ac:dyDescent="0.2">
      <c r="A779" s="5">
        <v>718</v>
      </c>
      <c r="B779" s="1832">
        <f>'Expenditures 15-22'!D36</f>
        <v>37564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78789</v>
      </c>
      <c r="D781" s="2" t="str">
        <f t="shared" si="11"/>
        <v>Error?</v>
      </c>
    </row>
    <row r="782" spans="1:4" x14ac:dyDescent="0.2">
      <c r="A782" s="5">
        <v>721</v>
      </c>
      <c r="B782" s="1832">
        <f>'Expenditures 15-22'!D39</f>
        <v>54048</v>
      </c>
      <c r="D782" s="2" t="str">
        <f t="shared" si="11"/>
        <v>Error?</v>
      </c>
    </row>
    <row r="783" spans="1:4" x14ac:dyDescent="0.2">
      <c r="A783" s="5">
        <v>722</v>
      </c>
      <c r="B783" s="1832">
        <f>'Expenditures 15-22'!D40</f>
        <v>22826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193227</v>
      </c>
      <c r="C785" s="2" t="s">
        <v>569</v>
      </c>
      <c r="D785" s="2" t="str">
        <f t="shared" si="11"/>
        <v>Error?</v>
      </c>
    </row>
    <row r="786" spans="1:4" x14ac:dyDescent="0.2">
      <c r="A786" s="5">
        <v>725</v>
      </c>
      <c r="B786" s="1832">
        <f>'Expenditures 15-22'!D44</f>
        <v>8453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8453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21770</v>
      </c>
      <c r="D791" s="2" t="str">
        <f t="shared" si="11"/>
        <v>Error?</v>
      </c>
    </row>
    <row r="792" spans="1:4" x14ac:dyDescent="0.2">
      <c r="A792" s="5">
        <v>731</v>
      </c>
      <c r="B792" s="1832">
        <f>'Expenditures 15-22'!D53</f>
        <v>112002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313682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664369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14991</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40551</v>
      </c>
      <c r="C836" s="2" t="s">
        <v>569</v>
      </c>
      <c r="D836" s="2" t="str">
        <f t="shared" si="12"/>
        <v>Error?</v>
      </c>
    </row>
    <row r="837" spans="1:4" x14ac:dyDescent="0.2">
      <c r="A837" s="5">
        <v>776</v>
      </c>
      <c r="B837" s="1832">
        <f>'Expenditures 15-22'!E36</f>
        <v>10699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20952</v>
      </c>
      <c r="D839" s="2" t="str">
        <f t="shared" si="12"/>
        <v>Error?</v>
      </c>
    </row>
    <row r="840" spans="1:4" x14ac:dyDescent="0.2">
      <c r="A840" s="5">
        <v>779</v>
      </c>
      <c r="B840" s="1832">
        <f>'Expenditures 15-22'!E39</f>
        <v>28397</v>
      </c>
      <c r="D840" s="2" t="str">
        <f t="shared" si="12"/>
        <v>Error?</v>
      </c>
    </row>
    <row r="841" spans="1:4" x14ac:dyDescent="0.2">
      <c r="A841" s="5">
        <v>780</v>
      </c>
      <c r="B841" s="1832">
        <f>'Expenditures 15-22'!E40</f>
        <v>19274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79322</v>
      </c>
      <c r="C843" s="2" t="s">
        <v>569</v>
      </c>
      <c r="D843" s="2" t="str">
        <f t="shared" si="12"/>
        <v>Error?</v>
      </c>
    </row>
    <row r="844" spans="1:4" x14ac:dyDescent="0.2">
      <c r="A844" s="5">
        <v>783</v>
      </c>
      <c r="B844" s="1832">
        <f>'Expenditures 15-22'!E44</f>
        <v>76721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76721</v>
      </c>
      <c r="C847" s="2" t="s">
        <v>569</v>
      </c>
      <c r="D847" s="2" t="str">
        <f t="shared" si="12"/>
        <v>Error?</v>
      </c>
    </row>
    <row r="848" spans="1:4" x14ac:dyDescent="0.2">
      <c r="A848" s="5">
        <v>787</v>
      </c>
      <c r="B848" s="1832">
        <f>'Expenditures 15-22'!E49</f>
        <v>5017</v>
      </c>
      <c r="D848" s="2" t="str">
        <f t="shared" si="12"/>
        <v>Error?</v>
      </c>
    </row>
    <row r="849" spans="1:4" x14ac:dyDescent="0.2">
      <c r="A849" s="5">
        <v>788</v>
      </c>
      <c r="B849" s="1832">
        <f>'Expenditures 15-22'!E50</f>
        <v>9991</v>
      </c>
      <c r="D849" s="2" t="str">
        <f t="shared" si="12"/>
        <v>Error?</v>
      </c>
    </row>
    <row r="850" spans="1:4" x14ac:dyDescent="0.2">
      <c r="A850" s="5">
        <v>789</v>
      </c>
      <c r="B850" s="1832">
        <f>'Expenditures 15-22'!E53</f>
        <v>115009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5470</v>
      </c>
      <c r="D855" s="2" t="str">
        <f t="shared" si="12"/>
        <v>Error?</v>
      </c>
    </row>
    <row r="856" spans="1:4" x14ac:dyDescent="0.2">
      <c r="A856" s="5">
        <v>795</v>
      </c>
      <c r="B856" s="1832">
        <f>'Expenditures 15-22'!E61</f>
        <v>241199</v>
      </c>
      <c r="D856" s="2" t="str">
        <f t="shared" si="12"/>
        <v>Error?</v>
      </c>
    </row>
    <row r="857" spans="1:4" x14ac:dyDescent="0.2">
      <c r="A857" s="5">
        <v>796</v>
      </c>
      <c r="B857" s="1832">
        <f>'Expenditures 15-22'!E62</f>
        <v>6524</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1057</v>
      </c>
      <c r="D859" s="2" t="str">
        <f t="shared" si="12"/>
        <v>Error?</v>
      </c>
    </row>
    <row r="860" spans="1:4" x14ac:dyDescent="0.2">
      <c r="A860" s="10">
        <v>799</v>
      </c>
      <c r="B860" s="1832"/>
      <c r="D860" s="2" t="str">
        <f t="shared" si="12"/>
        <v>OK</v>
      </c>
    </row>
    <row r="861" spans="1:4" x14ac:dyDescent="0.2">
      <c r="A861" s="5">
        <v>800</v>
      </c>
      <c r="B861" s="1832">
        <f>'Expenditures 15-22'!E65</f>
        <v>254250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1225</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1225</v>
      </c>
      <c r="C869" s="2" t="s">
        <v>569</v>
      </c>
      <c r="D869" s="2" t="str">
        <f t="shared" si="12"/>
        <v>Error?</v>
      </c>
    </row>
    <row r="870" spans="1:4" x14ac:dyDescent="0.2">
      <c r="A870" s="5">
        <v>809</v>
      </c>
      <c r="B870" s="1832">
        <f>'Expenditures 15-22'!E73</f>
        <v>9980</v>
      </c>
      <c r="D870" s="2" t="str">
        <f t="shared" si="12"/>
        <v>Error?</v>
      </c>
    </row>
    <row r="871" spans="1:4" x14ac:dyDescent="0.2">
      <c r="A871" s="5">
        <v>810</v>
      </c>
      <c r="B871" s="1832">
        <f>'Expenditures 15-22'!E74</f>
        <v>536507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577632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4550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19931</v>
      </c>
      <c r="C894" s="2" t="s">
        <v>569</v>
      </c>
      <c r="D894" s="2" t="str">
        <f t="shared" si="12"/>
        <v>Error?</v>
      </c>
    </row>
    <row r="895" spans="1:4" x14ac:dyDescent="0.2">
      <c r="A895" s="5">
        <v>834</v>
      </c>
      <c r="B895" s="1832">
        <f>'Expenditures 15-22'!F36</f>
        <v>885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2998</v>
      </c>
      <c r="D897" s="2" t="str">
        <f t="shared" si="13"/>
        <v>Error?</v>
      </c>
    </row>
    <row r="898" spans="1:4" x14ac:dyDescent="0.2">
      <c r="A898" s="5">
        <v>837</v>
      </c>
      <c r="B898" s="1832">
        <f>'Expenditures 15-22'!F39</f>
        <v>5572</v>
      </c>
      <c r="D898" s="2" t="str">
        <f t="shared" si="13"/>
        <v>Error?</v>
      </c>
    </row>
    <row r="899" spans="1:4" x14ac:dyDescent="0.2">
      <c r="A899" s="5">
        <v>838</v>
      </c>
      <c r="B899" s="1832">
        <f>'Expenditures 15-22'!F40</f>
        <v>7049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16504</v>
      </c>
      <c r="C901" s="2" t="s">
        <v>569</v>
      </c>
      <c r="D901" s="2" t="str">
        <f t="shared" si="13"/>
        <v>Error?</v>
      </c>
    </row>
    <row r="902" spans="1:4" x14ac:dyDescent="0.2">
      <c r="A902" s="5">
        <v>841</v>
      </c>
      <c r="B902" s="1832">
        <f>'Expenditures 15-22'!F44</f>
        <v>19240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19240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3966</v>
      </c>
      <c r="D907" s="2" t="str">
        <f t="shared" si="13"/>
        <v>Error?</v>
      </c>
    </row>
    <row r="908" spans="1:4" x14ac:dyDescent="0.2">
      <c r="A908" s="5">
        <v>847</v>
      </c>
      <c r="B908" s="1832">
        <f>'Expenditures 15-22'!F53</f>
        <v>8540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51487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51487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63032</v>
      </c>
      <c r="D928" s="2" t="str">
        <f t="shared" si="13"/>
        <v>Error?</v>
      </c>
    </row>
    <row r="929" spans="1:4" x14ac:dyDescent="0.2">
      <c r="A929" s="5">
        <v>868</v>
      </c>
      <c r="B929" s="1832">
        <f>'Expenditures 15-22'!F74</f>
        <v>158803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178734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1498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47723</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47723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57946</v>
      </c>
      <c r="D986" s="2" t="str">
        <f t="shared" si="14"/>
        <v>Error?</v>
      </c>
    </row>
    <row r="987" spans="1:4" x14ac:dyDescent="0.2">
      <c r="A987" s="5">
        <v>926</v>
      </c>
      <c r="B987" s="1832">
        <f>'Expenditures 15-22'!G74</f>
        <v>107167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107167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2829</v>
      </c>
      <c r="D1023" s="2" t="str">
        <f t="shared" ref="D1023:D1086" si="15">IF(ISBLANK(B1023),"OK",IF(A1023-B1023=0,"OK","Error?"))</f>
        <v>Error?</v>
      </c>
    </row>
    <row r="1024" spans="1:4" x14ac:dyDescent="0.2">
      <c r="A1024" s="5">
        <v>963</v>
      </c>
      <c r="B1024" s="1832">
        <f>'Expenditures 15-22'!H53</f>
        <v>2829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2829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849085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851914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103615</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2273772</v>
      </c>
      <c r="C1108" s="2" t="s">
        <v>569</v>
      </c>
      <c r="D1108" s="2" t="str">
        <f t="shared" si="16"/>
        <v>Error?</v>
      </c>
    </row>
    <row r="1109" spans="1:4" x14ac:dyDescent="0.2">
      <c r="A1109" s="5">
        <v>1048</v>
      </c>
      <c r="B1109" s="1832">
        <f>'Expenditures 15-22'!K36</f>
        <v>350186</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487496</v>
      </c>
      <c r="C1111" s="2" t="s">
        <v>569</v>
      </c>
      <c r="D1111" s="2" t="str">
        <f t="shared" si="16"/>
        <v>Error?</v>
      </c>
    </row>
    <row r="1112" spans="1:4" x14ac:dyDescent="0.2">
      <c r="A1112" s="5">
        <v>1051</v>
      </c>
      <c r="B1112" s="1832">
        <f>'Expenditures 15-22'!K39</f>
        <v>542461</v>
      </c>
      <c r="C1112" s="2" t="s">
        <v>569</v>
      </c>
      <c r="D1112" s="2" t="str">
        <f t="shared" si="16"/>
        <v>Error?</v>
      </c>
    </row>
    <row r="1113" spans="1:4" x14ac:dyDescent="0.2">
      <c r="A1113" s="5">
        <v>1052</v>
      </c>
      <c r="B1113" s="1832">
        <f>'Expenditures 15-22'!K40</f>
        <v>392435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1772578</v>
      </c>
      <c r="C1115" s="2" t="s">
        <v>569</v>
      </c>
      <c r="D1115" s="2" t="str">
        <f t="shared" si="16"/>
        <v>Error?</v>
      </c>
    </row>
    <row r="1116" spans="1:4" x14ac:dyDescent="0.2">
      <c r="A1116" s="5">
        <v>1055</v>
      </c>
      <c r="B1116" s="1832">
        <f>'Expenditures 15-22'!K44</f>
        <v>155923</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155923</v>
      </c>
      <c r="C1119" s="2" t="s">
        <v>569</v>
      </c>
      <c r="D1119" s="2" t="str">
        <f t="shared" si="16"/>
        <v>Error?</v>
      </c>
    </row>
    <row r="1120" spans="1:4" x14ac:dyDescent="0.2">
      <c r="A1120" s="5">
        <v>1059</v>
      </c>
      <c r="B1120" s="1832">
        <f>'Expenditures 15-22'!K49</f>
        <v>5017</v>
      </c>
      <c r="C1120" s="2" t="s">
        <v>569</v>
      </c>
      <c r="D1120" s="2" t="str">
        <f t="shared" si="16"/>
        <v>Error?</v>
      </c>
    </row>
    <row r="1121" spans="1:4" x14ac:dyDescent="0.2">
      <c r="A1121" s="5">
        <v>1060</v>
      </c>
      <c r="B1121" s="1832">
        <f>'Expenditures 15-22'!K50</f>
        <v>193178</v>
      </c>
      <c r="C1121" s="2" t="s">
        <v>569</v>
      </c>
      <c r="D1121" s="2" t="str">
        <f t="shared" si="16"/>
        <v>Error?</v>
      </c>
    </row>
    <row r="1122" spans="1:4" x14ac:dyDescent="0.2">
      <c r="A1122" s="5">
        <v>1061</v>
      </c>
      <c r="B1122" s="1832">
        <f>'Expenditures 15-22'!K53</f>
        <v>1118754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5470</v>
      </c>
      <c r="C1127" s="2" t="s">
        <v>569</v>
      </c>
      <c r="D1127" s="2" t="str">
        <f t="shared" si="16"/>
        <v>Error?</v>
      </c>
    </row>
    <row r="1128" spans="1:4" x14ac:dyDescent="0.2">
      <c r="A1128" s="5">
        <v>1067</v>
      </c>
      <c r="B1128" s="1832">
        <f>'Expenditures 15-22'!K61</f>
        <v>340409</v>
      </c>
      <c r="C1128" s="2" t="s">
        <v>569</v>
      </c>
      <c r="D1128" s="2" t="str">
        <f t="shared" si="16"/>
        <v>Error?</v>
      </c>
    </row>
    <row r="1129" spans="1:4" x14ac:dyDescent="0.2">
      <c r="A1129" s="5">
        <v>1068</v>
      </c>
      <c r="B1129" s="1832">
        <f>'Expenditures 15-22'!K62</f>
        <v>6524</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1057</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353460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1225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1225</v>
      </c>
      <c r="C1141" s="2" t="s">
        <v>569</v>
      </c>
      <c r="D1141" s="2" t="str">
        <f t="shared" si="16"/>
        <v>Error?</v>
      </c>
    </row>
    <row r="1142" spans="1:4" x14ac:dyDescent="0.2">
      <c r="A1142" s="5">
        <v>1081</v>
      </c>
      <c r="B1142" s="1832">
        <f>'Expenditures 15-22'!K73</f>
        <v>130958</v>
      </c>
      <c r="C1142" s="2" t="s">
        <v>569</v>
      </c>
      <c r="D1142" s="2" t="str">
        <f t="shared" si="16"/>
        <v>Error?</v>
      </c>
    </row>
    <row r="1143" spans="1:4" x14ac:dyDescent="0.2">
      <c r="A1143" s="5">
        <v>1082</v>
      </c>
      <c r="B1143" s="1832">
        <f>'Expenditures 15-22'!K74</f>
        <v>3532898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849659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6656329</v>
      </c>
      <c r="C1152" s="2" t="s">
        <v>569</v>
      </c>
      <c r="D1152" s="2" t="str">
        <f t="shared" si="17"/>
        <v>Error?</v>
      </c>
    </row>
    <row r="1153" spans="1:4" x14ac:dyDescent="0.2">
      <c r="A1153" s="5">
        <v>1092</v>
      </c>
      <c r="B1153" s="1832">
        <f>'Expenditures 15-22'!K115</f>
        <v>434809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928368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1363177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2440767</v>
      </c>
      <c r="D2009" s="2" t="str">
        <f t="shared" si="30"/>
        <v>Error?</v>
      </c>
    </row>
    <row r="2010" spans="1:4" x14ac:dyDescent="0.2">
      <c r="A2010" s="5">
        <v>1949</v>
      </c>
      <c r="B2010" s="1832">
        <f>'Cap Outlay Deprec 26'!C10</f>
        <v>6382</v>
      </c>
      <c r="D2010" s="2" t="str">
        <f t="shared" si="30"/>
        <v>Error?</v>
      </c>
    </row>
    <row r="2011" spans="1:4" x14ac:dyDescent="0.2">
      <c r="A2011" s="5">
        <v>1950</v>
      </c>
      <c r="B2011" s="1832">
        <f>'Cap Outlay Deprec 26'!C12</f>
        <v>647947</v>
      </c>
      <c r="D2011" s="2" t="str">
        <f t="shared" si="30"/>
        <v>Error?</v>
      </c>
    </row>
    <row r="2012" spans="1:4" x14ac:dyDescent="0.2">
      <c r="A2012" s="5">
        <v>1951</v>
      </c>
      <c r="B2012" s="1832">
        <f>'Cap Outlay Deprec 26'!C13</f>
        <v>147082</v>
      </c>
      <c r="D2012" s="2" t="str">
        <f t="shared" si="30"/>
        <v>Error?</v>
      </c>
    </row>
    <row r="2013" spans="1:4" x14ac:dyDescent="0.2">
      <c r="A2013" s="5">
        <v>1952</v>
      </c>
      <c r="B2013" s="1832">
        <f>'Cap Outlay Deprec 26'!C16</f>
        <v>3242178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49221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10083</v>
      </c>
      <c r="D2017" s="2" t="str">
        <f t="shared" si="30"/>
        <v>Error?</v>
      </c>
    </row>
    <row r="2018" spans="1:4" x14ac:dyDescent="0.2">
      <c r="A2018" s="5">
        <v>1957</v>
      </c>
      <c r="B2018" s="1832">
        <f>'Cap Outlay Deprec 26'!D13</f>
        <v>47863</v>
      </c>
      <c r="D2018" s="2" t="str">
        <f t="shared" si="30"/>
        <v>Error?</v>
      </c>
    </row>
    <row r="2019" spans="1:4" x14ac:dyDescent="0.2">
      <c r="A2019" s="5">
        <v>1958</v>
      </c>
      <c r="B2019" s="1832">
        <f>'Cap Outlay Deprec 26'!D16</f>
        <v>107167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17423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17423</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2489988</v>
      </c>
      <c r="C2027" s="2" t="s">
        <v>569</v>
      </c>
      <c r="D2027" s="2" t="str">
        <f t="shared" si="30"/>
        <v>Error?</v>
      </c>
    </row>
    <row r="2028" spans="1:4" x14ac:dyDescent="0.2">
      <c r="A2028" s="5">
        <v>1967</v>
      </c>
      <c r="B2028" s="1832">
        <f>'Cap Outlay Deprec 26'!F10</f>
        <v>6382</v>
      </c>
      <c r="C2028" s="2" t="s">
        <v>569</v>
      </c>
      <c r="D2028" s="2" t="str">
        <f t="shared" si="30"/>
        <v>Error?</v>
      </c>
    </row>
    <row r="2029" spans="1:4" x14ac:dyDescent="0.2">
      <c r="A2029" s="5">
        <v>1968</v>
      </c>
      <c r="B2029" s="1832">
        <f>'Cap Outlay Deprec 26'!F12</f>
        <v>640607</v>
      </c>
      <c r="C2029" s="2" t="s">
        <v>569</v>
      </c>
      <c r="D2029" s="2" t="str">
        <f t="shared" si="30"/>
        <v>Error?</v>
      </c>
    </row>
    <row r="2030" spans="1:4" x14ac:dyDescent="0.2">
      <c r="A2030" s="5">
        <v>1969</v>
      </c>
      <c r="B2030" s="1832">
        <f>'Cap Outlay Deprec 26'!F13</f>
        <v>194945</v>
      </c>
      <c r="C2030" s="2" t="s">
        <v>569</v>
      </c>
      <c r="D2030" s="2" t="str">
        <f t="shared" si="30"/>
        <v>Error?</v>
      </c>
    </row>
    <row r="2031" spans="1:4" x14ac:dyDescent="0.2">
      <c r="A2031" s="5">
        <v>1970</v>
      </c>
      <c r="B2031" s="1832">
        <f>'Cap Outlay Deprec 26'!F16</f>
        <v>3331922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659443</v>
      </c>
      <c r="D2033" s="2" t="str">
        <f t="shared" si="30"/>
        <v>Error?</v>
      </c>
    </row>
    <row r="2034" spans="1:4" x14ac:dyDescent="0.2">
      <c r="A2034" s="5">
        <v>1973</v>
      </c>
      <c r="B2034" s="1832">
        <f>'Cap Outlay Deprec 26'!H10</f>
        <v>6382</v>
      </c>
      <c r="D2034" s="2" t="str">
        <f t="shared" si="30"/>
        <v>Error?</v>
      </c>
    </row>
    <row r="2035" spans="1:4" x14ac:dyDescent="0.2">
      <c r="A2035" s="5">
        <v>1974</v>
      </c>
      <c r="B2035" s="1832">
        <f>'Cap Outlay Deprec 26'!H12</f>
        <v>533704</v>
      </c>
      <c r="D2035" s="2" t="str">
        <f t="shared" si="30"/>
        <v>Error?</v>
      </c>
    </row>
    <row r="2036" spans="1:4" x14ac:dyDescent="0.2">
      <c r="A2036" s="5">
        <v>1975</v>
      </c>
      <c r="B2036" s="1832">
        <f>'Cap Outlay Deprec 26'!H13</f>
        <v>26791</v>
      </c>
      <c r="D2036" s="2" t="str">
        <f t="shared" si="30"/>
        <v>Error?</v>
      </c>
    </row>
    <row r="2037" spans="1:4" x14ac:dyDescent="0.2">
      <c r="A2037" s="5">
        <v>1976</v>
      </c>
      <c r="B2037" s="1832">
        <f>'Cap Outlay Deprec 26'!H16</f>
        <v>1226320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49441</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53188</v>
      </c>
      <c r="D2041" s="2" t="str">
        <f t="shared" si="30"/>
        <v>Error?</v>
      </c>
    </row>
    <row r="2042" spans="1:4" x14ac:dyDescent="0.2">
      <c r="A2042" s="5">
        <v>1981</v>
      </c>
      <c r="B2042" s="1832">
        <f>'Cap Outlay Deprec 26'!I13</f>
        <v>32271</v>
      </c>
      <c r="D2042" s="2" t="str">
        <f t="shared" si="30"/>
        <v>Error?</v>
      </c>
    </row>
    <row r="2043" spans="1:4" x14ac:dyDescent="0.2">
      <c r="A2043" s="5">
        <v>1982</v>
      </c>
      <c r="B2043" s="1832">
        <f>'Cap Outlay Deprec 26'!I16</f>
        <v>134900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17423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17423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708884</v>
      </c>
      <c r="C2051" s="2" t="s">
        <v>569</v>
      </c>
      <c r="D2051" s="2" t="str">
        <f t="shared" si="31"/>
        <v>Error?</v>
      </c>
    </row>
    <row r="2052" spans="1:4" x14ac:dyDescent="0.2">
      <c r="A2052" s="5">
        <v>1991</v>
      </c>
      <c r="B2052" s="1832">
        <f>'Cap Outlay Deprec 26'!K10</f>
        <v>6382</v>
      </c>
      <c r="C2052" s="2" t="s">
        <v>569</v>
      </c>
      <c r="D2052" s="2" t="str">
        <f t="shared" si="31"/>
        <v>Error?</v>
      </c>
    </row>
    <row r="2053" spans="1:4" x14ac:dyDescent="0.2">
      <c r="A2053" s="5">
        <v>1992</v>
      </c>
      <c r="B2053" s="1832">
        <f>'Cap Outlay Deprec 26'!K12</f>
        <v>569469</v>
      </c>
      <c r="C2053" s="2" t="s">
        <v>569</v>
      </c>
      <c r="D2053" s="2" t="str">
        <f t="shared" si="31"/>
        <v>Error?</v>
      </c>
    </row>
    <row r="2054" spans="1:4" x14ac:dyDescent="0.2">
      <c r="A2054" s="5">
        <v>1993</v>
      </c>
      <c r="B2054" s="1832">
        <f>'Cap Outlay Deprec 26'!K13</f>
        <v>59062</v>
      </c>
      <c r="C2054" s="2" t="s">
        <v>569</v>
      </c>
      <c r="D2054" s="2" t="str">
        <f t="shared" si="31"/>
        <v>Error?</v>
      </c>
    </row>
    <row r="2055" spans="1:4" x14ac:dyDescent="0.2">
      <c r="A2055" s="5">
        <v>1994</v>
      </c>
      <c r="B2055" s="1832">
        <f>'Cap Outlay Deprec 26'!K16</f>
        <v>1343797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1781104</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71138</v>
      </c>
      <c r="C2059" s="2" t="s">
        <v>569</v>
      </c>
      <c r="D2059" s="2" t="str">
        <f t="shared" si="31"/>
        <v>Error?</v>
      </c>
    </row>
    <row r="2060" spans="1:4" x14ac:dyDescent="0.2">
      <c r="A2060" s="5">
        <v>1999</v>
      </c>
      <c r="B2060" s="1832">
        <f>'Cap Outlay Deprec 26'!L13</f>
        <v>135883</v>
      </c>
      <c r="C2060" s="2" t="s">
        <v>569</v>
      </c>
      <c r="D2060" s="2" t="str">
        <f t="shared" si="31"/>
        <v>Error?</v>
      </c>
    </row>
    <row r="2061" spans="1:4" x14ac:dyDescent="0.2">
      <c r="A2061" s="5">
        <v>2000</v>
      </c>
      <c r="B2061" s="1832">
        <f>'Cap Outlay Deprec 26'!L16</f>
        <v>1988125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849085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849659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5564366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637732</v>
      </c>
      <c r="C2553" s="2" t="s">
        <v>569</v>
      </c>
      <c r="D2553" s="2" t="str">
        <f t="shared" si="38"/>
        <v>Error?</v>
      </c>
    </row>
    <row r="2554" spans="1:4" x14ac:dyDescent="0.2">
      <c r="A2554" s="5">
        <v>2493</v>
      </c>
      <c r="B2554" s="1832">
        <f>'Acct Summary 7-8'!C7</f>
        <v>889040</v>
      </c>
      <c r="C2554" s="2" t="s">
        <v>569</v>
      </c>
      <c r="D2554" s="2" t="str">
        <f t="shared" si="38"/>
        <v>Error?</v>
      </c>
    </row>
    <row r="2555" spans="1:4" x14ac:dyDescent="0.2">
      <c r="A2555" s="5">
        <v>2494</v>
      </c>
      <c r="B2555" s="1832">
        <f>'Acct Summary 7-8'!C8</f>
        <v>7091138</v>
      </c>
      <c r="C2555" s="2" t="s">
        <v>569</v>
      </c>
      <c r="D2555" s="2" t="str">
        <f t="shared" si="38"/>
        <v>Error?</v>
      </c>
    </row>
    <row r="2556" spans="1:4" x14ac:dyDescent="0.2">
      <c r="A2556" s="5">
        <v>2495</v>
      </c>
      <c r="B2556" s="1832">
        <f>'Acct Summary 7-8'!C12</f>
        <v>2273772</v>
      </c>
      <c r="C2556" s="2" t="s">
        <v>569</v>
      </c>
      <c r="D2556" s="2" t="str">
        <f t="shared" si="38"/>
        <v>Error?</v>
      </c>
    </row>
    <row r="2557" spans="1:4" x14ac:dyDescent="0.2">
      <c r="A2557" s="5">
        <v>2496</v>
      </c>
      <c r="B2557" s="1832">
        <f>'Acct Summary 7-8'!C13</f>
        <v>3532898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849659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6656329</v>
      </c>
      <c r="C2561" s="2" t="s">
        <v>569</v>
      </c>
      <c r="D2561" s="2" t="str">
        <f t="shared" si="39"/>
        <v>Error?</v>
      </c>
    </row>
    <row r="2562" spans="1:4" x14ac:dyDescent="0.2">
      <c r="A2562" s="5">
        <v>2501</v>
      </c>
      <c r="B2562" s="1832">
        <f>'Acct Summary 7-8'!C20</f>
        <v>434809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724254</v>
      </c>
      <c r="D2718" s="2" t="str">
        <f t="shared" si="41"/>
        <v>Error?</v>
      </c>
    </row>
    <row r="2719" spans="1:4" x14ac:dyDescent="0.2">
      <c r="A2719" s="5">
        <v>2658</v>
      </c>
      <c r="B2719" s="1832">
        <f>'Expenditures 15-22'!D51</f>
        <v>90232</v>
      </c>
      <c r="D2719" s="2" t="str">
        <f t="shared" si="41"/>
        <v>Error?</v>
      </c>
    </row>
    <row r="2720" spans="1:4" x14ac:dyDescent="0.2">
      <c r="A2720" s="5">
        <v>2659</v>
      </c>
      <c r="B2720" s="1832">
        <f>'Expenditures 15-22'!E51</f>
        <v>100001</v>
      </c>
      <c r="D2720" s="2" t="str">
        <f t="shared" si="41"/>
        <v>Error?</v>
      </c>
    </row>
    <row r="2721" spans="1:4" x14ac:dyDescent="0.2">
      <c r="A2721" s="5">
        <v>2660</v>
      </c>
      <c r="B2721" s="1832">
        <f>'Expenditures 15-22'!F51</f>
        <v>4574</v>
      </c>
      <c r="D2721" s="2" t="str">
        <f t="shared" si="41"/>
        <v>Error?</v>
      </c>
    </row>
    <row r="2722" spans="1:4" x14ac:dyDescent="0.2">
      <c r="A2722" s="5">
        <v>2661</v>
      </c>
      <c r="B2722" s="1832">
        <f>'Expenditures 15-22'!G51</f>
        <v>1498</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920559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574</v>
      </c>
      <c r="C2789" s="2" t="s">
        <v>569</v>
      </c>
      <c r="D2789" s="2" t="str">
        <f t="shared" si="42"/>
        <v>Error?</v>
      </c>
    </row>
    <row r="2790" spans="1:4" x14ac:dyDescent="0.2">
      <c r="A2790" s="5">
        <v>2729</v>
      </c>
      <c r="B2790" s="1832">
        <f>'Expenditures 15-22'!E102</f>
        <v>574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574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849085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849659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434809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1392142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285868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23335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12307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1713652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1367363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2358517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9449655</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2358517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9014846</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1363177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58914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195013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45900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5541108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5541108</v>
      </c>
      <c r="C5087" s="2" t="s">
        <v>569</v>
      </c>
      <c r="D5087" s="2" t="str">
        <f t="shared" si="78"/>
        <v>Error?</v>
      </c>
    </row>
    <row r="5088" spans="1:4" x14ac:dyDescent="0.2">
      <c r="A5088" s="5">
        <v>5027</v>
      </c>
      <c r="B5088" s="1832">
        <f>'Revenues 9-14'!C65</f>
        <v>18117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18117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5141</v>
      </c>
      <c r="D5119" s="2" t="str">
        <f t="shared" ref="D5119:D5182" si="79">IF(ISBLANK(B5119),"OK",IF(A5119-B5119=0,"OK","Error?"))</f>
        <v>Error?</v>
      </c>
    </row>
    <row r="5120" spans="1:4" x14ac:dyDescent="0.2">
      <c r="A5120" s="5">
        <v>5059</v>
      </c>
      <c r="B5120" s="1832">
        <f>'Revenues 9-14'!C108</f>
        <v>5141</v>
      </c>
      <c r="C5120" s="2" t="s">
        <v>569</v>
      </c>
      <c r="D5120" s="2" t="str">
        <f t="shared" si="79"/>
        <v>Error?</v>
      </c>
    </row>
    <row r="5121" spans="1:4" x14ac:dyDescent="0.2">
      <c r="A5121" s="5">
        <v>5060</v>
      </c>
      <c r="B5121" s="1832">
        <f>'Revenues 9-14'!C109</f>
        <v>5564366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591832</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591832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637732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637732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34003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601110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635113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889040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889040</v>
      </c>
      <c r="C5326" s="2" t="s">
        <v>569</v>
      </c>
      <c r="D5326" s="2" t="str">
        <f t="shared" si="82"/>
        <v>Error?</v>
      </c>
    </row>
    <row r="5327" spans="1:5" x14ac:dyDescent="0.2">
      <c r="A5327" s="5">
        <v>5266</v>
      </c>
      <c r="B5327" s="1832">
        <f>'Revenues 9-14'!C268</f>
        <v>7091138</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434809</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0.3189673828123567</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456505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395658</v>
      </c>
      <c r="D7251" s="2" t="str">
        <f t="shared" si="112"/>
        <v>Error?</v>
      </c>
    </row>
    <row r="7252" spans="1:4" x14ac:dyDescent="0.2">
      <c r="A7252">
        <f t="shared" si="113"/>
        <v>7191</v>
      </c>
      <c r="B7252" s="1832">
        <f>'Expenditures 15-22'!D9</f>
        <v>55548</v>
      </c>
      <c r="D7252" s="2" t="str">
        <f t="shared" si="112"/>
        <v>Error?</v>
      </c>
    </row>
    <row r="7253" spans="1:4" x14ac:dyDescent="0.2">
      <c r="A7253">
        <f t="shared" si="113"/>
        <v>7192</v>
      </c>
      <c r="B7253" s="1832">
        <f>'Expenditures 15-22'!E9</f>
        <v>2225</v>
      </c>
      <c r="D7253" s="2" t="str">
        <f t="shared" si="112"/>
        <v>Error?</v>
      </c>
    </row>
    <row r="7254" spans="1:4" x14ac:dyDescent="0.2">
      <c r="A7254">
        <f t="shared" si="113"/>
        <v>7193</v>
      </c>
      <c r="B7254" s="1832">
        <f>'Expenditures 15-22'!F9</f>
        <v>3074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134900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-40000</v>
      </c>
      <c r="D7820" s="2" t="str">
        <f t="shared" si="128"/>
        <v>Error?</v>
      </c>
    </row>
    <row r="7821" spans="1:5" x14ac:dyDescent="0.2">
      <c r="A7821">
        <v>7760</v>
      </c>
      <c r="B7821" s="1832">
        <f>'ICR Computation 30'!G40</f>
        <v>-40000</v>
      </c>
      <c r="D7821" s="2" t="str">
        <f t="shared" si="128"/>
        <v>Error?</v>
      </c>
    </row>
    <row r="7822" spans="1:5" x14ac:dyDescent="0.2">
      <c r="A7822" s="1">
        <v>7761</v>
      </c>
      <c r="B7822" s="1832">
        <f>'PCTC-OEPP 27-28'!F14</f>
        <v>6656329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456505</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1413331</v>
      </c>
      <c r="D7834" s="2" t="str">
        <f t="shared" si="129"/>
        <v>Error?</v>
      </c>
      <c r="E7834" s="4" t="s">
        <v>1998</v>
      </c>
    </row>
    <row r="7835" spans="1:5" x14ac:dyDescent="0.2">
      <c r="A7835">
        <v>7774</v>
      </c>
      <c r="B7835" s="1832">
        <f>'PCTC-OEPP 27-28'!F78</f>
        <v>5242998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591832</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45900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601110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58914</v>
      </c>
      <c r="D7874" s="2" t="str">
        <f t="shared" si="129"/>
        <v>Error?</v>
      </c>
      <c r="E7874" s="4" t="s">
        <v>1998</v>
      </c>
    </row>
    <row r="7875" spans="1:5" x14ac:dyDescent="0.2">
      <c r="A7875">
        <v>7814</v>
      </c>
      <c r="B7875" s="1832">
        <f>'PCTC-OEPP 27-28'!F170</f>
        <v>195013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1492769</v>
      </c>
      <c r="D7877" s="2" t="str">
        <f t="shared" si="129"/>
        <v>Error?</v>
      </c>
      <c r="E7877" s="4" t="s">
        <v>1998</v>
      </c>
    </row>
    <row r="7878" spans="1:5" x14ac:dyDescent="0.2">
      <c r="A7878">
        <v>7817</v>
      </c>
      <c r="B7878" s="1832">
        <f>'PCTC-OEPP 27-28'!F176</f>
        <v>3750229</v>
      </c>
      <c r="D7878" s="2" t="str">
        <f t="shared" si="129"/>
        <v>Error?</v>
      </c>
      <c r="E7878" s="4" t="s">
        <v>1998</v>
      </c>
    </row>
    <row r="7879" spans="1:5" x14ac:dyDescent="0.2">
      <c r="A7879">
        <v>7818</v>
      </c>
      <c r="B7879" s="1832">
        <f>'PCTC-OEPP 27-28'!F178</f>
        <v>3885129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South Eastern Sp Ed Program</v>
      </c>
      <c r="B7" s="2516"/>
      <c r="C7" s="2516"/>
      <c r="D7" s="2554"/>
      <c r="E7" s="2555">
        <f>COVER!A13</f>
        <v>12017801060</v>
      </c>
      <c r="F7" s="2556"/>
      <c r="G7" s="2522" t="str">
        <f>COVER!T23</f>
        <v>066-003998</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Kemper CPA Group LLP</v>
      </c>
      <c r="H9" s="2529"/>
      <c r="I9" s="2529"/>
      <c r="J9" s="2529"/>
      <c r="K9" s="2529"/>
      <c r="L9" s="2530"/>
    </row>
    <row r="10" spans="1:29" ht="13.5" customHeight="1" x14ac:dyDescent="0.2">
      <c r="A10" s="2512" t="str">
        <f>COVER!A38</f>
        <v>Kim Kessler</v>
      </c>
      <c r="B10" s="2513"/>
      <c r="C10" s="2513"/>
      <c r="D10" s="2513"/>
      <c r="E10" s="2513"/>
      <c r="F10" s="2514"/>
      <c r="G10" s="2528" t="str">
        <f>COVER!T17</f>
        <v>1619 W. Main St</v>
      </c>
      <c r="H10" s="2541"/>
      <c r="I10" s="2541"/>
      <c r="J10" s="2541"/>
      <c r="K10" s="2541"/>
      <c r="L10" s="2542"/>
    </row>
    <row r="11" spans="1:29" ht="13.5" customHeight="1" x14ac:dyDescent="0.2">
      <c r="A11" s="963" t="s">
        <v>1502</v>
      </c>
      <c r="B11" s="964"/>
      <c r="C11" s="965"/>
      <c r="D11" s="970"/>
      <c r="E11" s="965"/>
      <c r="F11" s="969"/>
      <c r="G11" s="2528" t="str">
        <f>COVER!T19</f>
        <v>Robinson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jtruitt@kempercpa.com</v>
      </c>
      <c r="J13" s="2550"/>
      <c r="K13" s="2550"/>
      <c r="L13" s="2551"/>
    </row>
    <row r="14" spans="1:29" ht="13.5" customHeight="1" x14ac:dyDescent="0.2">
      <c r="A14" s="2528" t="str">
        <f>COVER!A19</f>
        <v>P.O. Box 185</v>
      </c>
      <c r="B14" s="2541"/>
      <c r="C14" s="2541"/>
      <c r="D14" s="2541"/>
      <c r="E14" s="2541"/>
      <c r="F14" s="2542"/>
      <c r="G14" s="974" t="s">
        <v>1175</v>
      </c>
      <c r="H14" s="972"/>
      <c r="I14" s="972"/>
      <c r="J14" s="972"/>
      <c r="K14" s="972"/>
      <c r="L14" s="973"/>
    </row>
    <row r="15" spans="1:29" ht="13.5" customHeight="1" x14ac:dyDescent="0.2">
      <c r="A15" s="2528" t="str">
        <f>COVER!A21</f>
        <v>St. Marie</v>
      </c>
      <c r="B15" s="2541"/>
      <c r="C15" s="2541"/>
      <c r="D15" s="2541"/>
      <c r="E15" s="2541"/>
      <c r="F15" s="2542"/>
      <c r="G15" s="2538" t="str">
        <f>COVER!T15</f>
        <v>Jodi Truitt</v>
      </c>
      <c r="H15" s="2539"/>
      <c r="I15" s="2539"/>
      <c r="J15" s="2539"/>
      <c r="K15" s="2539"/>
      <c r="L15" s="2540"/>
    </row>
    <row r="16" spans="1:29" ht="12.2" customHeight="1" x14ac:dyDescent="0.2">
      <c r="A16" s="2518">
        <f>COVER!A25</f>
        <v>62459</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618-546-1502</v>
      </c>
      <c r="H18" s="2516"/>
      <c r="I18" s="2516"/>
      <c r="J18" s="2516"/>
      <c r="K18" s="2515" t="str">
        <f>COVER!X21</f>
        <v>618-544-2140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7"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South Eastern Sp Ed Program</v>
      </c>
      <c r="B1" s="2558"/>
      <c r="C1" s="2558"/>
      <c r="D1" s="2558"/>
    </row>
    <row r="2" spans="1:11" s="991" customFormat="1" ht="12.75" x14ac:dyDescent="0.2">
      <c r="A2" s="2559">
        <f>'Single Audit Cover'!E7</f>
        <v>12017801060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South Eastern Sp Ed Program</v>
      </c>
      <c r="B1" s="2562"/>
      <c r="C1" s="2562"/>
      <c r="D1" s="2562"/>
      <c r="E1" s="2562"/>
    </row>
    <row r="2" spans="1:5" x14ac:dyDescent="0.2">
      <c r="A2" s="2563">
        <f>'Single Audit Cover'!E7</f>
        <v>12017801060</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889040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-195013</v>
      </c>
    </row>
    <row r="19" spans="1:4" ht="13.5" thickBot="1" x14ac:dyDescent="0.25">
      <c r="A19" s="1041" t="s">
        <v>1224</v>
      </c>
      <c r="D19" s="1042">
        <f>SUM(D10:D17)</f>
        <v>694027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694027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694027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South Eastern Sp Ed Program</v>
      </c>
      <c r="C1" s="2566"/>
      <c r="D1" s="2566"/>
      <c r="E1" s="2566"/>
      <c r="F1" s="2566"/>
      <c r="G1" s="2566"/>
      <c r="H1" s="2566"/>
      <c r="I1" s="2566"/>
      <c r="J1" s="2566"/>
      <c r="K1" s="2566"/>
      <c r="L1" s="2566"/>
      <c r="M1" s="2566"/>
    </row>
    <row r="2" spans="2:14" ht="15" x14ac:dyDescent="0.2">
      <c r="B2" s="2567">
        <f>'Single Audit Cover'!E7</f>
        <v>12017801060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South Eastern Sp Ed Program</v>
      </c>
      <c r="B1" s="2571"/>
      <c r="C1" s="2571"/>
      <c r="D1" s="2571"/>
      <c r="E1" s="2571"/>
      <c r="F1" s="2571"/>
    </row>
    <row r="2" spans="1:7" ht="13.5" customHeight="1" x14ac:dyDescent="0.2">
      <c r="A2" s="2567">
        <f>'Single Audit Cover'!E7</f>
        <v>12017801060</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2068</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South Eastern Sp Ed Program</v>
      </c>
      <c r="C1" s="2587"/>
      <c r="D1" s="2587"/>
      <c r="E1" s="2587"/>
      <c r="F1" s="2587"/>
      <c r="G1" s="2587"/>
      <c r="H1" s="2587"/>
      <c r="I1" s="2587"/>
      <c r="J1" s="1178"/>
    </row>
    <row r="2" spans="2:10" s="295" customFormat="1" ht="12.75" customHeight="1" x14ac:dyDescent="0.2">
      <c r="B2" s="2588">
        <f>'Single Audit Cover'!E7</f>
        <v>12017801060</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South Eastern Sp Ed Program</v>
      </c>
      <c r="C1" s="2586"/>
      <c r="D1" s="2586"/>
      <c r="E1" s="2586"/>
      <c r="F1" s="2586"/>
      <c r="G1" s="2586"/>
      <c r="H1" s="2586"/>
      <c r="I1" s="2586"/>
      <c r="J1" s="2586"/>
      <c r="K1" s="2586"/>
      <c r="L1" s="1144"/>
      <c r="M1" s="1144"/>
    </row>
    <row r="2" spans="1:13" ht="12" customHeight="1" x14ac:dyDescent="0.2">
      <c r="B2" s="2588">
        <f>'Single Audit Cover'!E7</f>
        <v>12017801060</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2072</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2073</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t="s">
        <v>2098</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2074</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2099</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2075</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t="s">
        <v>2076</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South Eastern Sp Ed Program</v>
      </c>
      <c r="C1" s="2613"/>
      <c r="D1" s="2613"/>
      <c r="E1" s="2613"/>
      <c r="F1" s="2613"/>
      <c r="G1" s="2613"/>
      <c r="H1" s="2613"/>
      <c r="I1" s="2613"/>
      <c r="J1" s="2613"/>
      <c r="K1" s="2613"/>
      <c r="L1" s="1221"/>
    </row>
    <row r="2" spans="1:12" ht="12.75" customHeight="1" x14ac:dyDescent="0.2">
      <c r="B2" s="2614">
        <f>'Single Audit Cover'!E7</f>
        <v>12017801060</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8" sqref="D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South Eastern Sp Ed Program</v>
      </c>
      <c r="C1" s="2586"/>
      <c r="D1" s="2586"/>
      <c r="E1" s="1240"/>
    </row>
    <row r="2" spans="2:5" s="1058" customFormat="1" ht="12.75" customHeight="1" x14ac:dyDescent="0.2">
      <c r="B2" s="2588">
        <f>'Single Audit Cover'!E7</f>
        <v>12017801060</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2077</v>
      </c>
      <c r="C7" s="302" t="s">
        <v>2078</v>
      </c>
      <c r="D7" s="302" t="s">
        <v>2081</v>
      </c>
      <c r="E7" s="302"/>
    </row>
    <row r="8" spans="2:5" ht="13.5" customHeight="1" x14ac:dyDescent="0.2">
      <c r="B8" s="1245"/>
      <c r="C8" s="302" t="s">
        <v>2079</v>
      </c>
      <c r="D8" s="302"/>
      <c r="E8" s="302"/>
    </row>
    <row r="9" spans="2:5" ht="13.5" customHeight="1" x14ac:dyDescent="0.2">
      <c r="B9" s="1246"/>
      <c r="C9" s="301" t="s">
        <v>2080</v>
      </c>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7091138</v>
      </c>
      <c r="E16" s="1547"/>
      <c r="F16" s="1546">
        <f>SUM('Acct Summary 7-8'!C17,'Acct Summary 7-8'!D17,'Acct Summary 7-8'!F17)</f>
        <v>6656329</v>
      </c>
      <c r="G16" s="1547"/>
      <c r="H16" s="1546">
        <f>SUM(D16-F16)</f>
        <v>434809</v>
      </c>
      <c r="I16" s="1548"/>
      <c r="J16" s="1546">
        <f>SUM('Acct Summary 7-8'!C81,'Acct Summary 7-8'!D81,'Acct Summary 7-8'!F81,'Acct Summary 7-8'!I81)</f>
        <v>1363177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South Eastern Sp Ed Program</v>
      </c>
      <c r="E7" s="368"/>
      <c r="G7" s="247"/>
      <c r="H7" s="364"/>
      <c r="I7" s="364"/>
      <c r="J7" s="364"/>
      <c r="K7" s="364"/>
      <c r="L7" s="307"/>
      <c r="M7" s="307"/>
      <c r="N7" s="307"/>
      <c r="O7" s="307"/>
      <c r="P7" s="307"/>
    </row>
    <row r="8" spans="1:18" ht="12.75" x14ac:dyDescent="0.2">
      <c r="A8" s="307"/>
      <c r="B8" s="307"/>
      <c r="C8" s="366" t="s">
        <v>1115</v>
      </c>
      <c r="D8" s="369">
        <f>COVER!A13</f>
        <v>12017801060</v>
      </c>
      <c r="E8" s="370"/>
      <c r="G8" s="307"/>
      <c r="H8" s="307"/>
      <c r="I8" s="307"/>
      <c r="J8" s="307"/>
      <c r="K8" s="307"/>
      <c r="L8" s="307"/>
      <c r="M8" s="307"/>
      <c r="N8" s="307"/>
      <c r="O8" s="307"/>
      <c r="P8" s="307"/>
    </row>
    <row r="9" spans="1:18" ht="12.75" x14ac:dyDescent="0.2">
      <c r="A9" s="307"/>
      <c r="B9" s="307"/>
      <c r="C9" s="366" t="s">
        <v>708</v>
      </c>
      <c r="D9" s="371" t="str">
        <f>COVER!A15</f>
        <v>Jasper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1363177</v>
      </c>
      <c r="I12" s="380"/>
      <c r="J12" s="380"/>
      <c r="K12" s="1559">
        <f>TRUNC((H12/H13*100000),5)/100000</f>
        <v>0.19223670440000001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7091138</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6656329</v>
      </c>
      <c r="I17" s="380"/>
      <c r="J17" s="389"/>
      <c r="K17" s="1559">
        <f>TRUNC((H17/H18*100000),5)/100000</f>
        <v>0.93868276140000007</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7091138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1367363</v>
      </c>
      <c r="I24" s="394"/>
      <c r="J24" s="394"/>
      <c r="K24" s="1555">
        <f>TRUNC(((H24/H25*100000)/100000),2)</f>
        <v>73.95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18489.802780000002</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1367363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1367363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2489988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6382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640607+194945</f>
        <v>835552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3331922</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4186</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4186</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1363177</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3331922</v>
      </c>
      <c r="N40" s="1604"/>
    </row>
    <row r="41" spans="1:14" ht="13.5" customHeight="1" thickBot="1" x14ac:dyDescent="0.25">
      <c r="A41" s="1426" t="s">
        <v>650</v>
      </c>
      <c r="B41" s="1405"/>
      <c r="C41" s="1594">
        <f>(SUM(C34,C37,C38,C39))</f>
        <v>1367363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3331922</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H19" sqref="H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5564366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637732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889040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7091138</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2358517</v>
      </c>
      <c r="D9" s="1613"/>
      <c r="E9" s="1586"/>
      <c r="F9" s="1586"/>
      <c r="G9" s="1614"/>
      <c r="H9" s="1586"/>
      <c r="I9" s="1609" t="s">
        <v>1159</v>
      </c>
      <c r="J9" s="1583"/>
      <c r="K9" s="1586"/>
      <c r="L9" s="325"/>
    </row>
    <row r="10" spans="1:13" s="452" customFormat="1" ht="13.5" thickBot="1" x14ac:dyDescent="0.25">
      <c r="A10" s="1426" t="s">
        <v>1163</v>
      </c>
      <c r="B10" s="1407"/>
      <c r="C10" s="1594">
        <f>SUM(C8:C9)</f>
        <v>9449655</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2273772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3532898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849659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6656329</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2358517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9014846</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434809</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434809</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928368</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1363177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434809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0.3189673828123567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5541108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5541108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18117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18117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5141</v>
      </c>
      <c r="D107" s="1573"/>
      <c r="E107" s="1573"/>
      <c r="F107" s="1573"/>
      <c r="G107" s="1573"/>
      <c r="H107" s="1573"/>
      <c r="I107" s="1573"/>
      <c r="J107" s="1574"/>
      <c r="K107" s="1573"/>
    </row>
    <row r="108" spans="1:12" ht="12.75" customHeight="1" thickBot="1" x14ac:dyDescent="0.25">
      <c r="A108" s="1406" t="s">
        <v>484</v>
      </c>
      <c r="B108" s="1408"/>
      <c r="C108" s="1633">
        <f>SUM(C95:C107)</f>
        <v>5141</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5564366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591832</v>
      </c>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591832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45900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637732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637732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34003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601110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635113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58914</v>
      </c>
      <c r="D263" s="1651"/>
      <c r="E263" s="1575"/>
      <c r="F263" s="1651"/>
      <c r="G263" s="1651"/>
      <c r="H263" s="1575"/>
      <c r="I263" s="1575"/>
      <c r="J263" s="1575"/>
      <c r="K263" s="1575"/>
    </row>
    <row r="264" spans="1:11" ht="12.75" customHeight="1" thickTop="1" thickBot="1" x14ac:dyDescent="0.25">
      <c r="A264" s="427" t="s">
        <v>374</v>
      </c>
      <c r="B264" s="429">
        <v>4992</v>
      </c>
      <c r="C264" s="1650">
        <v>195013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889040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889040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7091138</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7" activePane="bottomLeft" state="frozen"/>
      <selection pane="bottomLeft" activeCell="E89" sqref="E8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1392142</v>
      </c>
      <c r="D8" s="1573">
        <v>285868</v>
      </c>
      <c r="E8" s="1573">
        <v>23335</v>
      </c>
      <c r="F8" s="1573">
        <v>12307</v>
      </c>
      <c r="G8" s="1573"/>
      <c r="H8" s="1573"/>
      <c r="I8" s="1574"/>
      <c r="J8" s="1574"/>
      <c r="K8" s="1672">
        <f t="shared" si="0"/>
        <v>1713652</v>
      </c>
      <c r="L8" s="1573">
        <v>1874491</v>
      </c>
    </row>
    <row r="9" spans="1:14" x14ac:dyDescent="0.2">
      <c r="A9" s="1274" t="s">
        <v>716</v>
      </c>
      <c r="B9" s="503" t="s">
        <v>962</v>
      </c>
      <c r="C9" s="1574">
        <v>395658</v>
      </c>
      <c r="D9" s="1574">
        <v>55548</v>
      </c>
      <c r="E9" s="1574">
        <v>2225</v>
      </c>
      <c r="F9" s="1574">
        <v>3074</v>
      </c>
      <c r="G9" s="1574"/>
      <c r="H9" s="1574"/>
      <c r="I9" s="1574"/>
      <c r="J9" s="1574"/>
      <c r="K9" s="1672">
        <f t="shared" si="0"/>
        <v>456505</v>
      </c>
      <c r="L9" s="1573">
        <v>479155</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74803</v>
      </c>
      <c r="D13" s="1573">
        <v>9271</v>
      </c>
      <c r="E13" s="1573">
        <v>14991</v>
      </c>
      <c r="F13" s="1573">
        <v>4550</v>
      </c>
      <c r="G13" s="1573"/>
      <c r="H13" s="1573"/>
      <c r="I13" s="1574"/>
      <c r="J13" s="1574"/>
      <c r="K13" s="1672">
        <f t="shared" si="0"/>
        <v>103615</v>
      </c>
      <c r="L13" s="1573">
        <v>105743</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1862603</v>
      </c>
      <c r="D33" s="1674">
        <f t="shared" ref="D33:L33" si="1">SUM(D5:D32)</f>
        <v>350687</v>
      </c>
      <c r="E33" s="1674">
        <f t="shared" si="1"/>
        <v>40551</v>
      </c>
      <c r="F33" s="1674">
        <f t="shared" si="1"/>
        <v>19931</v>
      </c>
      <c r="G33" s="1674">
        <f t="shared" si="1"/>
        <v>0</v>
      </c>
      <c r="H33" s="1674">
        <f t="shared" si="1"/>
        <v>0</v>
      </c>
      <c r="I33" s="1674">
        <f t="shared" si="1"/>
        <v>0</v>
      </c>
      <c r="J33" s="1674">
        <f t="shared" si="1"/>
        <v>0</v>
      </c>
      <c r="K33" s="1674">
        <f t="shared" si="1"/>
        <v>2273772</v>
      </c>
      <c r="L33" s="1674">
        <f t="shared" si="1"/>
        <v>2459389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301038</v>
      </c>
      <c r="D36" s="1586">
        <v>37564</v>
      </c>
      <c r="E36" s="1586">
        <v>10699</v>
      </c>
      <c r="F36" s="1586">
        <v>885</v>
      </c>
      <c r="G36" s="1586"/>
      <c r="H36" s="1586"/>
      <c r="I36" s="1574"/>
      <c r="J36" s="1574"/>
      <c r="K36" s="1672">
        <f t="shared" ref="K36:K41" si="2">SUM(C36:J36)</f>
        <v>350186</v>
      </c>
      <c r="L36" s="1573">
        <v>424786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384757</v>
      </c>
      <c r="D38" s="1573">
        <v>78789</v>
      </c>
      <c r="E38" s="1573">
        <v>20952</v>
      </c>
      <c r="F38" s="1573">
        <v>2998</v>
      </c>
      <c r="G38" s="1573"/>
      <c r="H38" s="1573"/>
      <c r="I38" s="1574"/>
      <c r="J38" s="1574"/>
      <c r="K38" s="1672">
        <f t="shared" si="2"/>
        <v>487496</v>
      </c>
      <c r="L38" s="1573">
        <v>521776</v>
      </c>
    </row>
    <row r="39" spans="1:14" x14ac:dyDescent="0.2">
      <c r="A39" s="1274" t="s">
        <v>197</v>
      </c>
      <c r="B39" s="503">
        <v>2140</v>
      </c>
      <c r="C39" s="1573">
        <v>454444</v>
      </c>
      <c r="D39" s="1573">
        <v>54048</v>
      </c>
      <c r="E39" s="1573">
        <v>28397</v>
      </c>
      <c r="F39" s="1573">
        <v>5572</v>
      </c>
      <c r="G39" s="1573"/>
      <c r="H39" s="1573"/>
      <c r="I39" s="1574"/>
      <c r="J39" s="1574"/>
      <c r="K39" s="1672">
        <f t="shared" si="2"/>
        <v>542461</v>
      </c>
      <c r="L39" s="1573">
        <v>724993</v>
      </c>
    </row>
    <row r="40" spans="1:14" x14ac:dyDescent="0.2">
      <c r="A40" s="1274" t="s">
        <v>198</v>
      </c>
      <c r="B40" s="503">
        <v>2150</v>
      </c>
      <c r="C40" s="1573">
        <v>343286</v>
      </c>
      <c r="D40" s="1573">
        <v>22826</v>
      </c>
      <c r="E40" s="1573">
        <v>19274</v>
      </c>
      <c r="F40" s="1573">
        <v>7049</v>
      </c>
      <c r="G40" s="1573"/>
      <c r="H40" s="1573"/>
      <c r="I40" s="1574"/>
      <c r="J40" s="1574"/>
      <c r="K40" s="1672">
        <f t="shared" si="2"/>
        <v>392435</v>
      </c>
      <c r="L40" s="1573">
        <v>403295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1483525</v>
      </c>
      <c r="D42" s="1674">
        <f t="shared" ref="D42:L42" si="3">SUM(D36:D41)</f>
        <v>193227</v>
      </c>
      <c r="E42" s="1674">
        <f t="shared" si="3"/>
        <v>79322</v>
      </c>
      <c r="F42" s="1674">
        <f t="shared" si="3"/>
        <v>16504</v>
      </c>
      <c r="G42" s="1674">
        <f t="shared" si="3"/>
        <v>0</v>
      </c>
      <c r="H42" s="1674">
        <f t="shared" si="3"/>
        <v>0</v>
      </c>
      <c r="I42" s="1674">
        <f t="shared" si="3"/>
        <v>0</v>
      </c>
      <c r="J42" s="1674">
        <f t="shared" si="3"/>
        <v>0</v>
      </c>
      <c r="K42" s="1674">
        <f t="shared" si="3"/>
        <v>1772578</v>
      </c>
      <c r="L42" s="1674">
        <f t="shared" si="3"/>
        <v>2074850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51509</v>
      </c>
      <c r="D44" s="1586">
        <v>8453</v>
      </c>
      <c r="E44" s="1586">
        <v>76721</v>
      </c>
      <c r="F44" s="1586">
        <v>19240</v>
      </c>
      <c r="G44" s="1586"/>
      <c r="H44" s="1586"/>
      <c r="I44" s="1574"/>
      <c r="J44" s="1574"/>
      <c r="K44" s="1678">
        <f>SUM(C44:J44)</f>
        <v>155923</v>
      </c>
      <c r="L44" s="1586">
        <v>168140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51509</v>
      </c>
      <c r="D47" s="1674">
        <f t="shared" ref="D47:K47" si="4">SUM(D44:D46)</f>
        <v>8453</v>
      </c>
      <c r="E47" s="1674">
        <f t="shared" si="4"/>
        <v>76721</v>
      </c>
      <c r="F47" s="1674">
        <f t="shared" si="4"/>
        <v>19240</v>
      </c>
      <c r="G47" s="1674">
        <f t="shared" si="4"/>
        <v>0</v>
      </c>
      <c r="H47" s="1674">
        <f t="shared" si="4"/>
        <v>0</v>
      </c>
      <c r="I47" s="1674">
        <f t="shared" si="4"/>
        <v>0</v>
      </c>
      <c r="J47" s="1674">
        <f t="shared" si="4"/>
        <v>0</v>
      </c>
      <c r="K47" s="1674">
        <f t="shared" si="4"/>
        <v>155923</v>
      </c>
      <c r="L47" s="1674">
        <f>SUM(L44:L46)</f>
        <v>168140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5017</v>
      </c>
      <c r="F49" s="1586"/>
      <c r="G49" s="1586"/>
      <c r="H49" s="1586"/>
      <c r="I49" s="1574"/>
      <c r="J49" s="1574"/>
      <c r="K49" s="1678">
        <f>SUM(C49:J49)</f>
        <v>5017</v>
      </c>
      <c r="L49" s="1586">
        <v>7500</v>
      </c>
    </row>
    <row r="50" spans="1:14" x14ac:dyDescent="0.2">
      <c r="A50" s="1274" t="s">
        <v>813</v>
      </c>
      <c r="B50" s="503">
        <v>2320</v>
      </c>
      <c r="C50" s="1573">
        <v>154622</v>
      </c>
      <c r="D50" s="1573">
        <v>21770</v>
      </c>
      <c r="E50" s="1573">
        <v>9991</v>
      </c>
      <c r="F50" s="1573">
        <v>3966</v>
      </c>
      <c r="G50" s="1573"/>
      <c r="H50" s="1573">
        <v>2829</v>
      </c>
      <c r="I50" s="1574"/>
      <c r="J50" s="1574"/>
      <c r="K50" s="1678">
        <f>SUM(C50:J50)</f>
        <v>193178</v>
      </c>
      <c r="L50" s="1573">
        <v>192770</v>
      </c>
    </row>
    <row r="51" spans="1:14" x14ac:dyDescent="0.2">
      <c r="A51" s="1274" t="s">
        <v>42</v>
      </c>
      <c r="B51" s="503">
        <v>2330</v>
      </c>
      <c r="C51" s="1573">
        <v>724254</v>
      </c>
      <c r="D51" s="1573">
        <v>90232</v>
      </c>
      <c r="E51" s="1573">
        <v>100001</v>
      </c>
      <c r="F51" s="1573">
        <v>4574</v>
      </c>
      <c r="G51" s="1573">
        <v>1498</v>
      </c>
      <c r="H51" s="1573"/>
      <c r="I51" s="1574"/>
      <c r="J51" s="1574"/>
      <c r="K51" s="1678">
        <f>SUM(C51:J51)</f>
        <v>920559</v>
      </c>
      <c r="L51" s="1573">
        <v>939903</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878876</v>
      </c>
      <c r="D53" s="1674">
        <f t="shared" ref="D53:L53" si="5">SUM(D49:D52)</f>
        <v>112002</v>
      </c>
      <c r="E53" s="1674">
        <f t="shared" si="5"/>
        <v>115009</v>
      </c>
      <c r="F53" s="1674">
        <f t="shared" si="5"/>
        <v>8540</v>
      </c>
      <c r="G53" s="1674">
        <f t="shared" si="5"/>
        <v>1498</v>
      </c>
      <c r="H53" s="1674">
        <f t="shared" si="5"/>
        <v>2829</v>
      </c>
      <c r="I53" s="1674">
        <f t="shared" si="5"/>
        <v>0</v>
      </c>
      <c r="J53" s="1674">
        <f t="shared" si="5"/>
        <v>0</v>
      </c>
      <c r="K53" s="1674">
        <f t="shared" si="5"/>
        <v>1118754</v>
      </c>
      <c r="L53" s="1674">
        <f t="shared" si="5"/>
        <v>1140173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5470</v>
      </c>
      <c r="F60" s="1573"/>
      <c r="G60" s="1573"/>
      <c r="H60" s="1573"/>
      <c r="I60" s="1574"/>
      <c r="J60" s="1574"/>
      <c r="K60" s="1678">
        <f t="shared" si="7"/>
        <v>5470</v>
      </c>
      <c r="L60" s="1573">
        <v>5470</v>
      </c>
      <c r="M60" s="501"/>
      <c r="N60" s="501"/>
    </row>
    <row r="61" spans="1:14" s="321" customFormat="1" x14ac:dyDescent="0.2">
      <c r="A61" s="1274" t="s">
        <v>195</v>
      </c>
      <c r="B61" s="503">
        <v>2540</v>
      </c>
      <c r="C61" s="1573"/>
      <c r="D61" s="1573"/>
      <c r="E61" s="1573">
        <v>241199</v>
      </c>
      <c r="F61" s="1573">
        <v>51487</v>
      </c>
      <c r="G61" s="1573">
        <v>47723</v>
      </c>
      <c r="H61" s="1573"/>
      <c r="I61" s="1574"/>
      <c r="J61" s="1574"/>
      <c r="K61" s="1678">
        <f t="shared" si="7"/>
        <v>340409</v>
      </c>
      <c r="L61" s="1573">
        <v>271116</v>
      </c>
      <c r="M61" s="501"/>
      <c r="N61" s="501"/>
    </row>
    <row r="62" spans="1:14" s="321" customFormat="1" x14ac:dyDescent="0.2">
      <c r="A62" s="1274" t="s">
        <v>947</v>
      </c>
      <c r="B62" s="503">
        <v>2550</v>
      </c>
      <c r="C62" s="1573"/>
      <c r="D62" s="1573"/>
      <c r="E62" s="1573">
        <v>6524</v>
      </c>
      <c r="F62" s="1573"/>
      <c r="G62" s="1573"/>
      <c r="H62" s="1573"/>
      <c r="I62" s="1574"/>
      <c r="J62" s="1574"/>
      <c r="K62" s="1678">
        <f t="shared" si="7"/>
        <v>6524</v>
      </c>
      <c r="L62" s="1573">
        <v>12000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v>1057</v>
      </c>
      <c r="F64" s="1586"/>
      <c r="G64" s="1586"/>
      <c r="H64" s="1586"/>
      <c r="I64" s="1574"/>
      <c r="J64" s="1574"/>
      <c r="K64" s="1678">
        <f t="shared" si="7"/>
        <v>1057</v>
      </c>
      <c r="L64" s="1586">
        <v>2000</v>
      </c>
    </row>
    <row r="65" spans="1:14" s="321" customFormat="1" ht="12.75" customHeight="1" thickBot="1" x14ac:dyDescent="0.25">
      <c r="A65" s="1380" t="s">
        <v>714</v>
      </c>
      <c r="B65" s="1381" t="s">
        <v>35</v>
      </c>
      <c r="C65" s="1674">
        <f>SUM(C59:C64)</f>
        <v>0</v>
      </c>
      <c r="D65" s="1674">
        <f t="shared" ref="D65:L65" si="8">SUM(D59:D64)</f>
        <v>0</v>
      </c>
      <c r="E65" s="1674">
        <f t="shared" si="8"/>
        <v>254250</v>
      </c>
      <c r="F65" s="1674">
        <f t="shared" si="8"/>
        <v>51487</v>
      </c>
      <c r="G65" s="1674">
        <f t="shared" si="8"/>
        <v>47723</v>
      </c>
      <c r="H65" s="1674">
        <f t="shared" si="8"/>
        <v>0</v>
      </c>
      <c r="I65" s="1674">
        <f t="shared" si="8"/>
        <v>0</v>
      </c>
      <c r="J65" s="1674">
        <f t="shared" si="8"/>
        <v>0</v>
      </c>
      <c r="K65" s="1674">
        <f t="shared" si="8"/>
        <v>353460</v>
      </c>
      <c r="L65" s="1674">
        <f t="shared" si="8"/>
        <v>290586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1225</v>
      </c>
      <c r="F70" s="1573"/>
      <c r="G70" s="1573"/>
      <c r="H70" s="1573"/>
      <c r="I70" s="1574"/>
      <c r="J70" s="1574"/>
      <c r="K70" s="1678">
        <f>SUM(C70:J70)</f>
        <v>1225</v>
      </c>
      <c r="L70" s="1573">
        <v>1400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1225</v>
      </c>
      <c r="F72" s="1674">
        <f t="shared" si="9"/>
        <v>0</v>
      </c>
      <c r="G72" s="1674">
        <f t="shared" si="9"/>
        <v>0</v>
      </c>
      <c r="H72" s="1674">
        <f t="shared" si="9"/>
        <v>0</v>
      </c>
      <c r="I72" s="1674">
        <f t="shared" si="9"/>
        <v>0</v>
      </c>
      <c r="J72" s="1674">
        <f t="shared" si="9"/>
        <v>0</v>
      </c>
      <c r="K72" s="1674">
        <f t="shared" si="9"/>
        <v>1225</v>
      </c>
      <c r="L72" s="1674">
        <f>SUM(L67:L71)</f>
        <v>1400</v>
      </c>
      <c r="M72" s="501"/>
      <c r="N72" s="501"/>
    </row>
    <row r="73" spans="1:14" s="321" customFormat="1" ht="14.25" thickTop="1" thickBot="1" x14ac:dyDescent="0.25">
      <c r="A73" s="1280" t="s">
        <v>973</v>
      </c>
      <c r="B73" s="515" t="s">
        <v>570</v>
      </c>
      <c r="C73" s="1649"/>
      <c r="D73" s="1649"/>
      <c r="E73" s="1649">
        <v>9980</v>
      </c>
      <c r="F73" s="1649">
        <v>63032</v>
      </c>
      <c r="G73" s="1649">
        <v>57946</v>
      </c>
      <c r="H73" s="1649"/>
      <c r="I73" s="1627"/>
      <c r="J73" s="1627"/>
      <c r="K73" s="1674">
        <f>SUM(C73:J73)</f>
        <v>130958</v>
      </c>
      <c r="L73" s="1651">
        <v>120000</v>
      </c>
      <c r="M73" s="501"/>
      <c r="N73" s="501"/>
    </row>
    <row r="74" spans="1:14" ht="12.75" customHeight="1" thickTop="1" thickBot="1" x14ac:dyDescent="0.25">
      <c r="A74" s="1380" t="s">
        <v>806</v>
      </c>
      <c r="B74" s="1384">
        <v>2000</v>
      </c>
      <c r="C74" s="1681">
        <f>SUM(C42,C47,C53,C57,C65,C72,C73)</f>
        <v>2413910</v>
      </c>
      <c r="D74" s="1681">
        <f t="shared" ref="D74:K74" si="10">SUM(D42,D47,D53,D57,D65,D72,D73)</f>
        <v>313682</v>
      </c>
      <c r="E74" s="1681">
        <f t="shared" si="10"/>
        <v>536507</v>
      </c>
      <c r="F74" s="1681">
        <f t="shared" si="10"/>
        <v>158803</v>
      </c>
      <c r="G74" s="1681">
        <f t="shared" si="10"/>
        <v>107167</v>
      </c>
      <c r="H74" s="1681">
        <f t="shared" si="10"/>
        <v>2829</v>
      </c>
      <c r="I74" s="1681">
        <f t="shared" si="10"/>
        <v>0</v>
      </c>
      <c r="J74" s="1681">
        <f t="shared" si="10"/>
        <v>0</v>
      </c>
      <c r="K74" s="1681">
        <f t="shared" si="10"/>
        <v>3532898</v>
      </c>
      <c r="L74" s="1681">
        <f>SUM(L42,L47,L53,L57,L65,L72,L73)</f>
        <v>3795149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574</v>
      </c>
      <c r="F79" s="1673"/>
      <c r="G79" s="1673"/>
      <c r="H79" s="1573">
        <v>849085</v>
      </c>
      <c r="I79" s="1582"/>
      <c r="J79" s="1582"/>
      <c r="K79" s="1672">
        <f t="shared" si="11"/>
        <v>849659</v>
      </c>
      <c r="L79" s="1573">
        <v>625553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574</v>
      </c>
      <c r="F84" s="1673"/>
      <c r="G84" s="1673"/>
      <c r="H84" s="1674">
        <f>SUM(H78:H83)</f>
        <v>849085</v>
      </c>
      <c r="I84" s="1582"/>
      <c r="J84" s="1582"/>
      <c r="K84" s="1674">
        <f>SUM(K78:K83)</f>
        <v>849659</v>
      </c>
      <c r="L84" s="1674">
        <f>SUM(L78:L83)</f>
        <v>625553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574</v>
      </c>
      <c r="F102" s="1673"/>
      <c r="G102" s="1673"/>
      <c r="H102" s="1681">
        <f>SUM(H84,H92,H100,H101)</f>
        <v>849085</v>
      </c>
      <c r="I102" s="1582"/>
      <c r="J102" s="1582"/>
      <c r="K102" s="1681">
        <f>SUM(K84,K92,K100,K101)</f>
        <v>849659</v>
      </c>
      <c r="L102" s="1681">
        <f>SUM(L84,L92,L100,L101)</f>
        <v>625553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4276513</v>
      </c>
      <c r="D114" s="1674">
        <f t="shared" ref="D114:K114" si="13">SUM(D33,D74,D75,D102,D112,D113)</f>
        <v>664369</v>
      </c>
      <c r="E114" s="1674">
        <f t="shared" si="13"/>
        <v>577632</v>
      </c>
      <c r="F114" s="1674">
        <f t="shared" si="13"/>
        <v>178734</v>
      </c>
      <c r="G114" s="1674">
        <f t="shared" si="13"/>
        <v>107167</v>
      </c>
      <c r="H114" s="1674">
        <f>SUM(H33,H74,H75,H102,H112,H113)</f>
        <v>851914</v>
      </c>
      <c r="I114" s="1674">
        <f t="shared" si="13"/>
        <v>0</v>
      </c>
      <c r="J114" s="1674">
        <f t="shared" si="13"/>
        <v>0</v>
      </c>
      <c r="K114" s="1674">
        <f t="shared" si="13"/>
        <v>6656329</v>
      </c>
      <c r="L114" s="1674">
        <f>SUM(L33,L74,L75,L102,L112,L113)</f>
        <v>6880091</v>
      </c>
    </row>
    <row r="115" spans="1:14" ht="13.5" thickTop="1" x14ac:dyDescent="0.2">
      <c r="A115" s="2261" t="s">
        <v>989</v>
      </c>
      <c r="B115" s="2262"/>
      <c r="C115" s="1675"/>
      <c r="D115" s="1675"/>
      <c r="E115" s="1675"/>
      <c r="F115" s="1675"/>
      <c r="G115" s="1675"/>
      <c r="H115" s="1675"/>
      <c r="I115" s="1675"/>
      <c r="J115" s="1675"/>
      <c r="K115" s="1689">
        <f>'Revenues 9-14'!C268-'Expenditures 15-22'!K114</f>
        <v>434809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6ce3111e-7420-4802-b50a-75d4e9a0b980"/>
    <ds:schemaRef ds:uri="http://www.w3.org/XML/1998/namespace"/>
    <ds:schemaRef ds:uri="4d435f69-8686-490b-bd6d-b153bf22ab50"/>
    <ds:schemaRef ds:uri="http://purl.org/dc/dcmitype/"/>
    <ds:schemaRef ds:uri="http://schemas.openxmlformats.org/package/2006/metadata/core-properties"/>
    <ds:schemaRef ds:uri="http://schemas.microsoft.com/office/infopath/2007/PartnerControls"/>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2020-10-16T21:24:34Z</cp:lastPrinted>
  <dcterms:created xsi:type="dcterms:W3CDTF">2003-10-29T19:06:34Z</dcterms:created>
  <dcterms:modified xsi:type="dcterms:W3CDTF">2020-11-04T18:32:34Z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