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0D9411E3-E367-41EE-BE9C-92D983E1251D}"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SEFA'!$B$1:$M$62</definedName>
    <definedName name="_xlnm.Print_Area" localSheetId="28">'SEFA NOTES'!$A$1:$F$59</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6" l="1"/>
  <c r="C10" i="185"/>
  <c r="D36" i="173" l="1"/>
  <c r="I42" i="179" l="1"/>
  <c r="F39" i="179"/>
  <c r="F38" i="179"/>
  <c r="I38" i="179" s="1"/>
  <c r="L38" i="179" s="1"/>
  <c r="I37" i="179"/>
  <c r="I31" i="179"/>
  <c r="F31" i="179"/>
  <c r="J27" i="179"/>
  <c r="J32" i="179" s="1"/>
  <c r="J43" i="179" s="1"/>
  <c r="J26" i="179"/>
  <c r="I27" i="179"/>
  <c r="I26" i="179"/>
  <c r="F27" i="179"/>
  <c r="F26" i="179"/>
  <c r="L25" i="179"/>
  <c r="L24" i="179"/>
  <c r="L30" i="179"/>
  <c r="L31" i="179" s="1"/>
  <c r="I18" i="179"/>
  <c r="I19" i="179"/>
  <c r="G19" i="179"/>
  <c r="F19" i="179"/>
  <c r="E19" i="179"/>
  <c r="E43" i="179" s="1"/>
  <c r="G18" i="179"/>
  <c r="F18" i="179"/>
  <c r="E18" i="179"/>
  <c r="L37" i="179" l="1"/>
  <c r="L39" i="179" s="1"/>
  <c r="I32" i="179"/>
  <c r="L19" i="179"/>
  <c r="F32" i="179"/>
  <c r="F43" i="179" s="1"/>
  <c r="I39" i="179"/>
  <c r="L27" i="179"/>
  <c r="L32" i="179" s="1"/>
  <c r="G43" i="179"/>
  <c r="L26" i="179"/>
  <c r="C27" i="3"/>
  <c r="I43" i="179" l="1"/>
  <c r="J24" i="24"/>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A15" i="183" l="1"/>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2" i="179" l="1"/>
  <c r="L43" i="179" s="1"/>
  <c r="L18" i="179"/>
  <c r="L17" i="179"/>
  <c r="L16" i="179"/>
  <c r="L15" i="179"/>
  <c r="L14" i="179"/>
  <c r="D14" i="171" l="1"/>
  <c r="D12" i="171"/>
  <c r="A10" i="169"/>
  <c r="A15" i="169"/>
  <c r="A14" i="169"/>
  <c r="K18" i="169"/>
  <c r="G18" i="169"/>
  <c r="G15" i="169"/>
  <c r="I13" i="169"/>
  <c r="G11" i="169"/>
  <c r="G10" i="169"/>
  <c r="G9" i="169"/>
  <c r="G7" i="169"/>
  <c r="E7" i="169"/>
  <c r="A7" i="169"/>
  <c r="B4" i="177"/>
  <c r="B4" i="176"/>
  <c r="B4" i="175"/>
  <c r="G43" i="174"/>
  <c r="D47" i="174" s="1"/>
  <c r="B4" i="174"/>
  <c r="E41"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83" i="127"/>
  <c r="B84" i="127"/>
  <c r="G26" i="108"/>
  <c r="E27" i="108"/>
  <c r="G27"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L22" i="37"/>
  <c r="D24" i="37"/>
  <c r="B4270" i="106" s="1"/>
  <c r="D4270" i="106" s="1"/>
  <c r="B5752" i="106"/>
  <c r="D5752" i="106" s="1"/>
  <c r="H33" i="118" l="1"/>
  <c r="F69" i="34"/>
  <c r="F70" i="34"/>
  <c r="F67" i="34"/>
  <c r="F36" i="108"/>
  <c r="B2836" i="106"/>
  <c r="D2836" i="106" s="1"/>
  <c r="F42" i="34"/>
  <c r="F37" i="34"/>
  <c r="B7829" i="106" s="1"/>
  <c r="D7829" i="106" s="1"/>
  <c r="B7047" i="106"/>
  <c r="D7047" i="106" s="1"/>
  <c r="H28" i="118"/>
  <c r="C129" i="29"/>
  <c r="B6289" i="106"/>
  <c r="D6289" i="106" s="1"/>
  <c r="F50" i="34"/>
  <c r="H15" i="184"/>
  <c r="H76" i="4"/>
  <c r="B3298" i="106" s="1"/>
  <c r="D3298" i="106" s="1"/>
  <c r="F77" i="4"/>
  <c r="B3255" i="106" s="1"/>
  <c r="D3255" i="106" s="1"/>
  <c r="C342" i="29"/>
  <c r="B7216" i="106" s="1"/>
  <c r="D7216" i="106" s="1"/>
  <c r="J210" i="29"/>
  <c r="B7072" i="106" s="1"/>
  <c r="D7072" i="106" s="1"/>
  <c r="D22" i="37"/>
  <c r="B1868" i="106"/>
  <c r="D1868" i="106" s="1"/>
  <c r="F72" i="34"/>
  <c r="G33" i="108"/>
  <c r="E17" i="184"/>
  <c r="H17" i="184" s="1"/>
  <c r="D31" i="108"/>
  <c r="E16" i="184"/>
  <c r="H16" i="184" s="1"/>
  <c r="H365" i="29"/>
  <c r="B7242" i="106" s="1"/>
  <c r="D7242" i="106" s="1"/>
  <c r="C352" i="29"/>
  <c r="B3621" i="106" s="1"/>
  <c r="D3621" i="106" s="1"/>
  <c r="J129" i="29"/>
  <c r="B7038" i="106" s="1"/>
  <c r="D7038" i="106" s="1"/>
  <c r="D69" i="36"/>
  <c r="D68" i="36"/>
  <c r="G14" i="4"/>
  <c r="B2609" i="106" s="1"/>
  <c r="D2609" i="106" s="1"/>
  <c r="B7153" i="106"/>
  <c r="D7153" i="106" s="1"/>
  <c r="E60" i="184"/>
  <c r="N60" i="184" s="1"/>
  <c r="H342" i="29"/>
  <c r="B7221" i="106" s="1"/>
  <c r="D7221" i="106" s="1"/>
  <c r="B7696" i="106"/>
  <c r="D7696" i="106" s="1"/>
  <c r="E66" i="184"/>
  <c r="N66" i="184" s="1"/>
  <c r="B7135" i="106"/>
  <c r="D7135" i="106" s="1"/>
  <c r="E58" i="184"/>
  <c r="N58" i="184" s="1"/>
  <c r="I210" i="29"/>
  <c r="B7071" i="106" s="1"/>
  <c r="D7071" i="106" s="1"/>
  <c r="I129" i="29"/>
  <c r="B7037" i="106" s="1"/>
  <c r="D7037" i="106" s="1"/>
  <c r="B7198" i="106"/>
  <c r="D7198" i="106" s="1"/>
  <c r="E65" i="184"/>
  <c r="N65" i="184" s="1"/>
  <c r="B7126" i="106"/>
  <c r="D7126" i="106" s="1"/>
  <c r="E57" i="184"/>
  <c r="B7189" i="106"/>
  <c r="D7189" i="106" s="1"/>
  <c r="E64" i="184"/>
  <c r="N64" i="184" s="1"/>
  <c r="F71" i="34"/>
  <c r="B7180" i="106"/>
  <c r="D7180" i="106" s="1"/>
  <c r="E63" i="184"/>
  <c r="N63" i="184" s="1"/>
  <c r="B7705" i="106"/>
  <c r="D7705" i="106" s="1"/>
  <c r="E67" i="184"/>
  <c r="N67" i="184" s="1"/>
  <c r="B7171" i="106"/>
  <c r="D7171" i="106" s="1"/>
  <c r="E62" i="184"/>
  <c r="N62" i="184" s="1"/>
  <c r="B7162" i="106"/>
  <c r="D7162" i="106" s="1"/>
  <c r="E61" i="184"/>
  <c r="N61" i="184" s="1"/>
  <c r="G30" i="108"/>
  <c r="B2724" i="106"/>
  <c r="D2724" i="106" s="1"/>
  <c r="H12" i="184"/>
  <c r="F34"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H77" i="4"/>
  <c r="B3299" i="106" s="1"/>
  <c r="D3299" i="106" s="1"/>
  <c r="B7215" i="106"/>
  <c r="D7215" i="106" s="1"/>
  <c r="F66" i="34"/>
  <c r="J151" i="29"/>
  <c r="B7052" i="106" s="1"/>
  <c r="D7052" i="106" s="1"/>
  <c r="K77" i="4"/>
  <c r="B3587" i="106" s="1"/>
  <c r="D3587" i="106" s="1"/>
  <c r="C367" i="29"/>
  <c r="B3622" i="106" s="1"/>
  <c r="D3622" i="106" s="1"/>
  <c r="K365" i="29"/>
  <c r="B7243" i="106" s="1"/>
  <c r="D7243" i="106" s="1"/>
  <c r="B5770" i="106"/>
  <c r="D5770" i="106" s="1"/>
  <c r="B5527" i="106"/>
  <c r="D5527" i="106" s="1"/>
  <c r="B1328" i="106"/>
  <c r="D1328" i="106" s="1"/>
  <c r="H19" i="184"/>
  <c r="L20" i="184" s="1"/>
  <c r="E19" i="184"/>
  <c r="B1381" i="106"/>
  <c r="D1381" i="106" s="1"/>
  <c r="I151" i="29"/>
  <c r="F59" i="34" s="1"/>
  <c r="L114" i="29"/>
  <c r="B7222" i="106"/>
  <c r="D7222" i="106" s="1"/>
  <c r="F76" i="34"/>
  <c r="B7887" i="106" s="1"/>
  <c r="D7887" i="106" s="1"/>
  <c r="K342" i="29"/>
  <c r="F13" i="34" s="1"/>
  <c r="B7235" i="106"/>
  <c r="D7235" i="106" s="1"/>
  <c r="N57" i="184"/>
  <c r="N68" i="184" s="1"/>
  <c r="E68" i="184"/>
  <c r="E367" i="29"/>
  <c r="B3636" i="106" s="1"/>
  <c r="D3636" i="106" s="1"/>
  <c r="B3635" i="106"/>
  <c r="D3635" i="106" s="1"/>
  <c r="B7220" i="106"/>
  <c r="D7220" i="106" s="1"/>
  <c r="F75" i="34"/>
  <c r="B7886" i="106" s="1"/>
  <c r="D7886" i="106" s="1"/>
  <c r="F41" i="108"/>
  <c r="G43" i="108" s="1"/>
  <c r="B6216" i="106"/>
  <c r="D6216" i="106" s="1"/>
  <c r="N23" i="3"/>
  <c r="B284" i="106" s="1"/>
  <c r="D284" i="106" s="1"/>
  <c r="L16" i="11"/>
  <c r="B2061" i="106" s="1"/>
  <c r="D2061" i="106" s="1"/>
  <c r="B7826" i="106"/>
  <c r="D782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16" i="4" l="1"/>
  <c r="K367" i="29"/>
  <c r="K368" i="29" s="1"/>
  <c r="B3681" i="106" s="1"/>
  <c r="D3681"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7" i="106"/>
  <c r="D6227" i="106" s="1"/>
  <c r="B6223" i="106"/>
  <c r="D6223" i="106" s="1"/>
  <c r="J19" i="4"/>
  <c r="B6229" i="106" s="1"/>
  <c r="D6229" i="106" s="1"/>
  <c r="F8" i="4"/>
  <c r="F10" i="4" s="1"/>
  <c r="B4125" i="106" s="1"/>
  <c r="D4125" i="106" s="1"/>
  <c r="F77" i="34"/>
  <c r="B7834" i="106" s="1"/>
  <c r="D7834" i="106" s="1"/>
  <c r="K17" i="4"/>
  <c r="K20" i="4"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<sst xmlns="http://schemas.openxmlformats.org/spreadsheetml/2006/main" count="5319" uniqueCount="2171">
  <si>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</si>
  <si>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</si>
  <si>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</si>
  <si>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</si>
  <si>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</si>
  <si>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</si>
  <si>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</si>
  <si>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</si>
  <si>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</si>
  <si>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</si>
  <si>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</si>
  <si>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</si>
  <si>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</si>
  <si>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</si>
  <si>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</si>
  <si>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</si>
  <si>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</si>
  <si>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</si>
  <si>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</si>
  <si>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</si>
  <si>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</si>
  <si>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</si>
  <si>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</si>
  <si>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</si>
  <si>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</si>
  <si>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</si>
  <si>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</si>
  <si>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</si>
  <si>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</si>
  <si>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</si>
  <si>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</si>
  <si>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</si>
  <si>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</si>
  <si>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</si>
  <si>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</si>
  <si>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</si>
  <si>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</si>
  <si>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</si>
  <si>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</si>
  <si>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</si>
  <si>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</si>
  <si>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</si>
  <si>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</si>
  <si>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</si>
  <si>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</si>
  <si>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</si>
  <si>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</si>
  <si>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</si>
  <si>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</si>
  <si>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</si>
  <si>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</si>
  <si>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</si>
  <si>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</si>
  <si>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</si>
  <si>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</si>
  <si>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</si>
  <si>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</si>
  <si>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</si>
  <si>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</si>
  <si>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</si>
  <si>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</si>
  <si>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</si>
  <si>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</si>
  <si>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</si>
  <si>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</si>
  <si>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</si>
  <si>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</si>
  <si>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</si>
  <si>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</si>
  <si>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</si>
  <si>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</si>
  <si>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</si>
  <si>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</si>
  <si>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</si>
  <si>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</si>
  <si>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</si>
  <si>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</si>
  <si>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</si>
  <si>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</si>
  <si>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</si>
  <si>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</si>
  <si>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</si>
  <si>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</si>
  <si>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</si>
  <si>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</si>
  <si>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</si>
  <si>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</si>
  <si>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</si>
  <si>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</si>
  <si>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</si>
  <si>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</si>
  <si>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</si>
  <si>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</si>
  <si>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</si>
  <si>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</si>
  <si>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</si>
  <si>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</si>
  <si>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</si>
  <si>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</si>
  <si>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</si>
  <si>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</si>
  <si>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</si>
  <si>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</si>
  <si>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</si>
  <si>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</si>
  <si>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</si>
  <si>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</si>
  <si>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</si>
  <si>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</si>
  <si>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</si>
  <si>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</si>
  <si>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</si>
  <si>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</si>
  <si>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</si>
  <si>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</si>
  <si>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</si>
  <si>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</si>
  <si>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</si>
  <si>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</si>
  <si>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</si>
  <si>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</si>
  <si>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</si>
  <si>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</si>
  <si>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</si>
  <si>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</si>
  <si>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</si>
  <si>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</si>
  <si>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</si>
  <si>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</si>
  <si>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</si>
  <si>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</si>
  <si>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</si>
  <si>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</si>
  <si>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</si>
  <si>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</si>
  <si>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</si>
  <si>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</si>
  <si>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</si>
  <si>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</si>
  <si>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</si>
  <si>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</si>
  <si>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</si>
  <si>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</si>
  <si>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</si>
  <si>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</si>
  <si>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</si>
  <si>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</si>
  <si>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</si>
  <si>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</si>
  <si>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</si>
  <si>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</si>
  <si>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</si>
  <si>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</si>
  <si>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</si>
  <si>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</si>
  <si>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</si>
  <si>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</si>
  <si>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</si>
  <si>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</si>
  <si>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</si>
  <si>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</si>
  <si>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</si>
  <si>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</si>
  <si>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</si>
  <si>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</si>
  <si>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</si>
  <si>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</si>
  <si>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</si>
  <si>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</si>
  <si>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</si>
  <si>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</si>
  <si>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</si>
  <si>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</si>
  <si>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</si>
  <si>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</si>
  <si>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</si>
  <si>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</si>
  <si>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</si>
  <si>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</si>
  <si>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</si>
  <si>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</si>
  <si>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</si>
  <si>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</si>
  <si>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</si>
  <si>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</si>
  <si>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</si>
  <si>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</si>
  <si>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</si>
  <si>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</si>
  <si>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</si>
  <si>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</si>
  <si>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</si>
  <si>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</si>
  <si>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</si>
  <si>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</si>
  <si>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</si>
  <si>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</si>
  <si>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</si>
  <si>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</si>
  <si>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</si>
  <si>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</si>
  <si>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</si>
  <si>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</si>
  <si>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</si>
  <si>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</si>
  <si>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</si>
  <si>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</si>
  <si>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</si>
  <si>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</si>
  <si>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</si>
  <si>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</si>
  <si>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</si>
  <si>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</si>
  <si>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</si>
  <si>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</si>
  <si>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</si>
  <si>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</si>
  <si>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</si>
  <si>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</si>
  <si>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</si>
  <si>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</si>
  <si>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</si>
  <si>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</si>
  <si>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</si>
  <si>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</si>
  <si>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</si>
  <si>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</si>
  <si>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</si>
  <si>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</si>
  <si>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</si>
  <si>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</si>
  <si>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</si>
  <si>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</si>
  <si>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</si>
  <si>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</si>
  <si>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</si>
  <si>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</si>
  <si>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</si>
  <si>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</si>
  <si>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</si>
  <si>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</si>
  <si>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</si>
  <si>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</si>
  <si>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</si>
  <si>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</si>
  <si>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</si>
  <si>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</si>
  <si>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</si>
  <si>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</si>
  <si>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</si>
  <si>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</si>
  <si>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</si>
  <si>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</si>
  <si>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</si>
  <si>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</si>
  <si>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</si>
  <si>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</si>
  <si>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</si>
  <si>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</si>
  <si>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</si>
  <si>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</si>
  <si>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</si>
  <si>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</si>
  <si>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</si>
  <si>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</si>
  <si>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</si>
  <si>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</si>
  <si>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</si>
  <si>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</si>
  <si>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</si>
  <si>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</si>
  <si>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</si>
  <si>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</si>
  <si>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</si>
  <si>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</si>
  <si>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</si>
  <si>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</si>
  <si>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</si>
  <si>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</si>
  <si>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</si>
  <si>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</si>
  <si>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</si>
  <si>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</si>
  <si>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</si>
  <si>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</si>
  <si>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</si>
  <si>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</si>
  <si>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</si>
  <si>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</si>
  <si>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</si>
  <si>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</si>
  <si>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</si>
  <si>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</si>
  <si>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</si>
  <si>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</si>
  <si>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</si>
  <si>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</si>
  <si>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</si>
  <si>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</si>
  <si>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</si>
  <si>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</si>
  <si>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</si>
  <si>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</si>
  <si>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</si>
  <si>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</si>
  <si>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</si>
  <si>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</si>
  <si>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</si>
  <si>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</si>
  <si>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</si>
  <si>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</si>
  <si>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</si>
  <si>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</si>
  <si>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</si>
  <si>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</si>
  <si>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</si>
  <si>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</si>
  <si>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</si>
  <si>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</si>
  <si>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</si>
  <si>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</si>
  <si>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</si>
  <si>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</si>
  <si>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</si>
  <si>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</si>
  <si>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</si>
  <si>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</si>
  <si>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</si>
  <si>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</si>
  <si>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</si>
  <si>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</si>
  <si>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</si>
  <si>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</si>
  <si>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</si>
  <si>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</si>
  <si>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</si>
  <si>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</si>
  <si>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</si>
  <si>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</si>
  <si>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</si>
  <si>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</si>
  <si>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</si>
  <si>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</si>
  <si>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</si>
  <si>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</si>
  <si>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</si>
  <si>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</si>
  <si>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</si>
  <si>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</si>
  <si>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</si>
  <si>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</si>
  <si>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</si>
  <si>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</si>
  <si>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</si>
  <si>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</si>
  <si>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</si>
  <si>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</si>
  <si>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</si>
  <si>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</si>
  <si>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</si>
  <si>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</si>
  <si>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</si>
  <si>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</si>
  <si>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</si>
  <si>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</si>
  <si>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</si>
  <si>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</si>
  <si>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</si>
  <si>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</si>
  <si>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</si>
  <si>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</si>
  <si>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</si>
  <si>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</si>
  <si>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</si>
  <si>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</si>
  <si>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</si>
  <si>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</si>
  <si>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</si>
  <si>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</si>
  <si>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</si>
  <si>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</si>
  <si>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</si>
  <si>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</si>
  <si>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</si>
  <si>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</si>
  <si>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</si>
  <si>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</si>
  <si>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</si>
  <si>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</si>
  <si>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</si>
  <si>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</si>
  <si>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</si>
  <si>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</si>
  <si>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</si>
  <si>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</si>
  <si>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</si>
  <si>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</si>
  <si>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</si>
  <si>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</si>
  <si>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</si>
  <si>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</si>
  <si>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</si>
  <si>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</si>
  <si>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</si>
  <si>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</si>
  <si>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</si>
  <si>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</si>
  <si>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</si>
  <si>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</si>
  <si>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</si>
  <si>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</si>
  <si>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</si>
  <si>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</si>
  <si>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</si>
  <si>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</si>
  <si>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</si>
  <si>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</si>
  <si>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</si>
  <si>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</si>
  <si>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</si>
  <si>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</si>
  <si>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</si>
  <si>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</si>
  <si>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</si>
  <si>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</si>
  <si>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</si>
  <si>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</si>
  <si>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</si>
  <si>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</si>
  <si>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</si>
  <si>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</si>
  <si>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</si>
  <si>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</si>
  <si>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</si>
  <si>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</si>
  <si>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</si>
  <si>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</si>
  <si>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</si>
  <si>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</si>
  <si>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</si>
  <si>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</si>
  <si>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</si>
  <si>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</si>
  <si>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</si>
  <si>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</si>
  <si>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</si>
  <si>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</si>
  <si>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</si>
  <si>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</si>
  <si>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</si>
  <si>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</si>
  <si>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</si>
  <si>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</si>
  <si>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</si>
  <si>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</si>
  <si>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</si>
  <si>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</si>
  <si>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</si>
  <si>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</si>
  <si>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</si>
  <si>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</si>
  <si>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</si>
  <si>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</si>
  <si>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</si>
  <si>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</si>
  <si>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</si>
  <si>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</si>
  <si>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</si>
  <si>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</si>
  <si>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</si>
  <si>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</si>
  <si>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</si>
  <si>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</si>
  <si>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</si>
  <si>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</si>
  <si>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</si>
  <si>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</si>
  <si>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</si>
  <si>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</si>
  <si>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</si>
  <si>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</si>
  <si>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</si>
  <si>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</si>
  <si>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</si>
  <si>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</si>
  <si>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</si>
  <si>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</si>
  <si>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</si>
  <si>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</si>
  <si>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</si>
  <si>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</si>
  <si>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</si>
  <si>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</si>
  <si>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</si>
  <si>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</si>
  <si>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</si>
  <si>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</si>
  <si>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</si>
  <si>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</si>
  <si>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</si>
  <si>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</si>
  <si>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</si>
  <si>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</si>
  <si>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</si>
  <si>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</si>
  <si>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</si>
  <si>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</si>
  <si>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</si>
  <si>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</si>
  <si>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</si>
  <si>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</si>
  <si>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</si>
  <si>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</si>
  <si>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</si>
  <si>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</si>
  <si>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</si>
  <si>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</si>
  <si>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</si>
  <si>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</si>
  <si>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</si>
  <si>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</si>
  <si>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</si>
  <si>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</si>
  <si>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</si>
  <si>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</si>
  <si>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</si>
  <si>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</si>
  <si>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</si>
  <si>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</si>
  <si>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</si>
  <si>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</si>
  <si>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</si>
  <si>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</si>
  <si>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</si>
  <si>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</si>
  <si>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</si>
  <si>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</si>
  <si>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</si>
  <si>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</si>
  <si>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</si>
  <si>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</si>
  <si>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</si>
  <si>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</si>
  <si>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</si>
  <si>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</si>
  <si>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</si>
  <si>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</si>
  <si>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</si>
  <si>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</si>
  <si>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</si>
  <si>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</si>
  <si>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</si>
  <si>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</si>
  <si>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</si>
  <si>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</si>
  <si>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</si>
  <si>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</si>
  <si>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</si>
  <si>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</si>
  <si>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</si>
  <si>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</si>
  <si>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</si>
  <si>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</si>
  <si>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</si>
  <si>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</si>
  <si>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</si>
  <si>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</si>
  <si>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</si>
  <si>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</si>
  <si>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</si>
  <si>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</si>
  <si>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</si>
  <si>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</si>
  <si>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</si>
  <si>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</si>
  <si>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</si>
  <si>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</si>
  <si>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</si>
  <si>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</si>
  <si>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</si>
  <si>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</si>
  <si>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</si>
  <si>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</si>
  <si>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</si>
  <si>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</si>
  <si>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</si>
  <si>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</si>
  <si>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</si>
  <si>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</si>
  <si>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</si>
  <si>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</si>
  <si>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</si>
  <si>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</si>
  <si>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</si>
  <si>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</si>
  <si>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</si>
  <si>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</si>
  <si>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</si>
  <si>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</si>
  <si>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</si>
  <si>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</si>
  <si>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</si>
  <si>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</si>
  <si>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</si>
  <si>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</si>
  <si>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</si>
  <si>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</si>
  <si>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</si>
  <si>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</si>
  <si>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</si>
  <si>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</si>
  <si>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</si>
  <si>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</si>
  <si>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</si>
  <si>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</si>
  <si>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</si>
  <si>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</si>
  <si>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</si>
  <si>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</si>
  <si>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</si>
  <si>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</si>
  <si>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</si>
  <si>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</si>
  <si>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</si>
  <si>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</si>
  <si>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</si>
  <si>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</si>
  <si>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</si>
  <si>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</si>
  <si>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</si>
  <si>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</si>
  <si>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</si>
  <si>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</si>
  <si>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</si>
  <si>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</si>
  <si>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</si>
  <si>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</si>
  <si>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</si>
  <si>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</si>
  <si>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</si>
  <si>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</si>
  <si>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</si>
  <si>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</si>
  <si>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</si>
  <si>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</si>
  <si>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</si>
  <si>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</si>
  <si>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</si>
  <si>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</si>
  <si>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</si>
  <si>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</si>
  <si>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</si>
  <si>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</si>
  <si>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</si>
  <si>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</si>
  <si>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</si>
  <si>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</si>
  <si>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</si>
  <si>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</si>
  <si>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</si>
  <si>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</si>
  <si>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</si>
  <si>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</si>
  <si>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</si>
  <si>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</si>
  <si>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</si>
  <si>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</si>
  <si>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</si>
  <si>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</si>
  <si>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</si>
  <si>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</si>
  <si>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</si>
  <si>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</si>
  <si>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</si>
  <si>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</si>
  <si>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</si>
  <si>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</si>
  <si>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</si>
  <si>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</si>
  <si>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</si>
  <si>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</si>
  <si>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</si>
  <si>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</si>
  <si>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</si>
  <si>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</si>
  <si>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</si>
  <si>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</si>
  <si>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</si>
  <si>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</si>
  <si>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</si>
  <si>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</si>
  <si>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</si>
  <si>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</si>
  <si>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</si>
  <si>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</si>
  <si>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</si>
  <si>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</si>
  <si>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</si>
  <si>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</si>
  <si>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</si>
  <si>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</si>
  <si>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</si>
  <si>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</si>
  <si>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</si>
  <si>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</si>
  <si>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</si>
  <si>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</si>
  <si>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</si>
  <si>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</si>
  <si>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</si>
  <si>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</si>
  <si>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</si>
  <si>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</si>
  <si>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</si>
  <si>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</si>
  <si>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</si>
  <si>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</si>
  <si>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</si>
  <si>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</si>
  <si>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</si>
  <si>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</si>
  <si>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</si>
  <si>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</si>
  <si>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</si>
  <si>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</si>
  <si>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</si>
  <si>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</si>
  <si>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</si>
  <si>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</si>
  <si>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</si>
  <si>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</si>
  <si>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</si>
  <si>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</si>
  <si>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</si>
  <si>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</si>
  <si>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</si>
  <si>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</si>
  <si>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</si>
  <si>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</si>
  <si>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</si>
  <si>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</si>
  <si>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</si>
  <si>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</si>
  <si>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</si>
  <si>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</si>
  <si>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</si>
  <si>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</si>
  <si>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</si>
  <si>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</si>
  <si>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</si>
  <si>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</si>
  <si>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</si>
  <si>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</si>
  <si>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</si>
  <si>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</si>
  <si>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</si>
  <si>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</si>
  <si>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</si>
  <si>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</si>
  <si>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</si>
  <si>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</si>
  <si>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</si>
  <si>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</si>
  <si>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</si>
  <si>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</si>
  <si>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</si>
  <si>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</si>
  <si>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</si>
  <si>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</si>
  <si>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</si>
  <si>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</si>
  <si>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</si>
  <si>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</si>
  <si>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</si>
  <si>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</si>
  <si>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</si>
  <si>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</si>
  <si>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</si>
  <si>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</si>
  <si>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</si>
  <si>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</si>
  <si>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</si>
  <si>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</si>
  <si>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</si>
  <si>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</si>
  <si>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</si>
  <si>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</si>
  <si>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</si>
  <si>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</si>
  <si>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</si>
  <si>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</si>
  <si>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</si>
  <si>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</si>
  <si>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</si>
  <si>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</si>
  <si>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</si>
  <si>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</si>
  <si>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</si>
  <si>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</si>
  <si>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</si>
  <si>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</si>
  <si>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</si>
  <si>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</si>
  <si>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</si>
  <si>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</si>
  <si>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</si>
  <si>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</si>
  <si>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</si>
  <si>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</si>
  <si>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</si>
  <si>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</si>
  <si>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</si>
  <si>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</si>
  <si>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</si>
  <si>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</si>
  <si>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</si>
  <si>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</si>
  <si>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</si>
  <si>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</si>
  <si>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</si>
  <si>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</si>
  <si>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</si>
  <si>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</si>
  <si>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</si>
  <si>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</si>
  <si>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</si>
  <si>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</si>
  <si>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</si>
  <si>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</si>
  <si>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</si>
  <si>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</si>
  <si>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</si>
  <si>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</si>
  <si>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</si>
  <si>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</si>
  <si>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</si>
  <si>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</si>
  <si>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</si>
  <si>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</si>
  <si>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</si>
  <si>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</si>
  <si>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</si>
  <si>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</si>
  <si>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</si>
  <si>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</si>
  <si>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</si>
  <si>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</si>
  <si>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</si>
  <si>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</si>
  <si>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</si>
  <si>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</si>
  <si>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</si>
  <si>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</si>
  <si>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</si>
  <si>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</si>
  <si>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</si>
  <si>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</si>
  <si>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</si>
  <si>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</si>
  <si>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</si>
  <si>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</si>
  <si>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</si>
  <si>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</si>
  <si>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</si>
  <si>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</si>
  <si>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</si>
  <si>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</si>
  <si>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</si>
  <si>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</si>
  <si>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</si>
  <si>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</si>
  <si>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</si>
  <si>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</si>
  <si>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</si>
  <si>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</si>
  <si>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</si>
  <si>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</si>
  <si>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</si>
  <si>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</si>
  <si>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</si>
  <si>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</si>
  <si>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</si>
  <si>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</si>
  <si>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</si>
  <si>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</si>
  <si>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</si>
  <si>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</si>
  <si>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</si>
  <si>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</si>
  <si>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</si>
  <si>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</si>
  <si>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</si>
  <si>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</si>
  <si>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</si>
  <si>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</si>
  <si>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</si>
  <si>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</si>
  <si>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</si>
  <si>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</si>
  <si>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</si>
  <si>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</si>
  <si>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</si>
  <si>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</si>
  <si>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</si>
  <si>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</si>
  <si>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</si>
  <si>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</si>
  <si>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</si>
  <si>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</si>
  <si>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</si>
  <si>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</si>
  <si>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</si>
  <si>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</si>
  <si>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</si>
  <si>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</si>
  <si>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</si>
  <si>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</si>
  <si>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</si>
  <si>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</si>
  <si>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</si>
  <si>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</si>
  <si>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</si>
  <si>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</si>
  <si>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</si>
  <si>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</si>
  <si>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</si>
  <si>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</si>
  <si>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</si>
  <si>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</si>
  <si>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</si>
  <si>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</si>
  <si>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</si>
  <si>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</si>
  <si>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</si>
  <si>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</si>
  <si>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</si>
  <si>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</si>
  <si>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</si>
  <si>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</si>
  <si>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</si>
  <si>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</si>
  <si>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</si>
  <si>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</si>
  <si>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</si>
  <si>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</si>
  <si>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</si>
  <si>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</si>
  <si>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</si>
  <si>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</si>
  <si>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</si>
  <si>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</si>
  <si>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</si>
  <si>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</si>
  <si>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</si>
  <si>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</si>
  <si>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</si>
  <si>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</si>
  <si>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</si>
  <si>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</si>
  <si>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</si>
  <si>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</si>
  <si>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</si>
  <si>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</si>
  <si>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</si>
  <si>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</si>
  <si>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</si>
  <si>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</si>
  <si>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</si>
  <si>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</si>
  <si>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</si>
  <si>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</si>
  <si>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</si>
  <si>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</si>
  <si>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</si>
  <si>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</si>
  <si>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</si>
  <si>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</si>
  <si>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</si>
  <si>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</si>
  <si>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</si>
  <si>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</si>
  <si>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</si>
  <si>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</si>
  <si>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</si>
  <si>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</si>
  <si>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</si>
  <si>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</si>
  <si>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</si>
  <si>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</si>
  <si>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</si>
  <si>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</si>
  <si>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</si>
  <si>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</si>
  <si>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</si>
  <si>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</si>
  <si>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</si>
  <si>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</si>
  <si>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</si>
  <si>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</si>
  <si>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</si>
  <si>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</si>
  <si>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</si>
  <si>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</si>
  <si>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</si>
  <si>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</si>
  <si>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</si>
  <si>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</si>
  <si>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</si>
  <si>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</si>
  <si>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</si>
  <si>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</si>
  <si>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</si>
  <si>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</si>
  <si>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</si>
  <si>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</si>
  <si>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</si>
  <si>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</si>
  <si>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</si>
  <si>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</si>
  <si>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</si>
  <si>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</si>
  <si>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</si>
  <si>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</si>
  <si>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</si>
  <si>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</si>
  <si>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</si>
  <si>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</si>
  <si>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</si>
  <si>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</si>
  <si>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</si>
  <si>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</si>
  <si>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</si>
  <si>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</si>
  <si>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</si>
  <si>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</si>
  <si>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</si>
  <si>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</si>
  <si>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</si>
  <si>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</si>
  <si>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</si>
  <si>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</si>
  <si>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</si>
  <si>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</si>
  <si>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</si>
  <si>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</si>
  <si>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</si>
  <si>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</si>
  <si>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</si>
  <si>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</si>
  <si>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</si>
  <si>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</si>
  <si>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</si>
  <si>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</si>
  <si>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</si>
  <si>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</si>
  <si>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</si>
  <si>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</si>
  <si>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</si>
  <si>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</si>
  <si>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</si>
  <si>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</si>
  <si>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</si>
  <si>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</si>
  <si>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</si>
  <si>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</si>
  <si>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</si>
  <si>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</si>
  <si>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</si>
  <si>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</si>
  <si>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</si>
  <si>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</si>
  <si>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</si>
  <si>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</si>
  <si>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</si>
  <si>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</si>
  <si>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</si>
  <si>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</si>
  <si>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</si>
  <si>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</si>
  <si>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</si>
  <si>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</si>
  <si>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</si>
  <si>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</si>
  <si>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</si>
  <si>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</si>
  <si>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</si>
  <si>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</si>
  <si>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</si>
  <si>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</si>
  <si>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</si>
  <si>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</si>
  <si>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</si>
  <si>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</si>
  <si>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</si>
  <si>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</si>
  <si>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</si>
  <si>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</si>
  <si>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</si>
  <si>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</si>
  <si>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</si>
  <si>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</si>
  <si>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</si>
  <si>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</si>
  <si>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</si>
  <si>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</si>
  <si>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</si>
  <si>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</si>
  <si>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</si>
  <si>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</si>
  <si>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</si>
  <si>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</si>
  <si>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</si>
  <si>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</si>
  <si>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</si>
  <si>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</si>
  <si>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</si>
  <si>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</si>
  <si>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</si>
  <si>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</si>
  <si>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</si>
  <si>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</si>
  <si>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</si>
  <si>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</si>
  <si>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</si>
  <si>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</si>
  <si>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</si>
  <si>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</si>
  <si>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</si>
  <si>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</si>
  <si>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</si>
  <si>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</si>
  <si>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</si>
  <si>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</si>
  <si>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</si>
  <si>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</si>
  <si>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</si>
  <si>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</si>
  <si>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</si>
  <si>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</si>
  <si>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</si>
  <si>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</si>
  <si>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</si>
  <si>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</si>
  <si>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</si>
  <si>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</si>
  <si>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</si>
  <si>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</si>
  <si>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</si>
  <si>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</si>
  <si>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</si>
  <si>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</si>
  <si>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</si>
  <si>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</si>
  <si>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</si>
  <si>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</si>
  <si>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</si>
  <si>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</si>
  <si>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</si>
  <si>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</si>
  <si>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</si>
  <si>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</si>
  <si>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</si>
  <si>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</si>
  <si>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</si>
  <si>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</si>
  <si>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</si>
  <si>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</si>
  <si>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</si>
  <si>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</si>
  <si>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</si>
  <si>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</si>
  <si>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</si>
  <si>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</si>
  <si>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</si>
  <si>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</si>
  <si>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</si>
  <si>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</si>
  <si>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</si>
  <si>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</si>
  <si>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</si>
  <si>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</si>
  <si>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</si>
  <si>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</si>
  <si>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</si>
  <si>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</si>
  <si>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</si>
  <si>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</si>
  <si>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</si>
  <si>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</si>
  <si>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</si>
  <si>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</si>
  <si>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</si>
  <si>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</si>
  <si>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</si>
  <si>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</si>
  <si>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</si>
  <si>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</si>
  <si>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</si>
  <si>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</si>
  <si>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</si>
  <si>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</si>
  <si>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</si>
  <si>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</si>
  <si>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</si>
  <si>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</si>
  <si>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</si>
  <si>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</si>
  <si>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</si>
  <si>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</si>
  <si>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</si>
  <si>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</si>
  <si>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</si>
  <si>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</si>
  <si>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</si>
  <si>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</si>
  <si>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</si>
  <si>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</si>
  <si>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</si>
  <si>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</si>
  <si>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</si>
  <si>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</si>
  <si>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</si>
  <si>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</si>
  <si>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</si>
  <si>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</si>
  <si>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</si>
  <si>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</si>
  <si>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</si>
  <si>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</si>
  <si>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</si>
  <si>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</si>
  <si>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</si>
  <si>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</si>
  <si>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</si>
  <si>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</si>
  <si>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</si>
  <si>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</si>
  <si>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</si>
  <si>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</si>
  <si>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</si>
  <si>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</si>
  <si>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</si>
  <si>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</si>
  <si>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</si>
  <si>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</si>
  <si>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</si>
  <si>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</si>
  <si>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</si>
  <si>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</si>
  <si>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</si>
  <si>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</si>
  <si>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</si>
  <si>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</si>
  <si>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</si>
  <si>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</si>
  <si>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</si>
  <si>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</si>
  <si>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</si>
  <si>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</si>
  <si>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</si>
  <si>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</si>
  <si>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</si>
  <si>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</si>
  <si>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</si>
  <si>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</si>
  <si>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</si>
  <si>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</si>
  <si>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</si>
  <si>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</si>
  <si>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</si>
  <si>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</si>
  <si>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</si>
  <si>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</si>
  <si>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</si>
  <si>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</si>
  <si>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</si>
  <si>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</si>
  <si>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</si>
  <si>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</si>
  <si>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</si>
  <si>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</si>
  <si>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</si>
  <si>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</si>
  <si>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</si>
  <si>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</si>
  <si>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</si>
  <si>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</si>
  <si>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</si>
  <si>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</si>
  <si>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</si>
  <si>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</si>
  <si>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</si>
  <si>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</si>
  <si>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</si>
  <si>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</si>
  <si>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</si>
  <si>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</si>
  <si>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</si>
  <si>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</si>
  <si>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</si>
  <si>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</si>
  <si>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</si>
  <si>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</si>
  <si>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</si>
  <si>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</si>
  <si>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</si>
  <si>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</si>
  <si>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</si>
  <si>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</si>
  <si>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</si>
  <si>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</si>
  <si>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</si>
  <si>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</si>
  <si>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</si>
  <si>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</si>
  <si>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</si>
  <si>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</si>
  <si>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</si>
  <si>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</si>
  <si>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</si>
  <si>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</si>
  <si>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</si>
  <si>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</si>
  <si>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</si>
  <si>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</si>
  <si>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</si>
  <si>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</si>
  <si>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</si>
  <si>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</si>
  <si>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</si>
  <si>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</si>
  <si>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</si>
  <si>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</si>
  <si>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</si>
  <si>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</si>
  <si>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</si>
  <si>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</si>
  <si>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</si>
  <si>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</si>
  <si>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</si>
  <si>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</si>
  <si>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</si>
  <si>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</si>
  <si>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</si>
  <si>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</si>
  <si>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</si>
  <si>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</si>
  <si>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</si>
  <si>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</si>
  <si>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</si>
  <si>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</si>
  <si>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</si>
  <si>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</si>
  <si>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</si>
  <si>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</si>
  <si>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</si>
  <si>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</si>
  <si>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</si>
  <si>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</si>
  <si>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</si>
  <si>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</si>
  <si>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</si>
  <si>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</si>
  <si>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</si>
  <si>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</si>
  <si>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</si>
  <si>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</si>
  <si>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</si>
  <si>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</si>
  <si>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</si>
  <si>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</si>
  <si>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</si>
  <si>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</si>
  <si>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</si>
  <si>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</si>
  <si>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</si>
  <si>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</si>
  <si>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</si>
  <si>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</si>
  <si>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</si>
  <si>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</si>
  <si>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</si>
  <si>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</si>
  <si>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</si>
  <si>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</si>
  <si>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</si>
  <si>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</si>
  <si>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</si>
  <si>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</si>
  <si>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</si>
  <si>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</si>
  <si>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</si>
  <si>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</si>
  <si>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</si>
  <si>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</si>
  <si>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</si>
  <si>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</si>
  <si>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</si>
  <si>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</si>
  <si>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</si>
  <si>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</si>
  <si>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</si>
  <si>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</si>
  <si>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</si>
  <si>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</si>
  <si>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</si>
  <si>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</si>
  <si>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</si>
  <si>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</si>
  <si>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</si>
  <si>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</si>
  <si>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</si>
  <si>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</si>
  <si>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</si>
  <si>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</si>
  <si>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</si>
  <si>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</si>
  <si>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</si>
  <si>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</si>
  <si>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</si>
  <si>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</si>
  <si>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</si>
  <si>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</si>
  <si>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</si>
  <si>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</si>
  <si>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</si>
  <si>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</si>
  <si>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</si>
  <si>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</si>
  <si>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</si>
  <si>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</si>
  <si>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</si>
  <si>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</si>
  <si>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</si>
  <si>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</si>
  <si>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</si>
  <si>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</si>
  <si>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</si>
  <si>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</si>
  <si>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</si>
  <si>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</si>
  <si>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</si>
  <si>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</si>
  <si>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</si>
  <si>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</si>
  <si>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</si>
  <si>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</si>
  <si>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</si>
  <si>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</si>
  <si>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</si>
  <si>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</si>
  <si>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</si>
  <si>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</si>
  <si>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</si>
  <si>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</si>
  <si>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</si>
  <si>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</si>
  <si>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</si>
  <si>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</si>
  <si>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</si>
  <si>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</si>
  <si>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</si>
  <si>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</si>
  <si>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</si>
  <si>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</si>
  <si>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</si>
  <si>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</si>
  <si>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</si>
  <si>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</si>
  <si>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</si>
  <si>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</si>
  <si>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</si>
  <si>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</si>
  <si>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</si>
  <si>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</si>
  <si>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</si>
  <si>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</si>
  <si>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</si>
  <si>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</si>
  <si>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</si>
  <si>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</si>
  <si>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</si>
  <si>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</si>
  <si>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</si>
  <si>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</si>
  <si>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</si>
  <si>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</si>
  <si>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</si>
  <si>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</si>
  <si>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</si>
  <si>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</si>
  <si>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</si>
  <si>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</si>
  <si>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</si>
  <si>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</si>
  <si>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</si>
  <si>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</si>
  <si>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</si>
  <si>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</si>
  <si>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</si>
  <si>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</si>
  <si>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</si>
  <si>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</si>
  <si>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</si>
  <si>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</si>
  <si>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</si>
  <si>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</si>
  <si>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</si>
  <si>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</si>
  <si>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</si>
  <si>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</si>
  <si>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</si>
  <si>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</si>
  <si>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</si>
  <si>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</si>
  <si>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</si>
  <si>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</si>
  <si>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</si>
  <si>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</si>
  <si>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</si>
  <si>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</si>
  <si>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</si>
  <si>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</si>
  <si>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</si>
  <si>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</si>
  <si>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</si>
  <si>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</si>
  <si>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</si>
  <si>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</si>
  <si>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</si>
  <si>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</si>
  <si>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</si>
  <si>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</si>
  <si>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</si>
  <si>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</si>
  <si>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</si>
  <si>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</si>
  <si>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</si>
  <si>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</si>
  <si>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</si>
  <si>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</si>
  <si>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</si>
  <si>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</si>
  <si>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</si>
  <si>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</si>
  <si>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</si>
  <si>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</si>
  <si>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</si>
  <si>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</si>
  <si>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</si>
  <si>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</si>
  <si>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</si>
  <si>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</si>
  <si>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</si>
  <si>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</si>
  <si>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</si>
  <si>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</si>
  <si>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</si>
  <si>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</si>
  <si>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</si>
  <si>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</si>
  <si>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</si>
  <si>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</si>
  <si>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</si>
  <si>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</si>
  <si>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</si>
  <si>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</si>
  <si>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</si>
  <si>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</si>
  <si>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</si>
  <si>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</si>
  <si>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</si>
  <si>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</si>
  <si>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</si>
  <si>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</si>
  <si>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</si>
  <si>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</si>
  <si>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</si>
  <si>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</si>
  <si>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</si>
  <si>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</si>
  <si>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</si>
  <si>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</si>
  <si>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</si>
  <si>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</si>
  <si>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</si>
  <si>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</si>
  <si>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</si>
  <si>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</si>
  <si>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</si>
  <si>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</si>
  <si>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</si>
  <si>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</si>
  <si>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</si>
  <si>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</si>
  <si>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</si>
  <si>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</si>
  <si>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</si>
  <si>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</si>
  <si>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</si>
  <si>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</si>
  <si>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</si>
  <si>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</si>
  <si>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</si>
  <si>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</si>
  <si>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</si>
  <si>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</si>
  <si>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</si>
  <si>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</si>
  <si>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</si>
  <si>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</si>
  <si>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</si>
  <si>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</si>
  <si>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</si>
  <si>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</si>
  <si>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</si>
  <si>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</si>
  <si>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</si>
  <si>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</si>
  <si>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</si>
  <si>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</si>
  <si>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</si>
  <si>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</si>
  <si>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</si>
  <si>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</si>
  <si>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</si>
  <si>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</si>
  <si>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</si>
  <si>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</si>
  <si>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</si>
  <si>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</si>
  <si>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</si>
  <si>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</si>
  <si>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</si>
  <si>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</si>
  <si>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</si>
  <si>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</si>
  <si>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</si>
  <si>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</si>
  <si>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</si>
  <si>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</si>
  <si>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</si>
  <si>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</si>
  <si>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</si>
  <si>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</si>
  <si>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</si>
  <si>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</si>
  <si>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</si>
  <si>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</si>
  <si>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</si>
  <si>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</si>
  <si>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</si>
  <si>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</si>
  <si>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</si>
  <si>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</si>
  <si>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</si>
  <si>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</si>
  <si>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</si>
  <si>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</si>
  <si>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</si>
  <si>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</si>
  <si>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</si>
  <si>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</si>
  <si>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</si>
  <si>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</si>
  <si>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</si>
  <si>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</si>
  <si>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</si>
  <si>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</si>
  <si>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</si>
  <si>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</si>
  <si>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</si>
  <si>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</si>
  <si>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</si>
  <si>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</si>
  <si>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</si>
  <si>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</si>
  <si>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</si>
  <si>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</si>
  <si>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</si>
  <si>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</si>
  <si>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</si>
  <si>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</si>
  <si>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</si>
  <si>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</si>
  <si>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</si>
  <si>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</si>
  <si>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</si>
  <si>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</si>
  <si>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</si>
  <si>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</si>
  <si>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</si>
  <si>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</si>
  <si>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</si>
  <si>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</si>
  <si>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</si>
  <si>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</si>
  <si>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</si>
  <si>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</si>
  <si>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</si>
  <si>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</si>
  <si>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</si>
  <si>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</si>
  <si>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</si>
  <si>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</si>
  <si>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</si>
  <si>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</si>
  <si>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</si>
  <si>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</si>
  <si>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</si>
  <si>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</si>
  <si>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</si>
  <si>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</si>
  <si>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</si>
  <si>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</si>
  <si>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</si>
  <si>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</si>
  <si>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</si>
  <si>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</si>
  <si>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</si>
  <si>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</si>
  <si>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</si>
  <si>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</si>
  <si>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</si>
  <si>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</si>
  <si>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</si>
  <si>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</si>
  <si>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</si>
  <si>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</si>
  <si>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</si>
  <si>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</si>
  <si>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</si>
  <si>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</si>
  <si>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</si>
  <si>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</si>
  <si>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</si>
  <si>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</si>
  <si>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</si>
  <si>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</si>
  <si>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</si>
  <si>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</si>
  <si>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</si>
  <si>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</si>
  <si>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</si>
  <si>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</si>
  <si>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</si>
  <si>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</si>
  <si>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</si>
  <si>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</si>
  <si>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</si>
  <si>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</si>
  <si>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</si>
  <si>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</si>
  <si>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</si>
  <si>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</si>
  <si>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</si>
  <si>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</si>
  <si>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</si>
  <si>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</si>
  <si>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</si>
  <si>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</si>
  <si>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</si>
  <si>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</si>
  <si>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</si>
  <si>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</si>
  <si>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</si>
  <si>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</si>
  <si>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</si>
  <si>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</si>
  <si>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</si>
  <si>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</si>
  <si>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</si>
  <si>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</si>
  <si>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</si>
  <si>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</si>
  <si>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</si>
  <si>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</si>
  <si>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</si>
  <si>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</si>
  <si>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</si>
  <si>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</si>
  <si>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</si>
  <si>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</si>
  <si>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</si>
  <si>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</si>
  <si>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</si>
  <si>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</si>
  <si>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</si>
  <si>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</si>
  <si>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</si>
  <si>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</si>
  <si>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</si>
  <si>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</si>
  <si>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</si>
  <si>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</si>
  <si>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</si>
  <si>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</si>
  <si>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</si>
  <si>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</si>
  <si>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</si>
  <si>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</si>
  <si>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</si>
  <si>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</si>
  <si>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</si>
  <si>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</si>
  <si>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</si>
  <si>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</si>
  <si>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</si>
  <si>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</si>
  <si>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</si>
  <si>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</si>
  <si>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</si>
  <si>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</si>
  <si>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</si>
  <si>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</si>
  <si>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</si>
  <si>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</si>
  <si>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</si>
  <si>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</si>
  <si>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</si>
  <si>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</si>
  <si>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</si>
  <si>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</si>
  <si>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</si>
  <si>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</si>
  <si>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</si>
  <si>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</si>
  <si>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</si>
  <si>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</si>
  <si>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</si>
  <si>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</si>
  <si>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</si>
  <si>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</si>
  <si>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</si>
  <si>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</si>
  <si>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</si>
  <si>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</si>
  <si>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</si>
  <si>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</si>
  <si>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</si>
  <si>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</si>
  <si>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</si>
  <si>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</si>
  <si>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</si>
  <si>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</si>
  <si>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</si>
  <si>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</si>
  <si>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</si>
  <si>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</si>
  <si>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</si>
  <si>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</si>
  <si>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</si>
  <si>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</si>
  <si>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</si>
  <si>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</si>
  <si>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</si>
  <si>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</si>
  <si>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</si>
  <si>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</si>
  <si>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</si>
  <si>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</si>
  <si>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</si>
  <si>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</si>
  <si>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</si>
  <si>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</si>
  <si>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</si>
  <si>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</si>
  <si>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</si>
  <si>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</si>
  <si>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</si>
  <si>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</si>
  <si>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</si>
  <si>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</si>
  <si>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</si>
  <si>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</si>
  <si>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</si>
  <si>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</si>
  <si>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</si>
  <si>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</si>
  <si>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</si>
  <si>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</si>
  <si>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</si>
  <si>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</si>
  <si>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</si>
  <si>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</si>
  <si>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</si>
  <si>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</si>
  <si>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</si>
  <si>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</si>
  <si>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</si>
  <si>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</si>
  <si>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</si>
  <si>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</si>
  <si>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</si>
  <si>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</si>
  <si>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</si>
  <si>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</si>
  <si>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</si>
  <si>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</si>
  <si>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</si>
  <si>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</si>
  <si>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</si>
  <si>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</si>
  <si>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</si>
  <si>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</si>
  <si>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</si>
  <si>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</si>
  <si>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</si>
  <si>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</si>
  <si>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</si>
  <si>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</si>
  <si>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</si>
  <si>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</si>
  <si>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</si>
  <si>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</si>
  <si>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</si>
  <si>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</si>
  <si>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</si>
  <si>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</si>
  <si>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</si>
  <si>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</si>
  <si>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</si>
  <si>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</si>
  <si>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</si>
  <si>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</si>
  <si>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</si>
  <si>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</si>
  <si>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</si>
  <si>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</si>
  <si>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</si>
  <si>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</si>
  <si>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</si>
  <si>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</si>
  <si>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</si>
  <si>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</si>
  <si>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</si>
  <si>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</si>
  <si>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</si>
  <si>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</si>
  <si>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</si>
  <si>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</si>
  <si>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</si>
  <si>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</si>
  <si>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</si>
  <si>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</si>
  <si>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</si>
  <si>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</si>
  <si>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</si>
  <si>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</si>
  <si>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</si>
  <si>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</si>
  <si>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</si>
  <si>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</si>
  <si>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</si>
  <si>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</si>
  <si>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</si>
  <si>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</si>
  <si>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</si>
  <si>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</si>
  <si>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</si>
  <si>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</si>
  <si>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</si>
  <si>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</si>
  <si>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</si>
  <si>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</si>
  <si>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</si>
  <si>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</si>
  <si>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</si>
  <si>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</si>
  <si>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</si>
  <si>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</si>
  <si>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</si>
  <si>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</si>
  <si>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</si>
  <si>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</si>
  <si>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</si>
  <si>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</si>
  <si>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</si>
  <si>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</si>
  <si>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</si>
  <si>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</si>
  <si>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</si>
  <si>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</si>
  <si>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</si>
  <si>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</si>
  <si>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</si>
  <si>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</si>
  <si>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</si>
  <si>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</si>
  <si>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</si>
  <si>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</si>
  <si>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</si>
  <si>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</si>
  <si>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</si>
  <si>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</si>
  <si>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</si>
  <si>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</si>
  <si>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</si>
  <si>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</si>
  <si>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</si>
  <si>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</si>
  <si>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</si>
  <si>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</si>
  <si>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</si>
  <si>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</si>
  <si>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</si>
  <si>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</si>
  <si>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</si>
  <si>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</si>
  <si>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</si>
  <si>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</si>
  <si>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</si>
  <si>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</si>
  <si>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</si>
  <si>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</si>
  <si>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</si>
  <si>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</si>
  <si>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</si>
  <si>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</si>
  <si>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</si>
  <si>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</si>
  <si>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</si>
  <si>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</si>
  <si>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</si>
  <si>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</si>
  <si>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</si>
  <si>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</si>
  <si>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</si>
  <si>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</si>
  <si>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</si>
  <si>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</si>
  <si>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</si>
  <si>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</si>
  <si>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</si>
  <si>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</si>
  <si>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</si>
  <si>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</si>
  <si>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</si>
  <si>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</si>
  <si>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</si>
  <si>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</si>
  <si>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</si>
  <si>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</si>
  <si>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</si>
  <si>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</si>
  <si>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</si>
  <si>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</si>
  <si>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</si>
  <si>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</si>
  <si>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11-015-8010-60</t>
  </si>
  <si>
    <t>COLES AND CUMBERLAND</t>
  </si>
  <si>
    <t>EASTERN ILLINOIS AREA OF SPECIAL EDUCATION</t>
  </si>
  <si>
    <t>5837 PARK DRIVE</t>
  </si>
  <si>
    <t>CHARLESTON</t>
  </si>
  <si>
    <t>RBEEVER@EIASE.COM</t>
  </si>
  <si>
    <t>WEST &amp; COMPANY, LLC</t>
  </si>
  <si>
    <t>DIANA R. SMITH</t>
  </si>
  <si>
    <t>613 BROADWAY AVENUE</t>
  </si>
  <si>
    <t>MATTOON</t>
  </si>
  <si>
    <t>IL</t>
  </si>
  <si>
    <t>(217) 235-4747</t>
  </si>
  <si>
    <t>(217) 235-4704</t>
  </si>
  <si>
    <t>065-024852</t>
  </si>
  <si>
    <t>DSMITH@WESTCPA.COM</t>
  </si>
  <si>
    <t>TONY REELEY</t>
  </si>
  <si>
    <t>TREELEY@EIASE.COM</t>
  </si>
  <si>
    <t>(217) 348-7700</t>
  </si>
  <si>
    <t>(217) 348-7704</t>
  </si>
  <si>
    <t>US Bank Equipment Finance</t>
  </si>
  <si>
    <t>Capital Lease</t>
  </si>
  <si>
    <t>None</t>
  </si>
  <si>
    <t>N/A</t>
  </si>
  <si>
    <t>Altamont CUSD #10; Arcola CUSD #306; Arthur CUSD #305;</t>
  </si>
  <si>
    <t>Line 26: Beecher City CUSD #20; Casey-Westfield CUSD #C-4; Charleston CUSD #1; Cowden-Herrick CUSD #3A; Cumberland CUSD #77; Dieterich CUSD #30; Edgar County CUSD #6; Effingham CUSD #40; Kansas CUSD #3;</t>
  </si>
  <si>
    <t>Marshall CUSD #C-2; Martinsville CUSD #C-3; Mattoon CUSD #2; Neoga CUSD #3; Oakland CUSD #5; Okaw Valley CUSD #302; Paris CUSD #4; Paris CUSD #95 ; Shelbyville CUSD #4; Shiloh CUSD #1;</t>
  </si>
  <si>
    <t>Stewardson-Strasburg CUSD #5A; Sullivan CUSD #300; Teutopolis CUSD #50; Tuscola CUSD #301; Villa Grove CUSD #302; Windsor CUSD #1</t>
  </si>
  <si>
    <t>STATEMENT OF REVENUES</t>
  </si>
  <si>
    <t>EDUCATIONAL FUND</t>
  </si>
  <si>
    <t>PAGE 11, ACCT #1999, OTHER LOCAL REVENUES</t>
  </si>
  <si>
    <t>E-RATE REBATE</t>
  </si>
  <si>
    <t>REVENUE FROM DEPARTMENT OF HUMAN SERVICES - REHABILITATION SERVICES</t>
  </si>
  <si>
    <t>VOCATIONAL REHABILITATION GRANTS TO STATES</t>
  </si>
  <si>
    <t>West &amp; Company, LLC</t>
  </si>
  <si>
    <t>U.S. Department of Agriculture</t>
  </si>
  <si>
    <t>passed through Illinois State Board of Education</t>
  </si>
  <si>
    <t>Child Nutrition Cluster:</t>
  </si>
  <si>
    <t>Total Child Nutrition Cluster</t>
  </si>
  <si>
    <t>Total U.S. Department of Agriculture</t>
  </si>
  <si>
    <t>U.S. Department of Education</t>
  </si>
  <si>
    <t xml:space="preserve">Special Education Cluster (IDEA): </t>
  </si>
  <si>
    <t>(M) IDEA Flow Through</t>
  </si>
  <si>
    <t>(M) Pre-School Flow Through</t>
  </si>
  <si>
    <t>Total Special Education Cluster</t>
  </si>
  <si>
    <t>Total U.S. Department of Education passed through ISBE</t>
  </si>
  <si>
    <t>passed through IL Department of Human Services</t>
  </si>
  <si>
    <t>Rehabilitation Services Vocational Rehabilitation Grants to States</t>
  </si>
  <si>
    <t xml:space="preserve">Total U.S. Department of Education </t>
  </si>
  <si>
    <t xml:space="preserve">Total U.S. Department of Education passed through IL Department of Human Services </t>
  </si>
  <si>
    <t>U.S. Department of Health and Human Services</t>
  </si>
  <si>
    <t>passed through Illinois Department of Healthcare and Family Services</t>
  </si>
  <si>
    <t>Medicaid Cluster:</t>
  </si>
  <si>
    <t>Medicaid Assistance Program</t>
  </si>
  <si>
    <t>Total Medicaid Cluster</t>
  </si>
  <si>
    <t>Total U.S. Department of Healthcare and Human Services</t>
  </si>
  <si>
    <t>Non-Cash Awards:</t>
  </si>
  <si>
    <t>Federal Commodities</t>
  </si>
  <si>
    <t>Total Revenues and Expenditures</t>
  </si>
  <si>
    <t>20-4210-00</t>
  </si>
  <si>
    <t>19-4210-00</t>
  </si>
  <si>
    <t>20-4220-00</t>
  </si>
  <si>
    <t>19-4220-00</t>
  </si>
  <si>
    <t>84.027A</t>
  </si>
  <si>
    <t>84.173A</t>
  </si>
  <si>
    <t>20-4620-00</t>
  </si>
  <si>
    <t>20-4600-00</t>
  </si>
  <si>
    <t>46CYF00003</t>
  </si>
  <si>
    <t>The accompanying Schedule of Expenditures of Federal Awards includes the federal grant activity of Eastern Illinois Area of Special Education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</si>
  <si>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</si>
  <si>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Special Education Cluster (IDEA):</t>
  </si>
  <si>
    <t>IDEA Flow Through</t>
  </si>
  <si>
    <t>Pre-School Flow Through</t>
  </si>
  <si>
    <t xml:space="preserve">During the course of the audit, auditors noted </t>
  </si>
  <si>
    <t>that 2 of the 14 (14%) quarterly expenditure reports</t>
  </si>
  <si>
    <t xml:space="preserve">required by the Illinois State Board of Education were </t>
  </si>
  <si>
    <t>not submitted timely.</t>
  </si>
  <si>
    <t>2019-001</t>
  </si>
  <si>
    <t>IDEA Flow Through/ Altamont CUSD #10</t>
  </si>
  <si>
    <t>IDEA Flow Through/ Beecher City CUSD #20</t>
  </si>
  <si>
    <t>IDEA Flow Through/ Casey - Westfield CUSD #C-4</t>
  </si>
  <si>
    <t>IDEA Flow Through/ Charleston CUSD #1</t>
  </si>
  <si>
    <t>IDEA Flow Through/ Cowden-Herrick CUSD #3-A</t>
  </si>
  <si>
    <t>IDEA Flow Through/ Cumberland CUSD #77</t>
  </si>
  <si>
    <t>IDEA Flow Through/ Edgar County CUSD #6</t>
  </si>
  <si>
    <t>IDEA Flow Through/ Effingham CUSD #40</t>
  </si>
  <si>
    <t>IDEA Flow Through/ Kansas CUSD #3</t>
  </si>
  <si>
    <t>IDEA Flow Through/ Martinsville CUSD #C-3</t>
  </si>
  <si>
    <t>IDEA Flow Through/ Neoga CUSD #3</t>
  </si>
  <si>
    <t>IDEA Flow Through/ Paris Crestwood CUSD #4</t>
  </si>
  <si>
    <t>IDEA Flow Through/ Paris Union CUSD #95</t>
  </si>
  <si>
    <t>IDEA Flow Through/ Shelbyville CUSD #4</t>
  </si>
  <si>
    <t>IDEA Flow Through/ Shiloh CUSD #1</t>
  </si>
  <si>
    <t>IDEA Flow Through/ Sullivan CUSD #300</t>
  </si>
  <si>
    <t>IDEA Flow Through/ Teutopolis CUSD #50</t>
  </si>
  <si>
    <t>IDEA Flow Through/ Villa Grove CUSD #302</t>
  </si>
  <si>
    <t>IDEA Flow Through/ Windsor CUSD #1</t>
  </si>
  <si>
    <t>PAGE 14, ACCT #4998, OTHER RESTRICTED REVENUE FROM FEDERAL SOURCES</t>
  </si>
  <si>
    <t>IL 61938</t>
  </si>
  <si>
    <t>Eastern Illinois Area of Special Education (EIASE) is required to maintain a system of controls over the preparation of financial statements in accordance with accounting practices prescribed by the Illinois State Board of Education.  EIASE internal controls over financial reporting should include adequately trained personnel with the knowledge and expertise to prepare and/or thoroughly review statements prepared in accordance with accounting practices prescribed by the Illinois State Board of Education to ensure that they are free of material misstatements and include all disclosures.</t>
  </si>
  <si>
    <t>Eastern Illinois Area of Special Education does not have sufficient internal controls over the financial reporting process. EIASE maintains their accounting records on the cash basis of accounting.  While EIASE maintains controls over the processing of accounting transactions, there are not sufficient controls over the preparation of the financial statements prepared in accordance with accounting practices prescribed by the Illinois State Board of Education sufficient for management or employees in the normal course of performing their assigned functions to prevent or detect financial statement misstatements and disclosure omissions in a timely manner.  For example, auditors, in their review of EIASE's accounting records, noted the following:</t>
  </si>
  <si>
    <t>∙   EIASE did not have adequate controls over the reporting of purchased services and capital outlay expenditures.</t>
  </si>
  <si>
    <t>Management or employees in the normal course of performing their assigned functions may not prevent or detect financial statement misstatements and disclosure omissions in a timely manner.</t>
  </si>
  <si>
    <t>As part of its internal control over the preparation of its financial statements, including disclosures, Eastern Illinois Area of Special Education should implement a comprehensive preparation and/or review procedure to ensure that the financial statements, including disclosures, are complete and accurate.  Such procedures should be performed by a properly trained individual(s) possessing a thorough understanding of accounting practices prescribed by the Illinois State Board of Education, GASB pronouncements, and knowledge of Eastern Illinois Area of Special Education's activities and operations.</t>
  </si>
  <si>
    <t>When the annual financial report is not submitted in a timely manner, the usefulness of the annual financial report and related findings resulting from the audit is impacted. Additionally, the untimely submission of the annual financial report could result in repercussions from granting agencies including a loss of funding.</t>
  </si>
  <si>
    <t xml:space="preserve">EIASE should implement procedures to ensure that all necessary information is provided to auditors timely and that the annual financial report is submitted by December 15th. </t>
  </si>
  <si>
    <t>EIASE was unable to provide the necessary information to auditors timely for the fiscal year ended June 30, 2019.  In addition, EIASE's annual financial report that was required to be submitted by December 15, 2019 was not submitted to the Illinois State Board of Education until February 20, 2020.</t>
  </si>
  <si>
    <t>Repeated</t>
  </si>
  <si>
    <t>IL 61920</t>
  </si>
  <si>
    <t xml:space="preserve">Lack of timely filed expenditure reports could result in a delay of grant funding.  </t>
  </si>
  <si>
    <t xml:space="preserve">EIASE should implement adequate internal controls to ensure that expenditure reports are filed timely. </t>
  </si>
  <si>
    <t xml:space="preserve">Eastern Illinois Area of Special Education (EIASE) is subject to requirements of the Illinois School Code (105 ILCS 5/3 - 15.1) which requires the annual financial report be submitted to the Illinois State Board of Education and the Regional Office of Education by an extended due date of December 15th.  In addition, prudent business practices and transparency require timely preparation and completion of the annual financial report. </t>
  </si>
  <si>
    <t>Of the federal expenditures presented in the schedule, Eastern Illinois Area of Special Education provided federal awards to subrecipients as follows:</t>
  </si>
  <si>
    <t xml:space="preserve">14. See finding 2020-003.                                                                                                                                                                                                                                                                                                                      20. See findings 2020-001 and 2020-002.                                                                                                                                                                                                                                                                                                                                                     23. The financial statements were not prepared in accordance with generally accepted accounting principles.  They were prepared in accordance with regulatory reporting requirements established by ISBE.                                                                                                                                                                                                                                                                                              </t>
  </si>
  <si>
    <t xml:space="preserve">Eastern Illinois Area of Special Education (EIASE) is required to file quarterly expenditure reports within 20 days of the end of each quarter with the Illinois State Board of Education (ISBE). EIASE is also required to submit final expenditure reports resolving all outstanding obligations within 90 days of the project end date.                                                                                                                                                                                                                 </t>
  </si>
  <si>
    <t xml:space="preserve">During the course of the audit, auditors noted that 3 of the 15 (20%) quarterly expenditure reports required by the ISBE were not submitted timely.  Auditors also noted that 3 of the 3 (100%) final expenditure reports required by the ISBE to be submitted within 90 days of the project end date were not submitted timely.  </t>
  </si>
  <si>
    <r>
      <t xml:space="preserve">The following amounts were expended in the form of non-cash assistance by Eastern Illinois Area of Special Education and </t>
    </r>
    <r>
      <rPr>
        <b/>
        <sz val="9"/>
        <rFont val="Calibri"/>
        <family val="2"/>
        <scheme val="minor"/>
      </rPr>
      <t>should be</t>
    </r>
    <r>
      <rPr>
        <sz val="9"/>
        <rFont val="Calibri"/>
        <family val="2"/>
        <scheme val="minor"/>
      </rPr>
      <t xml:space="preserve"> included in the Schedule of Expenditures of Federal Awards:</t>
    </r>
  </si>
  <si>
    <t>EIASE personnel overlooked the due date of the expenditure reports and missed the reporting deadline for the three expenditure reports by less than a week each.</t>
  </si>
  <si>
    <t xml:space="preserve">EIASE has implemented the necessary procedures to avoid this finding being repeated in the future. </t>
  </si>
  <si>
    <t>This finding was caused by miscommunication between EIASE's grant writer and accounting personnel.</t>
  </si>
  <si>
    <t>We accept this finding and believe the necessary steps have been taken to avoid a repeat of this finding in the future.</t>
  </si>
  <si>
    <t xml:space="preserve">EIASE implemented a new accounting system in FY19.  Due to issues with the implementation of the new accounting software, EIASE was unable to provide the necessary information to the auditors timely. </t>
  </si>
  <si>
    <t xml:space="preserve">EIASE has hired an accounting firm to aide with closing the books at the end of the fiscal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</si>
</sst>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3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0" applyFont="1" applyAlignment="1">
      <alignment horizontal="left" indent="1"/>
    </xf>
    <xf numFmtId="185" fontId="57" fillId="0" borderId="0" xfId="21" applyNumberFormat="1" applyFont="1"/>
    <xf numFmtId="185" fontId="57" fillId="0" borderId="196" xfId="21" applyNumberFormat="1" applyFont="1" applyBorder="1"/>
    <xf numFmtId="185" fontId="57" fillId="0" borderId="0" xfId="21" applyNumberFormat="1" applyFont="1" applyBorder="1"/>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4"/>
      <protection locked="0"/>
    </xf>
    <xf numFmtId="0" fontId="57" fillId="0" borderId="0" xfId="3" applyFont="1" applyBorder="1" applyAlignment="1" applyProtection="1">
      <alignment horizontal="center"/>
      <protection locked="0"/>
    </xf>
    <xf numFmtId="0" fontId="57" fillId="0" borderId="0" xfId="3" applyFont="1" applyAlignment="1" applyProtection="1">
      <alignment horizontal="center"/>
      <protection locked="0"/>
    </xf>
    <xf numFmtId="179" fontId="57" fillId="0" borderId="0" xfId="3" applyNumberFormat="1" applyFont="1" applyBorder="1" applyAlignment="1" applyProtection="1">
      <alignment horizontal="center"/>
      <protection locked="0"/>
    </xf>
    <xf numFmtId="0" fontId="54" fillId="0" borderId="0" xfId="3" applyFont="1" applyAlignment="1" applyProtection="1">
      <alignment horizontal="center" vertical="center"/>
    </xf>
    <xf numFmtId="38" fontId="2" fillId="0" borderId="155" xfId="19" applyNumberFormat="1" applyFont="1" applyBorder="1" applyAlignment="1" applyProtection="1">
      <alignment horizontal="righ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0" xfId="3" applyFont="1" applyAlignment="1" applyProtection="1">
      <alignment horizontal="left" vertical="top" wrapText="1" indent="2"/>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xdr:row>
          <xdr:rowOff>9525</xdr:rowOff>
        </xdr:from>
        <xdr:to>
          <xdr:col>1</xdr:col>
          <xdr:colOff>933450</xdr:colOff>
          <xdr:row>6</xdr:row>
          <xdr:rowOff>47625</xdr:rowOff>
        </xdr:to>
        <xdr:sp macro="" textlink="">
          <xdr:nvSpPr>
            <xdr:cNvPr id="43020" name="Object 12" hidden="1">
              <a:extLst>
                <a:ext uri="{63B3BB69-23CF-44E3-9099-C40C66FF867C}">
                  <a14:compatExt spid="_x0000_s43020"/>
                </a:ext>
                <a:ext uri="{FF2B5EF4-FFF2-40B4-BE49-F238E27FC236}">
                  <a16:creationId xmlns:a16="http://schemas.microsoft.com/office/drawing/2014/main" id="{00000000-0008-0000-1400-00000C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2</xdr:row>
          <xdr:rowOff>9525</xdr:rowOff>
        </xdr:from>
        <xdr:to>
          <xdr:col>1</xdr:col>
          <xdr:colOff>1924050</xdr:colOff>
          <xdr:row>6</xdr:row>
          <xdr:rowOff>47625</xdr:rowOff>
        </xdr:to>
        <xdr:sp macro="" textlink="">
          <xdr:nvSpPr>
            <xdr:cNvPr id="43021" name="Object 13" hidden="1">
              <a:extLst>
                <a:ext uri="{63B3BB69-23CF-44E3-9099-C40C66FF867C}">
                  <a14:compatExt spid="_x0000_s43021"/>
                </a:ext>
                <a:ext uri="{FF2B5EF4-FFF2-40B4-BE49-F238E27FC236}">
                  <a16:creationId xmlns:a16="http://schemas.microsoft.com/office/drawing/2014/main" id="{00000000-0008-0000-1400-00000D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2</xdr:row>
          <xdr:rowOff>19050</xdr:rowOff>
        </xdr:from>
        <xdr:to>
          <xdr:col>1</xdr:col>
          <xdr:colOff>2914650</xdr:colOff>
          <xdr:row>6</xdr:row>
          <xdr:rowOff>57150</xdr:rowOff>
        </xdr:to>
        <xdr:sp macro="" textlink="">
          <xdr:nvSpPr>
            <xdr:cNvPr id="43022" name="Object 14" hidden="1">
              <a:extLst>
                <a:ext uri="{63B3BB69-23CF-44E3-9099-C40C66FF867C}">
                  <a14:compatExt spid="_x0000_s43022"/>
                </a:ext>
                <a:ext uri="{FF2B5EF4-FFF2-40B4-BE49-F238E27FC236}">
                  <a16:creationId xmlns:a16="http://schemas.microsoft.com/office/drawing/2014/main" id="{00000000-0008-0000-1400-00000E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3009900</xdr:colOff>
          <xdr:row>2</xdr:row>
          <xdr:rowOff>28575</xdr:rowOff>
        </xdr:from>
        <xdr:to>
          <xdr:col>1</xdr:col>
          <xdr:colOff>3924300</xdr:colOff>
          <xdr:row>6</xdr:row>
          <xdr:rowOff>66675</xdr:rowOff>
        </xdr:to>
        <xdr:sp macro="" textlink="">
          <xdr:nvSpPr>
            <xdr:cNvPr id="43023" name="Object 15" hidden="1">
              <a:extLst>
                <a:ext uri="{63B3BB69-23CF-44E3-9099-C40C66FF867C}">
                  <a14:compatExt spid="_x0000_s43023"/>
                </a:ext>
                <a:ext uri="{FF2B5EF4-FFF2-40B4-BE49-F238E27FC236}">
                  <a16:creationId xmlns:a16="http://schemas.microsoft.com/office/drawing/2014/main" id="{00000000-0008-0000-1400-00000F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xdr:row>
          <xdr:rowOff>123825</xdr:rowOff>
        </xdr:from>
        <xdr:to>
          <xdr:col>1</xdr:col>
          <xdr:colOff>952500</xdr:colOff>
          <xdr:row>11</xdr:row>
          <xdr:rowOff>0</xdr:rowOff>
        </xdr:to>
        <xdr:sp macro="" textlink="">
          <xdr:nvSpPr>
            <xdr:cNvPr id="43024" name="Object 16" hidden="1">
              <a:extLst>
                <a:ext uri="{63B3BB69-23CF-44E3-9099-C40C66FF867C}">
                  <a14:compatExt spid="_x0000_s43024"/>
                </a:ext>
                <a:ext uri="{FF2B5EF4-FFF2-40B4-BE49-F238E27FC236}">
                  <a16:creationId xmlns:a16="http://schemas.microsoft.com/office/drawing/2014/main" id="{00000000-0008-0000-1400-000010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6</xdr:row>
          <xdr:rowOff>114300</xdr:rowOff>
        </xdr:from>
        <xdr:to>
          <xdr:col>1</xdr:col>
          <xdr:colOff>2914650</xdr:colOff>
          <xdr:row>10</xdr:row>
          <xdr:rowOff>152400</xdr:rowOff>
        </xdr:to>
        <xdr:sp macro="" textlink="">
          <xdr:nvSpPr>
            <xdr:cNvPr id="43025" name="Object 17" hidden="1">
              <a:extLst>
                <a:ext uri="{63B3BB69-23CF-44E3-9099-C40C66FF867C}">
                  <a14:compatExt spid="_x0000_s43025"/>
                </a:ext>
                <a:ext uri="{FF2B5EF4-FFF2-40B4-BE49-F238E27FC236}">
                  <a16:creationId xmlns:a16="http://schemas.microsoft.com/office/drawing/2014/main" id="{00000000-0008-0000-1400-00001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6</xdr:row>
          <xdr:rowOff>133350</xdr:rowOff>
        </xdr:from>
        <xdr:to>
          <xdr:col>1</xdr:col>
          <xdr:colOff>3933825</xdr:colOff>
          <xdr:row>11</xdr:row>
          <xdr:rowOff>9525</xdr:rowOff>
        </xdr:to>
        <xdr:sp macro="" textlink="">
          <xdr:nvSpPr>
            <xdr:cNvPr id="43026" name="Object 18" hidden="1">
              <a:extLst>
                <a:ext uri="{63B3BB69-23CF-44E3-9099-C40C66FF867C}">
                  <a14:compatExt spid="_x0000_s43026"/>
                </a:ext>
                <a:ext uri="{FF2B5EF4-FFF2-40B4-BE49-F238E27FC236}">
                  <a16:creationId xmlns:a16="http://schemas.microsoft.com/office/drawing/2014/main" id="{00000000-0008-0000-1400-00001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6</xdr:row>
          <xdr:rowOff>133350</xdr:rowOff>
        </xdr:from>
        <xdr:to>
          <xdr:col>1</xdr:col>
          <xdr:colOff>1933575</xdr:colOff>
          <xdr:row>11</xdr:row>
          <xdr:rowOff>9525</xdr:rowOff>
        </xdr:to>
        <xdr:sp macro="" textlink="">
          <xdr:nvSpPr>
            <xdr:cNvPr id="43027" name="Object 19" hidden="1">
              <a:extLst>
                <a:ext uri="{63B3BB69-23CF-44E3-9099-C40C66FF867C}">
                  <a14:compatExt spid="_x0000_s43027"/>
                </a:ext>
                <a:ext uri="{FF2B5EF4-FFF2-40B4-BE49-F238E27FC236}">
                  <a16:creationId xmlns:a16="http://schemas.microsoft.com/office/drawing/2014/main" id="{00000000-0008-0000-1400-00001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B30" sqref="B3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0">
        <f>+'AFR20'!E4</f>
        <v>44119</v>
      </c>
      <c r="C1" s="2050"/>
      <c r="D1" s="2051"/>
      <c r="I1" s="2129" t="s">
        <v>402</v>
      </c>
      <c r="J1" s="2130"/>
      <c r="K1" s="2130"/>
      <c r="L1" s="2130"/>
      <c r="M1" s="2130"/>
      <c r="N1" s="2130"/>
      <c r="O1" s="2130"/>
      <c r="P1" s="2130"/>
      <c r="Q1" s="2130"/>
      <c r="R1" s="2130"/>
      <c r="S1" s="2130"/>
    </row>
    <row r="2" spans="1:32" ht="12" customHeight="1" x14ac:dyDescent="0.2">
      <c r="A2" s="1831" t="str">
        <f>"Due to ISBE on "</f>
        <v xml:space="preserve">Due to ISBE on </v>
      </c>
      <c r="B2" s="2052">
        <f>+'AFR20'!F4</f>
        <v>44151</v>
      </c>
      <c r="C2" s="2052"/>
      <c r="D2" s="2053"/>
      <c r="I2" s="2131" t="s">
        <v>2000</v>
      </c>
      <c r="J2" s="2130"/>
      <c r="K2" s="2130"/>
      <c r="L2" s="2130"/>
      <c r="M2" s="2130"/>
      <c r="N2" s="2130"/>
      <c r="O2" s="2130"/>
      <c r="P2" s="2130"/>
      <c r="Q2" s="2130"/>
      <c r="R2" s="2130"/>
      <c r="S2" s="2130"/>
    </row>
    <row r="3" spans="1:32" ht="12" customHeight="1" x14ac:dyDescent="0.2">
      <c r="A3" s="1834" t="str">
        <f>"SD/JA"&amp;MID('AFR20'!E2,3,2)</f>
        <v>SD/JA20</v>
      </c>
      <c r="B3" s="151"/>
      <c r="C3" s="151"/>
      <c r="D3" s="152"/>
      <c r="I3" s="2131" t="s">
        <v>52</v>
      </c>
      <c r="J3" s="2130"/>
      <c r="K3" s="2130"/>
      <c r="L3" s="2130"/>
      <c r="M3" s="2130"/>
      <c r="N3" s="2130"/>
      <c r="O3" s="2130"/>
      <c r="P3" s="2130"/>
      <c r="Q3" s="2130"/>
      <c r="R3" s="2130"/>
      <c r="S3" s="2130"/>
    </row>
    <row r="4" spans="1:32" ht="12" customHeight="1" x14ac:dyDescent="0.2">
      <c r="A4" s="37"/>
      <c r="I4" s="2131" t="s">
        <v>521</v>
      </c>
      <c r="J4" s="2130"/>
      <c r="K4" s="2130"/>
      <c r="L4" s="2130"/>
      <c r="M4" s="2130"/>
      <c r="N4" s="2130"/>
      <c r="O4" s="2130"/>
      <c r="P4" s="2130"/>
      <c r="Q4" s="2130"/>
      <c r="R4" s="2130"/>
      <c r="S4" s="2130"/>
    </row>
    <row r="5" spans="1:32" ht="14.1" customHeight="1" x14ac:dyDescent="0.2">
      <c r="B5" s="101"/>
      <c r="C5" s="26" t="s">
        <v>904</v>
      </c>
      <c r="D5" s="81"/>
      <c r="E5" s="81"/>
      <c r="H5" s="38"/>
      <c r="I5" s="2138" t="s">
        <v>675</v>
      </c>
      <c r="J5" s="2083"/>
      <c r="K5" s="2083"/>
      <c r="L5" s="2083"/>
      <c r="M5" s="2083"/>
      <c r="N5" s="2083"/>
      <c r="O5" s="2083"/>
      <c r="P5" s="2083"/>
      <c r="Q5" s="2083"/>
      <c r="R5" s="2083"/>
      <c r="S5" s="2083"/>
      <c r="AF5" s="1827"/>
    </row>
    <row r="6" spans="1:32" ht="14.1" customHeight="1" x14ac:dyDescent="0.2">
      <c r="B6" s="101" t="s">
        <v>2048</v>
      </c>
      <c r="C6" s="26" t="s">
        <v>905</v>
      </c>
      <c r="D6" s="81"/>
      <c r="E6" s="81"/>
      <c r="I6" s="2137" t="s">
        <v>877</v>
      </c>
      <c r="J6" s="2083"/>
      <c r="K6" s="2083"/>
      <c r="L6" s="2083"/>
      <c r="M6" s="2083"/>
      <c r="N6" s="2083"/>
      <c r="O6" s="2083"/>
      <c r="P6" s="2083"/>
      <c r="Q6" s="2083"/>
      <c r="R6" s="2083"/>
      <c r="S6" s="2083"/>
    </row>
    <row r="7" spans="1:32" ht="12.2" customHeight="1" x14ac:dyDescent="0.2">
      <c r="I7" s="2132" t="str">
        <f>"June 30, "&amp;'AFR20'!E2</f>
        <v>June 30, 2020</v>
      </c>
      <c r="J7" s="2133"/>
      <c r="K7" s="2133"/>
      <c r="L7" s="2133"/>
      <c r="M7" s="2133"/>
      <c r="N7" s="2133"/>
      <c r="O7" s="2133"/>
      <c r="P7" s="2133"/>
      <c r="Q7" s="2133"/>
      <c r="R7" s="2133"/>
      <c r="S7" s="213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4" t="s">
        <v>669</v>
      </c>
      <c r="J9" s="2135"/>
      <c r="K9" s="2135"/>
      <c r="L9" s="2135"/>
      <c r="M9" s="2135"/>
      <c r="N9" s="2135"/>
      <c r="O9" s="2135"/>
      <c r="P9" s="2135"/>
      <c r="Q9" s="2135"/>
      <c r="R9" s="2135"/>
      <c r="S9" s="2136"/>
      <c r="T9" s="2079" t="s">
        <v>530</v>
      </c>
      <c r="U9" s="2080"/>
      <c r="V9" s="2080"/>
      <c r="W9" s="2080"/>
      <c r="X9" s="2080"/>
      <c r="Y9" s="2080"/>
      <c r="Z9" s="2080"/>
      <c r="AA9" s="2081"/>
    </row>
    <row r="10" spans="1:32" ht="13.5" customHeight="1" x14ac:dyDescent="0.2">
      <c r="A10" s="2088" t="s">
        <v>670</v>
      </c>
      <c r="B10" s="2089"/>
      <c r="C10" s="2089"/>
      <c r="D10" s="2089"/>
      <c r="E10" s="2089"/>
      <c r="F10" s="2089"/>
      <c r="G10" s="2089"/>
      <c r="H10" s="2090"/>
      <c r="I10" s="29"/>
      <c r="J10" s="30"/>
      <c r="K10" s="28"/>
      <c r="R10" s="30"/>
      <c r="S10" s="30"/>
      <c r="T10" s="2082"/>
      <c r="U10" s="2083"/>
      <c r="V10" s="2083"/>
      <c r="W10" s="2083"/>
      <c r="X10" s="2083"/>
      <c r="Y10" s="2083"/>
      <c r="Z10" s="2083"/>
      <c r="AA10" s="2084"/>
    </row>
    <row r="11" spans="1:32" ht="14.25" customHeight="1" x14ac:dyDescent="0.2">
      <c r="A11" s="2091" t="s">
        <v>949</v>
      </c>
      <c r="B11" s="2092"/>
      <c r="C11" s="2092"/>
      <c r="D11" s="2092"/>
      <c r="E11" s="2092"/>
      <c r="F11" s="2092"/>
      <c r="G11" s="2092"/>
      <c r="H11" s="2093"/>
      <c r="I11" s="27"/>
      <c r="J11" s="71"/>
      <c r="K11" s="27"/>
      <c r="O11" s="144"/>
      <c r="P11" s="97" t="s">
        <v>199</v>
      </c>
      <c r="Q11" s="30"/>
      <c r="R11" s="28"/>
      <c r="S11" s="27"/>
      <c r="T11" s="2085"/>
      <c r="U11" s="2086"/>
      <c r="V11" s="2086"/>
      <c r="W11" s="2086"/>
      <c r="X11" s="2086"/>
      <c r="Y11" s="2086"/>
      <c r="Z11" s="2086"/>
      <c r="AA11" s="2087"/>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9" t="s">
        <v>2049</v>
      </c>
      <c r="B13" s="2100"/>
      <c r="C13" s="2100"/>
      <c r="D13" s="2100"/>
      <c r="E13" s="2100"/>
      <c r="F13" s="2100"/>
      <c r="G13" s="2100"/>
      <c r="H13" s="2101"/>
      <c r="I13" s="31"/>
      <c r="J13" s="30"/>
      <c r="K13" s="28"/>
      <c r="L13" s="30"/>
      <c r="M13" s="30"/>
      <c r="N13" s="30"/>
      <c r="O13" s="30"/>
      <c r="P13" s="30"/>
      <c r="Q13" s="30"/>
      <c r="R13" s="30"/>
      <c r="S13" s="30"/>
      <c r="T13" s="2104" t="s">
        <v>2055</v>
      </c>
      <c r="U13" s="2105"/>
      <c r="V13" s="2105"/>
      <c r="W13" s="2105"/>
      <c r="X13" s="2105"/>
      <c r="Y13" s="2106"/>
      <c r="Z13" s="2106"/>
      <c r="AA13" s="210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7" t="s">
        <v>2050</v>
      </c>
      <c r="B15" s="2102"/>
      <c r="C15" s="2102"/>
      <c r="D15" s="2102"/>
      <c r="E15" s="2102"/>
      <c r="F15" s="2102"/>
      <c r="G15" s="2102"/>
      <c r="H15" s="2103"/>
      <c r="T15" s="2065" t="s">
        <v>2056</v>
      </c>
      <c r="U15" s="2066"/>
      <c r="V15" s="2066"/>
      <c r="W15" s="2066"/>
      <c r="X15" s="2066"/>
      <c r="Y15" s="2108"/>
      <c r="Z15" s="2108"/>
      <c r="AA15" s="210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7" t="s">
        <v>2051</v>
      </c>
      <c r="B17" s="2127"/>
      <c r="C17" s="2127"/>
      <c r="D17" s="2127"/>
      <c r="E17" s="2127"/>
      <c r="F17" s="2127"/>
      <c r="G17" s="2127"/>
      <c r="H17" s="2128"/>
      <c r="T17" s="2114" t="s">
        <v>2057</v>
      </c>
      <c r="U17" s="2115"/>
      <c r="V17" s="2115"/>
      <c r="W17" s="2115"/>
      <c r="X17" s="2115"/>
      <c r="Y17" s="2115"/>
      <c r="Z17" s="2115"/>
      <c r="AA17" s="2116"/>
    </row>
    <row r="18" spans="1:27" ht="13.5" customHeight="1" x14ac:dyDescent="0.2">
      <c r="A18" s="82" t="s">
        <v>527</v>
      </c>
      <c r="B18" s="73"/>
      <c r="C18" s="69"/>
      <c r="D18" s="73"/>
      <c r="E18" s="73"/>
      <c r="F18" s="73"/>
      <c r="G18" s="73"/>
      <c r="H18" s="53"/>
      <c r="I18" s="2124" t="s">
        <v>671</v>
      </c>
      <c r="J18" s="2125"/>
      <c r="K18" s="2125"/>
      <c r="L18" s="2125"/>
      <c r="M18" s="2125"/>
      <c r="N18" s="2125"/>
      <c r="O18" s="2125"/>
      <c r="P18" s="2125"/>
      <c r="Q18" s="2125"/>
      <c r="R18" s="2125"/>
      <c r="S18" s="2126"/>
      <c r="T18" s="82" t="s">
        <v>706</v>
      </c>
      <c r="U18" s="48"/>
      <c r="V18" s="69"/>
      <c r="W18" s="47"/>
      <c r="X18" s="82" t="s">
        <v>264</v>
      </c>
      <c r="Y18" s="78"/>
      <c r="Z18" s="154" t="s">
        <v>672</v>
      </c>
      <c r="AA18" s="44"/>
    </row>
    <row r="19" spans="1:27" ht="13.5" customHeight="1" x14ac:dyDescent="0.2">
      <c r="A19" s="2097" t="s">
        <v>2052</v>
      </c>
      <c r="B19" s="2098"/>
      <c r="C19" s="2098"/>
      <c r="D19" s="2098"/>
      <c r="E19" s="2098"/>
      <c r="F19" s="2098"/>
      <c r="G19" s="2098"/>
      <c r="H19" s="2096"/>
      <c r="I19" s="30"/>
      <c r="J19" s="96"/>
      <c r="K19" s="40"/>
      <c r="L19" s="38"/>
      <c r="M19" s="109" t="s">
        <v>312</v>
      </c>
      <c r="P19" s="27"/>
      <c r="Q19" s="27"/>
      <c r="R19" s="27"/>
      <c r="S19" s="31"/>
      <c r="T19" s="2097" t="s">
        <v>2058</v>
      </c>
      <c r="U19" s="2095"/>
      <c r="V19" s="2095"/>
      <c r="W19" s="2096"/>
      <c r="X19" s="2112" t="s">
        <v>2059</v>
      </c>
      <c r="Y19" s="2113"/>
      <c r="Z19" s="2110">
        <v>61938</v>
      </c>
      <c r="AA19" s="211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4" t="s">
        <v>2053</v>
      </c>
      <c r="B21" s="2095"/>
      <c r="C21" s="2095"/>
      <c r="D21" s="2095"/>
      <c r="E21" s="2095"/>
      <c r="F21" s="2095"/>
      <c r="G21" s="2095"/>
      <c r="H21" s="2096"/>
      <c r="I21" s="2120" t="s">
        <v>673</v>
      </c>
      <c r="J21" s="2083"/>
      <c r="K21" s="2083"/>
      <c r="L21" s="2083"/>
      <c r="M21" s="2083"/>
      <c r="N21" s="2083"/>
      <c r="O21" s="2083"/>
      <c r="P21" s="2083"/>
      <c r="Q21" s="2083"/>
      <c r="R21" s="2083"/>
      <c r="S21" s="2084"/>
      <c r="T21" s="2062" t="s">
        <v>2060</v>
      </c>
      <c r="U21" s="2063"/>
      <c r="V21" s="2063"/>
      <c r="W21" s="2063"/>
      <c r="X21" s="2076" t="s">
        <v>2061</v>
      </c>
      <c r="Y21" s="2077"/>
      <c r="Z21" s="2077"/>
      <c r="AA21" s="2078"/>
    </row>
    <row r="22" spans="1:27" ht="13.5" customHeight="1" x14ac:dyDescent="0.2">
      <c r="A22" s="84" t="s">
        <v>528</v>
      </c>
      <c r="B22" s="56"/>
      <c r="C22" s="56"/>
      <c r="D22" s="56"/>
      <c r="E22" s="56"/>
      <c r="F22" s="56"/>
      <c r="G22" s="56"/>
      <c r="H22" s="57"/>
      <c r="I22" s="2121" t="s">
        <v>1412</v>
      </c>
      <c r="J22" s="2122"/>
      <c r="K22" s="2122"/>
      <c r="L22" s="2122"/>
      <c r="M22" s="2122"/>
      <c r="N22" s="2122"/>
      <c r="O22" s="2122"/>
      <c r="P22" s="2122"/>
      <c r="Q22" s="2122"/>
      <c r="R22" s="2122"/>
      <c r="S22" s="2123"/>
      <c r="T22" s="82" t="s">
        <v>1499</v>
      </c>
      <c r="U22" s="48"/>
      <c r="V22" s="69"/>
      <c r="W22" s="48"/>
      <c r="X22" s="155" t="s">
        <v>1307</v>
      </c>
      <c r="Z22" s="43"/>
      <c r="AA22" s="44"/>
    </row>
    <row r="23" spans="1:27" ht="13.5" customHeight="1" x14ac:dyDescent="0.2">
      <c r="A23" s="2117" t="s">
        <v>2054</v>
      </c>
      <c r="B23" s="2118"/>
      <c r="C23" s="2118"/>
      <c r="D23" s="2118"/>
      <c r="E23" s="2118"/>
      <c r="F23" s="2118"/>
      <c r="G23" s="2118"/>
      <c r="H23" s="2119"/>
      <c r="T23" s="2057" t="s">
        <v>2062</v>
      </c>
      <c r="U23" s="2058"/>
      <c r="V23" s="2058"/>
      <c r="W23" s="2058"/>
      <c r="X23" s="2073">
        <v>44469</v>
      </c>
      <c r="Y23" s="2074"/>
      <c r="Z23" s="2074"/>
      <c r="AA23" s="2075"/>
    </row>
    <row r="24" spans="1:27" ht="14.1" customHeight="1" x14ac:dyDescent="0.2">
      <c r="A24" s="85" t="s">
        <v>672</v>
      </c>
      <c r="B24" s="46"/>
      <c r="C24" s="46"/>
      <c r="D24" s="46"/>
      <c r="E24" s="46"/>
      <c r="F24" s="46"/>
      <c r="G24" s="46"/>
      <c r="H24" s="58"/>
      <c r="J24" s="2159" t="str">
        <f>IF(B5="x",IF(AUDITCHECK!D29="AFR form Incomplete.","",IF(AUDITCHECK!D29="Deficit reduction plan is required.","School District must complete a deficit reduction plan in the 2020-2021 Budget",)),"")</f>
        <v/>
      </c>
      <c r="K24" s="2159"/>
      <c r="L24" s="2159"/>
      <c r="M24" s="2159"/>
      <c r="N24" s="2159"/>
      <c r="O24" s="2159"/>
      <c r="P24" s="2159"/>
      <c r="Q24" s="2159"/>
      <c r="R24" s="2159"/>
      <c r="S24" s="2160"/>
      <c r="T24" s="102" t="s">
        <v>528</v>
      </c>
      <c r="U24" s="103"/>
      <c r="V24" s="103"/>
      <c r="W24" s="103"/>
      <c r="X24" s="104"/>
      <c r="Y24" s="104"/>
      <c r="Z24" s="104"/>
      <c r="AA24" s="105"/>
    </row>
    <row r="25" spans="1:27" ht="14.1" customHeight="1" x14ac:dyDescent="0.2">
      <c r="A25" s="2094">
        <v>61920</v>
      </c>
      <c r="B25" s="2095"/>
      <c r="C25" s="2095"/>
      <c r="D25" s="2095"/>
      <c r="E25" s="2095"/>
      <c r="F25" s="2095"/>
      <c r="G25" s="2095"/>
      <c r="H25" s="2096"/>
      <c r="I25" s="110"/>
      <c r="J25" s="2161"/>
      <c r="K25" s="2161"/>
      <c r="L25" s="2161"/>
      <c r="M25" s="2161"/>
      <c r="N25" s="2161"/>
      <c r="O25" s="2161"/>
      <c r="P25" s="2161"/>
      <c r="Q25" s="2161"/>
      <c r="R25" s="2161"/>
      <c r="S25" s="2162"/>
      <c r="T25" s="2054" t="s">
        <v>2063</v>
      </c>
      <c r="U25" s="2055"/>
      <c r="V25" s="2055"/>
      <c r="W25" s="2055"/>
      <c r="X25" s="2055"/>
      <c r="Y25" s="2055"/>
      <c r="Z25" s="2055"/>
      <c r="AA25" s="20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2" t="s">
        <v>1494</v>
      </c>
      <c r="J27" s="2125"/>
      <c r="K27" s="2125"/>
      <c r="L27" s="2125"/>
      <c r="M27" s="2125"/>
      <c r="N27" s="2125"/>
      <c r="O27" s="2125"/>
      <c r="P27" s="2125"/>
      <c r="Q27" s="2125"/>
      <c r="R27" s="2125"/>
      <c r="S27" s="212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8"/>
      <c r="Q35" s="2095"/>
      <c r="R35" s="209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7" t="s">
        <v>2064</v>
      </c>
      <c r="B38" s="2127"/>
      <c r="C38" s="2127"/>
      <c r="D38" s="2127"/>
      <c r="E38" s="2127"/>
      <c r="F38" s="2095"/>
      <c r="G38" s="2095"/>
      <c r="H38" s="2096"/>
      <c r="I38" s="2146"/>
      <c r="J38" s="2066"/>
      <c r="K38" s="2066"/>
      <c r="L38" s="2066"/>
      <c r="M38" s="2066"/>
      <c r="N38" s="2066"/>
      <c r="O38" s="2066"/>
      <c r="P38" s="2067"/>
      <c r="Q38" s="2067"/>
      <c r="R38" s="2067"/>
      <c r="S38" s="2068"/>
      <c r="T38" s="2065"/>
      <c r="U38" s="2066"/>
      <c r="V38" s="2066"/>
      <c r="W38" s="2066"/>
      <c r="X38" s="2067"/>
      <c r="Y38" s="2067"/>
      <c r="Z38" s="2067"/>
      <c r="AA38" s="2068"/>
    </row>
    <row r="39" spans="1:27" ht="12" customHeight="1" x14ac:dyDescent="0.2">
      <c r="A39" s="2150" t="s">
        <v>528</v>
      </c>
      <c r="B39" s="2151"/>
      <c r="C39" s="69"/>
      <c r="D39" s="66"/>
      <c r="E39" s="66"/>
      <c r="F39" s="76"/>
      <c r="G39" s="66"/>
      <c r="H39" s="53"/>
      <c r="I39" s="2150" t="s">
        <v>528</v>
      </c>
      <c r="J39" s="2151"/>
      <c r="K39" s="2151"/>
      <c r="L39" s="2151"/>
      <c r="M39" s="2151"/>
      <c r="N39" s="64"/>
      <c r="O39" s="69"/>
      <c r="P39" s="69"/>
      <c r="Q39" s="75"/>
      <c r="R39" s="69"/>
      <c r="S39" s="53"/>
      <c r="T39" s="69" t="s">
        <v>528</v>
      </c>
      <c r="U39" s="48"/>
      <c r="V39" s="69"/>
      <c r="W39" s="47"/>
      <c r="X39" s="75"/>
      <c r="Y39" s="43"/>
      <c r="Z39" s="43"/>
      <c r="AA39" s="44"/>
    </row>
    <row r="40" spans="1:27" ht="13.5" customHeight="1" x14ac:dyDescent="0.2">
      <c r="A40" s="2153" t="s">
        <v>2065</v>
      </c>
      <c r="B40" s="2154"/>
      <c r="C40" s="2155"/>
      <c r="D40" s="2155"/>
      <c r="E40" s="2155"/>
      <c r="F40" s="2156"/>
      <c r="G40" s="2156"/>
      <c r="H40" s="2157"/>
      <c r="I40" s="2069"/>
      <c r="J40" s="2071"/>
      <c r="K40" s="2071"/>
      <c r="L40" s="2071"/>
      <c r="M40" s="2071"/>
      <c r="N40" s="2071"/>
      <c r="O40" s="2071"/>
      <c r="P40" s="2071"/>
      <c r="Q40" s="2071"/>
      <c r="R40" s="2071"/>
      <c r="S40" s="2072"/>
      <c r="T40" s="2069"/>
      <c r="U40" s="2070"/>
      <c r="V40" s="2071"/>
      <c r="W40" s="2071"/>
      <c r="X40" s="2071"/>
      <c r="Y40" s="2071"/>
      <c r="Z40" s="2071"/>
      <c r="AA40" s="207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3" t="s">
        <v>2066</v>
      </c>
      <c r="B42" s="2144"/>
      <c r="C42" s="2145"/>
      <c r="D42" s="2158" t="s">
        <v>2067</v>
      </c>
      <c r="E42" s="2144"/>
      <c r="F42" s="2144"/>
      <c r="G42" s="2144"/>
      <c r="H42" s="2145"/>
      <c r="I42" s="2064"/>
      <c r="J42" s="2060"/>
      <c r="K42" s="2060"/>
      <c r="L42" s="2060"/>
      <c r="M42" s="2060"/>
      <c r="N42" s="2060"/>
      <c r="O42" s="2061"/>
      <c r="P42" s="2059"/>
      <c r="Q42" s="2060"/>
      <c r="R42" s="2060"/>
      <c r="S42" s="2061"/>
      <c r="T42" s="2064"/>
      <c r="U42" s="2060"/>
      <c r="V42" s="2060"/>
      <c r="W42" s="2061"/>
      <c r="X42" s="2059"/>
      <c r="Y42" s="2060"/>
      <c r="Z42" s="2060"/>
      <c r="AA42" s="206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7"/>
      <c r="B44" s="2148"/>
      <c r="C44" s="2148"/>
      <c r="D44" s="2148"/>
      <c r="E44" s="2148"/>
      <c r="F44" s="2148"/>
      <c r="G44" s="2148"/>
      <c r="H44" s="2149"/>
      <c r="I44" s="2139"/>
      <c r="J44" s="2141"/>
      <c r="K44" s="2141"/>
      <c r="L44" s="2141"/>
      <c r="M44" s="2141"/>
      <c r="N44" s="2141"/>
      <c r="O44" s="2141"/>
      <c r="P44" s="2141"/>
      <c r="Q44" s="2141"/>
      <c r="R44" s="2141"/>
      <c r="S44" s="2142"/>
      <c r="T44" s="2139"/>
      <c r="U44" s="2140"/>
      <c r="V44" s="2140"/>
      <c r="W44" s="2140"/>
      <c r="X44" s="2140"/>
      <c r="Y44" s="2140"/>
      <c r="Z44" s="2141"/>
      <c r="AA44" s="214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sheetPr>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2"/>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pageSetUpPr fitToPage="1"/>
  </sheetPr>
  <dimension ref="A1:K59"/>
  <sheetViews>
    <sheetView showGridLines="0" defaultGridColor="0" topLeftCell="A22" colorId="8" zoomScale="110" zoomScaleNormal="110" workbookViewId="0">
      <selection activeCell="A61" sqref="A6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7" t="s">
        <v>625</v>
      </c>
      <c r="B1" s="2308"/>
      <c r="C1" s="585"/>
    </row>
    <row r="2" spans="1:7" ht="33.75" x14ac:dyDescent="0.2">
      <c r="A2" s="2316" t="s">
        <v>1776</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09"/>
      <c r="D3" s="2310"/>
      <c r="E3" s="2310"/>
      <c r="F3" s="2311"/>
    </row>
    <row r="4" spans="1:7" ht="12.75" customHeight="1" thickBot="1" x14ac:dyDescent="0.25">
      <c r="A4" s="2318" t="s">
        <v>626</v>
      </c>
      <c r="B4" s="2319"/>
      <c r="C4" s="1656"/>
      <c r="D4" s="1656"/>
      <c r="E4" s="1656"/>
      <c r="F4" s="1732">
        <f>SUM(C4+D4)-E4</f>
        <v>0</v>
      </c>
    </row>
    <row r="5" spans="1:7" ht="15.75" customHeight="1" thickTop="1" x14ac:dyDescent="0.2">
      <c r="A5" s="2303" t="s">
        <v>1101</v>
      </c>
      <c r="B5" s="2304"/>
      <c r="C5" s="2312"/>
      <c r="D5" s="2313"/>
      <c r="E5" s="2313"/>
      <c r="F5" s="231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5" t="s">
        <v>627</v>
      </c>
      <c r="B15" s="2306"/>
      <c r="C15" s="1732">
        <f>SUM(C6:C14)</f>
        <v>0</v>
      </c>
      <c r="D15" s="1732">
        <f>SUM(D6:D14)</f>
        <v>0</v>
      </c>
      <c r="E15" s="1732">
        <f>SUM(E6:E14)</f>
        <v>0</v>
      </c>
      <c r="F15" s="1732">
        <f>SUM(F6:F14)</f>
        <v>0</v>
      </c>
      <c r="G15" s="473"/>
    </row>
    <row r="16" spans="1:7" s="197" customFormat="1" ht="15.75" customHeight="1" thickTop="1" x14ac:dyDescent="0.2">
      <c r="A16" s="2315" t="s">
        <v>1102</v>
      </c>
      <c r="B16" s="2304"/>
      <c r="C16" s="2312"/>
      <c r="D16" s="2313"/>
      <c r="E16" s="2313"/>
      <c r="F16" s="2314"/>
    </row>
    <row r="17" spans="1:11" ht="12.75" customHeight="1" thickBot="1" x14ac:dyDescent="0.25">
      <c r="A17" s="2328" t="s">
        <v>64</v>
      </c>
      <c r="B17" s="2329"/>
      <c r="C17" s="1733"/>
      <c r="D17" s="1664"/>
      <c r="E17" s="1733"/>
      <c r="F17" s="1732">
        <f>SUM(C17+D17)-E17</f>
        <v>0</v>
      </c>
    </row>
    <row r="18" spans="1:11" ht="12.75" customHeight="1" thickTop="1" thickBot="1" x14ac:dyDescent="0.25">
      <c r="A18" s="2328" t="s">
        <v>6</v>
      </c>
      <c r="B18" s="2329"/>
      <c r="C18" s="1733"/>
      <c r="D18" s="1664"/>
      <c r="E18" s="1733"/>
      <c r="F18" s="1732">
        <f>SUM(C18+D18)-E18</f>
        <v>0</v>
      </c>
    </row>
    <row r="19" spans="1:11" ht="12.75" customHeight="1" thickTop="1" thickBot="1" x14ac:dyDescent="0.25">
      <c r="A19" s="2328" t="s">
        <v>385</v>
      </c>
      <c r="B19" s="2329"/>
      <c r="C19" s="1733"/>
      <c r="D19" s="1664"/>
      <c r="E19" s="1733"/>
      <c r="F19" s="1732">
        <f>SUM(C19+D19)-E19</f>
        <v>0</v>
      </c>
    </row>
    <row r="20" spans="1:11" ht="12.75" customHeight="1" thickTop="1" thickBot="1" x14ac:dyDescent="0.25">
      <c r="A20" s="2328" t="s">
        <v>445</v>
      </c>
      <c r="B20" s="2329"/>
      <c r="C20" s="1733"/>
      <c r="D20" s="1664"/>
      <c r="E20" s="1733"/>
      <c r="F20" s="1732">
        <f>SUM(C20+D20)-E20</f>
        <v>0</v>
      </c>
    </row>
    <row r="21" spans="1:11" ht="14.25" thickTop="1" thickBot="1" x14ac:dyDescent="0.25">
      <c r="A21" s="2305" t="s">
        <v>628</v>
      </c>
      <c r="B21" s="2306"/>
      <c r="C21" s="1732">
        <f>SUM(C17:C20)</f>
        <v>0</v>
      </c>
      <c r="D21" s="1732">
        <f>SUM(D17:D20)</f>
        <v>0</v>
      </c>
      <c r="E21" s="1732">
        <f>SUM(E17:E20)</f>
        <v>0</v>
      </c>
      <c r="F21" s="1732">
        <f>SUM(F17:F20)</f>
        <v>0</v>
      </c>
      <c r="G21" s="473"/>
    </row>
    <row r="22" spans="1:11" ht="15.75" customHeight="1" thickTop="1" x14ac:dyDescent="0.2">
      <c r="A22" s="2330" t="s">
        <v>1103</v>
      </c>
      <c r="B22" s="2304"/>
      <c r="C22" s="2312"/>
      <c r="D22" s="2313"/>
      <c r="E22" s="2313"/>
      <c r="F22" s="2314"/>
    </row>
    <row r="23" spans="1:11" ht="13.5" thickBot="1" x14ac:dyDescent="0.25">
      <c r="A23" s="2318" t="s">
        <v>629</v>
      </c>
      <c r="B23" s="2319"/>
      <c r="C23" s="1656"/>
      <c r="D23" s="1656"/>
      <c r="E23" s="1656"/>
      <c r="F23" s="1732">
        <f>SUM(C23+D23)-E23</f>
        <v>0</v>
      </c>
      <c r="G23" s="473"/>
    </row>
    <row r="24" spans="1:11" ht="15.75" customHeight="1" thickTop="1" x14ac:dyDescent="0.2">
      <c r="A24" s="2330" t="s">
        <v>2003</v>
      </c>
      <c r="B24" s="2304"/>
      <c r="C24" s="2312"/>
      <c r="D24" s="2313"/>
      <c r="E24" s="2313"/>
      <c r="F24" s="2314"/>
    </row>
    <row r="25" spans="1:11" ht="13.5" thickBot="1" x14ac:dyDescent="0.25">
      <c r="A25" s="2318" t="s">
        <v>2004</v>
      </c>
      <c r="B25" s="2319"/>
      <c r="C25" s="1656"/>
      <c r="D25" s="1656"/>
      <c r="E25" s="1656"/>
      <c r="F25" s="1732">
        <f>SUM(C25+D25)-E25</f>
        <v>0</v>
      </c>
      <c r="G25" s="473"/>
    </row>
    <row r="26" spans="1:11" ht="15.75" customHeight="1" thickTop="1" x14ac:dyDescent="0.2">
      <c r="A26" s="2303" t="s">
        <v>652</v>
      </c>
      <c r="B26" s="2304"/>
      <c r="C26" s="589"/>
      <c r="D26" s="589"/>
      <c r="E26" s="589"/>
      <c r="F26" s="590"/>
    </row>
    <row r="27" spans="1:11" ht="13.5" thickBot="1" x14ac:dyDescent="0.25">
      <c r="A27" s="2305" t="s">
        <v>1061</v>
      </c>
      <c r="B27" s="2306"/>
      <c r="C27" s="1664"/>
      <c r="D27" s="1664"/>
      <c r="E27" s="1664"/>
      <c r="F27" s="1732">
        <f>SUM(C27+D27)-E27</f>
        <v>0</v>
      </c>
      <c r="G27" s="473"/>
    </row>
    <row r="28" spans="1:11" ht="7.5" customHeight="1" thickTop="1" x14ac:dyDescent="0.2">
      <c r="A28" s="489"/>
    </row>
    <row r="29" spans="1:11" ht="23.25" customHeight="1" x14ac:dyDescent="0.2">
      <c r="A29" s="2331"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42038</v>
      </c>
      <c r="C31" s="1734">
        <v>192656</v>
      </c>
      <c r="D31" s="1735">
        <v>7</v>
      </c>
      <c r="E31" s="1734">
        <v>28956</v>
      </c>
      <c r="F31" s="1734"/>
      <c r="G31" s="1734"/>
      <c r="H31" s="1734">
        <v>28956</v>
      </c>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192656</v>
      </c>
      <c r="D49" s="1742"/>
      <c r="E49" s="1736">
        <f t="shared" ref="E49:J49" si="2">SUM(E31:E48)</f>
        <v>28956</v>
      </c>
      <c r="F49" s="1736">
        <f t="shared" si="2"/>
        <v>0</v>
      </c>
      <c r="G49" s="1736">
        <f t="shared" si="2"/>
        <v>0</v>
      </c>
      <c r="H49" s="1736">
        <f t="shared" si="2"/>
        <v>28956</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22" t="s">
        <v>580</v>
      </c>
      <c r="C52" s="2323"/>
      <c r="D52" s="2323"/>
      <c r="E52" s="603" t="s">
        <v>840</v>
      </c>
      <c r="F52" s="2324" t="s">
        <v>2069</v>
      </c>
      <c r="G52" s="2325"/>
      <c r="H52" s="596"/>
      <c r="I52" s="596"/>
      <c r="J52" s="600"/>
    </row>
    <row r="53" spans="1:11" ht="11.25" customHeight="1" x14ac:dyDescent="0.2">
      <c r="A53" s="604" t="s">
        <v>907</v>
      </c>
      <c r="B53" s="605" t="s">
        <v>945</v>
      </c>
      <c r="C53" s="600"/>
      <c r="D53" s="597"/>
      <c r="E53" s="603" t="s">
        <v>494</v>
      </c>
      <c r="F53" s="2326"/>
      <c r="G53" s="2327"/>
      <c r="H53" s="596"/>
      <c r="I53" s="596"/>
      <c r="J53" s="600"/>
    </row>
    <row r="54" spans="1:11" ht="11.25" customHeight="1" x14ac:dyDescent="0.2">
      <c r="A54" s="606" t="s">
        <v>908</v>
      </c>
      <c r="B54" s="601" t="s">
        <v>946</v>
      </c>
      <c r="C54" s="600"/>
      <c r="D54" s="597"/>
      <c r="E54" s="603" t="s">
        <v>495</v>
      </c>
      <c r="F54" s="2326"/>
      <c r="G54" s="232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8" t="s">
        <v>851</v>
      </c>
      <c r="B1" s="2359"/>
      <c r="C1" s="2359"/>
      <c r="D1" s="2359"/>
      <c r="E1" s="2359"/>
      <c r="F1" s="2359"/>
      <c r="G1" s="2360"/>
      <c r="H1" s="1298"/>
      <c r="I1" s="614"/>
      <c r="J1" s="400"/>
    </row>
    <row r="2" spans="1:11" ht="26.25" x14ac:dyDescent="0.2">
      <c r="A2" s="2335" t="s">
        <v>1658</v>
      </c>
      <c r="B2" s="2336"/>
      <c r="C2" s="2336"/>
      <c r="D2" s="2336"/>
      <c r="E2" s="2337"/>
      <c r="F2" s="615" t="s">
        <v>898</v>
      </c>
      <c r="G2" s="616" t="s">
        <v>1655</v>
      </c>
      <c r="H2" s="616" t="s">
        <v>407</v>
      </c>
      <c r="I2" s="616" t="s">
        <v>1148</v>
      </c>
      <c r="J2" s="616" t="s">
        <v>1786</v>
      </c>
      <c r="K2" s="616" t="s">
        <v>137</v>
      </c>
    </row>
    <row r="3" spans="1:11" x14ac:dyDescent="0.2">
      <c r="A3" s="2338" t="str">
        <f>"Cash Basis Fund Balance as of July 1, "&amp;'AFR20'!E2-1</f>
        <v>Cash Basis Fund Balance as of July 1, 2019</v>
      </c>
      <c r="B3" s="2339"/>
      <c r="C3" s="2339"/>
      <c r="D3" s="2339"/>
      <c r="E3" s="2340"/>
      <c r="F3" s="617"/>
      <c r="G3" s="1744"/>
      <c r="H3" s="1744"/>
      <c r="I3" s="1744"/>
      <c r="J3" s="1745"/>
      <c r="K3" s="1745"/>
    </row>
    <row r="4" spans="1:11" x14ac:dyDescent="0.2">
      <c r="A4" s="2341" t="s">
        <v>366</v>
      </c>
      <c r="B4" s="2342"/>
      <c r="C4" s="2342"/>
      <c r="D4" s="2342"/>
      <c r="E4" s="2323"/>
      <c r="F4" s="620"/>
      <c r="G4" s="1746"/>
      <c r="H4" s="1747"/>
      <c r="I4" s="1746"/>
      <c r="J4" s="1748"/>
      <c r="K4" s="1748"/>
    </row>
    <row r="5" spans="1:11" x14ac:dyDescent="0.2">
      <c r="A5" s="2361" t="s">
        <v>1060</v>
      </c>
      <c r="B5" s="2332"/>
      <c r="C5" s="2332"/>
      <c r="D5" s="2332"/>
      <c r="E5" s="2362"/>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61" t="s">
        <v>1787</v>
      </c>
      <c r="B10" s="2332"/>
      <c r="C10" s="2332"/>
      <c r="D10" s="2332"/>
      <c r="E10" s="2363"/>
      <c r="F10" s="633" t="s">
        <v>857</v>
      </c>
      <c r="G10" s="1753"/>
      <c r="H10" s="1754"/>
      <c r="I10" s="1744"/>
      <c r="J10" s="1745"/>
      <c r="K10" s="1745"/>
    </row>
    <row r="11" spans="1:11" x14ac:dyDescent="0.2">
      <c r="A11" s="2361" t="s">
        <v>159</v>
      </c>
      <c r="B11" s="2332"/>
      <c r="C11" s="2332"/>
      <c r="D11" s="2332"/>
      <c r="E11" s="2362"/>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3" t="s">
        <v>367</v>
      </c>
      <c r="B13" s="2344"/>
      <c r="C13" s="2344"/>
      <c r="D13" s="2344"/>
      <c r="E13" s="2345"/>
      <c r="F13" s="634"/>
      <c r="G13" s="1756"/>
      <c r="H13" s="1757"/>
      <c r="I13" s="1758"/>
      <c r="J13" s="1758"/>
      <c r="K13" s="1758"/>
    </row>
    <row r="14" spans="1:11" x14ac:dyDescent="0.2">
      <c r="A14" s="2367" t="s">
        <v>453</v>
      </c>
      <c r="B14" s="2367"/>
      <c r="C14" s="2367"/>
      <c r="D14" s="2367"/>
      <c r="E14" s="2368"/>
      <c r="F14" s="635" t="s">
        <v>849</v>
      </c>
      <c r="G14" s="1753"/>
      <c r="H14" s="1744"/>
      <c r="I14" s="1749"/>
      <c r="J14" s="1751"/>
      <c r="K14" s="1745"/>
    </row>
    <row r="15" spans="1:11" x14ac:dyDescent="0.2">
      <c r="A15" s="2332" t="s">
        <v>4</v>
      </c>
      <c r="B15" s="2332"/>
      <c r="C15" s="2332"/>
      <c r="D15" s="2332"/>
      <c r="E15" s="2362"/>
      <c r="F15" s="635" t="s">
        <v>850</v>
      </c>
      <c r="G15" s="1749"/>
      <c r="H15" s="1744"/>
      <c r="I15" s="1744"/>
      <c r="J15" s="1745"/>
      <c r="K15" s="1745"/>
    </row>
    <row r="16" spans="1:11" x14ac:dyDescent="0.2">
      <c r="A16" s="2332" t="s">
        <v>295</v>
      </c>
      <c r="B16" s="2332"/>
      <c r="C16" s="2332"/>
      <c r="D16" s="2332"/>
      <c r="E16" s="2362"/>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46" t="s">
        <v>365</v>
      </c>
      <c r="B18" s="2347"/>
      <c r="C18" s="2347"/>
      <c r="D18" s="2347"/>
      <c r="E18" s="2348"/>
      <c r="F18" s="635" t="s">
        <v>926</v>
      </c>
      <c r="G18" s="1753"/>
      <c r="H18" s="1753"/>
      <c r="I18" s="1753"/>
      <c r="J18" s="1745"/>
      <c r="K18" s="1763"/>
    </row>
    <row r="19" spans="1:15" ht="21.75" customHeight="1" x14ac:dyDescent="0.2">
      <c r="A19" s="2369" t="s">
        <v>1783</v>
      </c>
      <c r="B19" s="2369"/>
      <c r="C19" s="2369"/>
      <c r="D19" s="2369"/>
      <c r="E19" s="2370"/>
      <c r="F19" s="635" t="s">
        <v>927</v>
      </c>
      <c r="G19" s="1753"/>
      <c r="H19" s="1753"/>
      <c r="I19" s="1753"/>
      <c r="J19" s="1745"/>
      <c r="K19" s="1763"/>
    </row>
    <row r="20" spans="1:15" x14ac:dyDescent="0.2">
      <c r="A20" s="2346" t="s">
        <v>1788</v>
      </c>
      <c r="B20" s="2347"/>
      <c r="C20" s="2347"/>
      <c r="D20" s="2347"/>
      <c r="E20" s="2348"/>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32" t="s">
        <v>1789</v>
      </c>
      <c r="B22" s="2332"/>
      <c r="C22" s="2332"/>
      <c r="D22" s="2332"/>
      <c r="E22" s="2362"/>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4"/>
      <c r="I31" s="2365"/>
      <c r="J31" s="2365"/>
      <c r="K31" s="2365"/>
    </row>
    <row r="32" spans="1:15" x14ac:dyDescent="0.2">
      <c r="A32" s="649"/>
      <c r="B32" s="232"/>
      <c r="C32" s="232"/>
      <c r="D32" s="232"/>
      <c r="E32" s="645"/>
      <c r="F32" s="651" t="s">
        <v>537</v>
      </c>
      <c r="G32" s="618"/>
      <c r="H32" s="2366"/>
      <c r="I32" s="2365"/>
      <c r="J32" s="2365"/>
      <c r="K32" s="2365"/>
    </row>
    <row r="33" spans="1:11" ht="1.5" customHeight="1" x14ac:dyDescent="0.2">
      <c r="A33" s="652" t="s">
        <v>1159</v>
      </c>
      <c r="B33" s="341"/>
      <c r="C33" s="341"/>
      <c r="D33" s="341"/>
      <c r="E33" s="341"/>
      <c r="F33" s="341"/>
      <c r="G33" s="653"/>
      <c r="H33" s="2366"/>
      <c r="I33" s="2365"/>
      <c r="J33" s="2365"/>
      <c r="K33" s="236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2" t="s">
        <v>538</v>
      </c>
      <c r="B41" s="2333"/>
      <c r="C41" s="2333"/>
      <c r="D41" s="2333"/>
      <c r="E41" s="2333"/>
      <c r="F41" s="233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6"/>
  </sheetPr>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3" t="s">
        <v>1872</v>
      </c>
      <c r="B1" s="2374"/>
      <c r="C1" s="2375"/>
      <c r="D1" s="666"/>
      <c r="E1" s="667"/>
      <c r="F1" s="667"/>
      <c r="G1" s="668"/>
      <c r="H1" s="669"/>
      <c r="I1" s="670"/>
      <c r="J1" s="2371"/>
      <c r="K1" s="2372"/>
      <c r="L1" s="237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1796494</v>
      </c>
      <c r="D8" s="1771">
        <v>382992</v>
      </c>
      <c r="E8" s="1771"/>
      <c r="F8" s="1765">
        <f>(C8+D8)-E8</f>
        <v>2179486</v>
      </c>
      <c r="G8" s="681">
        <v>50</v>
      </c>
      <c r="H8" s="619">
        <v>610808</v>
      </c>
      <c r="I8" s="619">
        <v>43590</v>
      </c>
      <c r="J8" s="619"/>
      <c r="K8" s="1442">
        <f>(H8+I8)-J8</f>
        <v>654398</v>
      </c>
      <c r="L8" s="1442">
        <f>F8-K8</f>
        <v>1525088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2911667</v>
      </c>
      <c r="D12" s="1771">
        <v>106907</v>
      </c>
      <c r="E12" s="1771">
        <v>73507</v>
      </c>
      <c r="F12" s="1765">
        <f>(C12+D12)-E12</f>
        <v>2945067</v>
      </c>
      <c r="G12" s="681">
        <v>10</v>
      </c>
      <c r="H12" s="619">
        <v>2289598</v>
      </c>
      <c r="I12" s="619">
        <v>107328</v>
      </c>
      <c r="J12" s="619">
        <v>70538</v>
      </c>
      <c r="K12" s="1442">
        <f>(H12+I12)-J12</f>
        <v>2326388</v>
      </c>
      <c r="L12" s="1442">
        <f>F12-K12</f>
        <v>618679</v>
      </c>
    </row>
    <row r="13" spans="1:14" ht="14.25" thickTop="1" thickBot="1" x14ac:dyDescent="0.25">
      <c r="A13" s="684" t="s">
        <v>1112</v>
      </c>
      <c r="B13" s="679">
        <v>252</v>
      </c>
      <c r="C13" s="1771">
        <v>154736</v>
      </c>
      <c r="D13" s="1771">
        <v>31950</v>
      </c>
      <c r="E13" s="1771">
        <v>21968</v>
      </c>
      <c r="F13" s="1765">
        <f>(C13+D13)-E13</f>
        <v>164718</v>
      </c>
      <c r="G13" s="681">
        <v>5</v>
      </c>
      <c r="H13" s="619">
        <v>75878</v>
      </c>
      <c r="I13" s="619">
        <v>25213</v>
      </c>
      <c r="J13" s="619">
        <v>21968</v>
      </c>
      <c r="K13" s="1442">
        <f>(H13+I13)-J13</f>
        <v>79123</v>
      </c>
      <c r="L13" s="1442">
        <f>F13-K13</f>
        <v>85595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4862897</v>
      </c>
      <c r="D16" s="1765">
        <f>SUM(D3,D5:D6,D8:D10,D12:D15)</f>
        <v>521849</v>
      </c>
      <c r="E16" s="1765">
        <f>SUM(E3,E5:E6,E8:E10,E12:E15)</f>
        <v>95475</v>
      </c>
      <c r="F16" s="1765">
        <f>SUM(F3,F5:F6,F8:F10,F12:F15)</f>
        <v>5289271</v>
      </c>
      <c r="G16" s="681"/>
      <c r="H16" s="1435">
        <f>SUM(H3,H6,H8:H10,H12:H14,)</f>
        <v>2976284</v>
      </c>
      <c r="I16" s="1435">
        <f>SUM(I3,I6,I8:I10,I12:I14,)</f>
        <v>176131</v>
      </c>
      <c r="J16" s="1435">
        <f>SUM(J3,J6,J8:J10,J12:J14,)</f>
        <v>92506</v>
      </c>
      <c r="K16" s="1435">
        <f>(H16+I16)-J16</f>
        <v>3059909</v>
      </c>
      <c r="L16" s="1435">
        <f>F16-K16</f>
        <v>2229362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176131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6"/>
  </sheetPr>
  <dimension ref="A1:I203"/>
  <sheetViews>
    <sheetView showGridLines="0" defaultGridColor="0" topLeftCell="A130" colorId="8" zoomScale="110" zoomScaleNormal="110" workbookViewId="0">
      <selection activeCell="I176" sqref="I1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9" t="str">
        <f>"ESTIMATED OPERATING EXPENSE PER PUPIL (OEPP)/PER CAPITA TUITION CHARGE (PCTC) COMPUTATIONS ("&amp;'AFR20'!E2-1&amp;" - "&amp;'AFR20'!E2&amp;")"</f>
        <v>ESTIMATED OPERATING EXPENSE PER PUPIL (OEPP)/PER CAPITA TUITION CHARGE (PCTC) COMPUTATIONS (2019 - 2020)</v>
      </c>
      <c r="B1" s="2380"/>
      <c r="C1" s="2380"/>
      <c r="D1" s="2380"/>
      <c r="E1" s="2380"/>
      <c r="F1" s="2381"/>
      <c r="G1" s="691"/>
      <c r="I1" s="701"/>
    </row>
    <row r="2" spans="1:9" ht="15" customHeight="1" thickBot="1" x14ac:dyDescent="0.25">
      <c r="A2" s="2382" t="s">
        <v>474</v>
      </c>
      <c r="B2" s="2383"/>
      <c r="C2" s="2383"/>
      <c r="D2" s="2383"/>
      <c r="E2" s="2383"/>
      <c r="F2" s="238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5"/>
      <c r="B5" s="2386"/>
      <c r="C5" s="2386"/>
      <c r="D5" s="2386"/>
      <c r="E5" s="2386"/>
      <c r="F5" s="2386"/>
    </row>
    <row r="6" spans="1:9" ht="13.5" customHeight="1" thickBot="1" x14ac:dyDescent="0.25">
      <c r="A6" s="2376" t="s">
        <v>1095</v>
      </c>
      <c r="B6" s="2377"/>
      <c r="C6" s="2377"/>
      <c r="D6" s="2377"/>
      <c r="E6" s="2377"/>
      <c r="F6" s="237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18403377</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29569</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18432946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1550589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142888</v>
      </c>
      <c r="G52" s="701"/>
    </row>
    <row r="53" spans="1:7" x14ac:dyDescent="0.2">
      <c r="A53" s="705" t="s">
        <v>456</v>
      </c>
      <c r="B53" s="705" t="s">
        <v>1458</v>
      </c>
      <c r="C53" s="724">
        <f>'Expenditures 15-22'!B102</f>
        <v>4000</v>
      </c>
      <c r="D53" s="723" t="str">
        <f>'Expenditures 15-22'!A102</f>
        <v>Total Payments to Other Govt Units</v>
      </c>
      <c r="E53" s="704"/>
      <c r="F53" s="1782">
        <f>'Expenditures 15-22'!K102</f>
        <v>2030718</v>
      </c>
      <c r="G53" s="701"/>
    </row>
    <row r="54" spans="1:7" x14ac:dyDescent="0.2">
      <c r="A54" s="705" t="s">
        <v>456</v>
      </c>
      <c r="B54" s="705" t="s">
        <v>1459</v>
      </c>
      <c r="C54" s="724" t="s">
        <v>975</v>
      </c>
      <c r="D54" s="720" t="s">
        <v>1086</v>
      </c>
      <c r="E54" s="704"/>
      <c r="F54" s="1782">
        <f>'Expenditures 15-22'!G114</f>
        <v>521849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28956</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4275000</v>
      </c>
      <c r="G77" s="701"/>
    </row>
    <row r="78" spans="1:9" s="728" customFormat="1" ht="12" customHeight="1" thickTop="1" thickBot="1" x14ac:dyDescent="0.25">
      <c r="A78" s="1450"/>
      <c r="B78" s="1448"/>
      <c r="C78" s="1445"/>
      <c r="D78" s="1449" t="s">
        <v>2009</v>
      </c>
      <c r="E78" s="1447"/>
      <c r="F78" s="1788">
        <f>(F14-F77)</f>
        <v>14157946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76" t="s">
        <v>1096</v>
      </c>
      <c r="B82" s="2377"/>
      <c r="C82" s="2377"/>
      <c r="D82" s="2377"/>
      <c r="E82" s="2377"/>
      <c r="F82" s="237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16800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2533</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113719</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154397</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7466648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31023</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123328</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259246</v>
      </c>
      <c r="G171" s="760"/>
    </row>
    <row r="172" spans="1:7" x14ac:dyDescent="0.2">
      <c r="A172" s="1529" t="s">
        <v>5</v>
      </c>
      <c r="B172" s="1530" t="s">
        <v>1882</v>
      </c>
      <c r="C172" s="1531">
        <v>3100</v>
      </c>
      <c r="D172" s="1532" t="s">
        <v>1884</v>
      </c>
      <c r="E172" s="739"/>
      <c r="F172" s="1794"/>
      <c r="G172" s="760"/>
    </row>
    <row r="173" spans="1:7" x14ac:dyDescent="0.2">
      <c r="A173" s="1529" t="s">
        <v>659</v>
      </c>
      <c r="B173" s="1530" t="s">
        <v>1882</v>
      </c>
      <c r="C173" s="1531">
        <v>3300</v>
      </c>
      <c r="D173" s="1532" t="s">
        <v>1885</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8167694</v>
      </c>
    </row>
    <row r="176" spans="1:7" ht="12" customHeight="1" x14ac:dyDescent="0.2">
      <c r="A176" s="1443"/>
      <c r="B176" s="1453"/>
      <c r="C176" s="1454"/>
      <c r="D176" s="1455" t="s">
        <v>2011</v>
      </c>
      <c r="E176" s="1456"/>
      <c r="F176" s="1793">
        <f>'PCTC-OEPP 27-28'!F78-F175</f>
        <v>5990252</v>
      </c>
    </row>
    <row r="177" spans="1:9" ht="12" customHeight="1" x14ac:dyDescent="0.2">
      <c r="A177" s="1443"/>
      <c r="B177" s="1453"/>
      <c r="C177" s="1454"/>
      <c r="D177" s="1455" t="s">
        <v>1791</v>
      </c>
      <c r="E177" s="1456"/>
      <c r="F177" s="1793">
        <f>'Cap Outlay Deprec 26'!I18</f>
        <v>176131</v>
      </c>
    </row>
    <row r="178" spans="1:9" ht="12" customHeight="1" x14ac:dyDescent="0.2">
      <c r="A178" s="1443"/>
      <c r="B178" s="1453"/>
      <c r="C178" s="1454"/>
      <c r="D178" s="1455" t="s">
        <v>2012</v>
      </c>
      <c r="E178" s="1456"/>
      <c r="F178" s="1793">
        <f>F176+F177</f>
        <v>6166383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pageSetUpPr fitToPage="1"/>
  </sheetPr>
  <dimension ref="A1:G142"/>
  <sheetViews>
    <sheetView showGridLines="0" zoomScaleNormal="100" workbookViewId="0">
      <selection activeCell="D19" sqref="D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90" t="s">
        <v>1792</v>
      </c>
      <c r="B4" s="2391"/>
      <c r="C4" s="2391"/>
      <c r="D4" s="2391"/>
      <c r="E4" s="2391"/>
      <c r="F4" s="2392"/>
    </row>
    <row r="5" spans="1:6" x14ac:dyDescent="0.25">
      <c r="A5" s="2393"/>
      <c r="B5" s="2394"/>
      <c r="C5" s="2394"/>
      <c r="D5" s="2394"/>
      <c r="E5" s="2394"/>
      <c r="F5" s="2395"/>
    </row>
    <row r="6" spans="1:6" ht="18.75" x14ac:dyDescent="0.25">
      <c r="A6" s="1867" t="s">
        <v>1793</v>
      </c>
      <c r="B6" s="1868"/>
      <c r="C6" s="1869"/>
      <c r="D6" s="1869"/>
      <c r="E6" s="1869"/>
      <c r="F6" s="1870"/>
    </row>
    <row r="7" spans="1:6" ht="47.25" customHeight="1" x14ac:dyDescent="0.25">
      <c r="A7" s="2396" t="s">
        <v>1982</v>
      </c>
      <c r="B7" s="2397"/>
      <c r="C7" s="2397"/>
      <c r="D7" s="2397"/>
      <c r="E7" s="2397"/>
      <c r="F7" s="239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99" t="s">
        <v>1978</v>
      </c>
      <c r="B10" s="2400"/>
      <c r="C10" s="2400"/>
      <c r="D10" s="2400"/>
      <c r="E10" s="2400"/>
      <c r="F10" s="2401"/>
    </row>
    <row r="11" spans="1:6" ht="33" customHeight="1" x14ac:dyDescent="0.25">
      <c r="A11" s="2396" t="s">
        <v>1983</v>
      </c>
      <c r="B11" s="2397"/>
      <c r="C11" s="2397"/>
      <c r="D11" s="2397"/>
      <c r="E11" s="2397"/>
      <c r="F11" s="2398"/>
    </row>
    <row r="12" spans="1:6" ht="15" customHeight="1" x14ac:dyDescent="0.25">
      <c r="A12" s="1873" t="s">
        <v>1979</v>
      </c>
      <c r="B12" s="1874"/>
      <c r="C12" s="1875"/>
      <c r="D12" s="1875"/>
      <c r="E12" s="1875"/>
      <c r="F12" s="1876"/>
    </row>
    <row r="13" spans="1:6" ht="17.25" customHeight="1" x14ac:dyDescent="0.25">
      <c r="A13" s="2396" t="s">
        <v>1980</v>
      </c>
      <c r="B13" s="2397"/>
      <c r="C13" s="2397"/>
      <c r="D13" s="2397"/>
      <c r="E13" s="2397"/>
      <c r="F13" s="2398"/>
    </row>
    <row r="14" spans="1:6" ht="15" customHeight="1" x14ac:dyDescent="0.25">
      <c r="A14" s="1873" t="s">
        <v>1797</v>
      </c>
      <c r="B14" s="1874"/>
      <c r="C14" s="1875"/>
      <c r="D14" s="1875"/>
      <c r="E14" s="1875"/>
      <c r="F14" s="1876"/>
    </row>
    <row r="15" spans="1:6" ht="32.25" customHeight="1" x14ac:dyDescent="0.25">
      <c r="A15" s="238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8"/>
      <c r="C15" s="2388"/>
      <c r="D15" s="2388"/>
      <c r="E15" s="2388"/>
      <c r="F15" s="238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48" t="s">
        <v>2070</v>
      </c>
      <c r="B18" s="1908"/>
      <c r="C18" s="2049" t="s">
        <v>2071</v>
      </c>
      <c r="D18" s="2047">
        <v>0</v>
      </c>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v>1</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6"/>
  </sheetPr>
  <dimension ref="A1:M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2" t="s">
        <v>1660</v>
      </c>
      <c r="B5" s="2403"/>
      <c r="C5" s="2403"/>
      <c r="D5" s="2403"/>
      <c r="E5" s="2403"/>
      <c r="F5" s="2403"/>
      <c r="G5" s="240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4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8"/>
      <c r="C11" s="2408"/>
      <c r="D11" s="2409"/>
      <c r="E11" s="1801">
        <v>11096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8458417</v>
      </c>
      <c r="F19" s="1802"/>
      <c r="G19" s="1804">
        <f>'Expenditures 15-22'!K33-SUM('Expenditures 15-22'!G33,'Expenditures 15-22'!I33)+'Expenditures 15-22'!D229</f>
        <v>8458417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2787766</v>
      </c>
      <c r="F21" s="1805"/>
      <c r="G21" s="1808">
        <f>'Expenditures 15-22'!K42-SUM('Expenditures 15-22'!G42,'Expenditures 15-22'!I42)+'Expenditures 15-22'!K120-SUM('Expenditures 15-22'!G120,'Expenditures 15-22'!I120)+'Expenditures 15-22'!K180-SUM('Expenditures 15-22'!G180,'Expenditures 15-22'!I180)+'Expenditures 15-22'!D238</f>
        <v>2787766</v>
      </c>
      <c r="H21" s="817"/>
      <c r="I21" s="157"/>
    </row>
    <row r="22" spans="1:9" s="542" customFormat="1" ht="12" customHeight="1" x14ac:dyDescent="0.2">
      <c r="A22" s="824" t="s">
        <v>560</v>
      </c>
      <c r="B22" s="825"/>
      <c r="C22" s="823">
        <v>2200</v>
      </c>
      <c r="D22" s="1805"/>
      <c r="E22" s="1807">
        <f>'Expenditures 15-22'!K47-SUM('Expenditures 15-22'!G47,'Expenditures 15-22'!I47)+'Expenditures 15-22'!D243</f>
        <v>1211161</v>
      </c>
      <c r="F22" s="1805"/>
      <c r="G22" s="1808">
        <f>'Expenditures 15-22'!K47-SUM('Expenditures 15-22'!G47,'Expenditures 15-22'!I47)+'Expenditures 15-22'!D243</f>
        <v>1211161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1156054</v>
      </c>
      <c r="F23" s="1805"/>
      <c r="G23" s="1807">
        <f>'Expenditures 15-22'!K53-SUM('Expenditures 15-22'!G53,'Expenditures 15-22'!I53)+'Expenditures 15-22'!D257+'Expenditures 15-22'!K330-SUM('Expenditures 15-22'!G330,'Expenditures 15-22'!I330)</f>
        <v>1156054</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254094</v>
      </c>
      <c r="E27" s="1807">
        <f>E8</f>
        <v>0</v>
      </c>
      <c r="F27" s="1807">
        <f>'Expenditures 15-22'!K60-SUM('Expenditures 15-22'!G60,'Expenditures 15-22'!I60)+'Expenditures 15-22'!D264-E8</f>
        <v>254094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1209171</v>
      </c>
      <c r="F28" s="1809">
        <f>'Expenditures 15-22'!K61-SUM('Expenditures 15-22'!G61,'Expenditures 15-22'!I61)+'Expenditures 15-22'!K124-SUM('Expenditures 15-22'!G124,'Expenditures 15-22'!I124)+'Expenditures 15-22'!D266-E9</f>
        <v>1209171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460363</v>
      </c>
      <c r="F29" s="1805"/>
      <c r="G29" s="1808">
        <f>'Expenditures 15-22'!K62-SUM('Expenditures 15-22'!G62,'Expenditures 15-22'!I62)+'Expenditures 15-22'!K125-SUM('Expenditures 15-22'!G125,'Expenditures 15-22'!I125)+'Expenditures 15-22'!K182-SUM('Expenditures 15-22'!G182,'Expenditures 15-22'!I182)+'Expenditures 15-22'!D267</f>
        <v>460363</v>
      </c>
      <c r="H29" s="815"/>
    </row>
    <row r="30" spans="1:9" ht="12" customHeight="1" x14ac:dyDescent="0.2">
      <c r="A30" s="824" t="s">
        <v>100</v>
      </c>
      <c r="B30" s="827"/>
      <c r="C30" s="823">
        <v>2560</v>
      </c>
      <c r="D30" s="1805"/>
      <c r="E30" s="1807">
        <f>'Expenditures 15-22'!K63-SUM('Expenditures 15-22'!G63,'Expenditures 15-22'!I63)+'Expenditures 15-22'!D268-E10</f>
        <v>170896</v>
      </c>
      <c r="F30" s="1805"/>
      <c r="G30" s="1807">
        <f>'Expenditures 15-22'!K63-SUM('Expenditures 15-22'!G63,'Expenditures 15-22'!I63)+'Expenditures 15-22'!D268-E10</f>
        <v>170896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142888</v>
      </c>
      <c r="F39" s="1805"/>
      <c r="G39" s="1807">
        <f>'Expenditures 15-22'!K75-SUM('Expenditures 15-22'!G75,'Expenditures 15-22'!I75)+'Expenditures 15-22'!K130-SUM('Expenditures 15-22'!G130,'Expenditures 15-22'!I130)+'Expenditures 15-22'!K185-SUM('Expenditures 15-22'!G185,'Expenditures 15-22'!I185)+'Expenditures 15-22'!D280</f>
        <v>142888</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254094</v>
      </c>
      <c r="E41" s="1809">
        <f>SUM(E19:E40)</f>
        <v>15596716</v>
      </c>
      <c r="F41" s="1809">
        <f>SUM(F19:F39)</f>
        <v>1463265</v>
      </c>
      <c r="G41" s="1809">
        <f>SUM(G19:G40)</f>
        <v>14387545</v>
      </c>
    </row>
    <row r="42" spans="1:7" x14ac:dyDescent="0.2">
      <c r="A42" s="817"/>
      <c r="B42" s="157"/>
      <c r="C42" s="831"/>
      <c r="D42" s="2405" t="s">
        <v>519</v>
      </c>
      <c r="E42" s="2406"/>
      <c r="F42" s="832" t="s">
        <v>520</v>
      </c>
      <c r="G42" s="833"/>
    </row>
    <row r="43" spans="1:7" ht="12" customHeight="1" x14ac:dyDescent="0.2">
      <c r="A43" s="817"/>
      <c r="B43" s="157"/>
      <c r="C43" s="831"/>
      <c r="D43" s="1458" t="s">
        <v>470</v>
      </c>
      <c r="E43" s="1810">
        <f>D41</f>
        <v>254094</v>
      </c>
      <c r="F43" s="1458" t="s">
        <v>470</v>
      </c>
      <c r="G43" s="1810">
        <f>F41</f>
        <v>1463265</v>
      </c>
    </row>
    <row r="44" spans="1:7" ht="12" customHeight="1" x14ac:dyDescent="0.2">
      <c r="A44" s="817"/>
      <c r="B44" s="157"/>
      <c r="C44" s="831"/>
      <c r="D44" s="1458" t="s">
        <v>471</v>
      </c>
      <c r="E44" s="1810">
        <f>E41</f>
        <v>15596716</v>
      </c>
      <c r="F44" s="1458" t="s">
        <v>471</v>
      </c>
      <c r="G44" s="1810">
        <f>G41</f>
        <v>14387545</v>
      </c>
    </row>
    <row r="45" spans="1:7" ht="12" customHeight="1" x14ac:dyDescent="0.2">
      <c r="A45" s="817"/>
      <c r="B45" s="157"/>
      <c r="C45" s="157"/>
      <c r="D45" s="1459" t="s">
        <v>999</v>
      </c>
      <c r="E45" s="1811">
        <f>(E43/E44)</f>
        <v>1.6291506494059391E-2</v>
      </c>
      <c r="F45" s="1459" t="s">
        <v>999</v>
      </c>
      <c r="G45" s="1811">
        <f>(G43/G44)</f>
        <v>0.10170359154393609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sheetPr>
  <dimension ref="A1:O97"/>
  <sheetViews>
    <sheetView showGridLines="0" topLeftCell="A19" zoomScale="110" zoomScaleNormal="110" workbookViewId="0">
      <selection activeCell="A37" sqref="A37:F3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EASTERN ILLINOIS AREA OF SPECIAL EDUCATION</v>
      </c>
      <c r="D6" s="2417"/>
      <c r="E6" s="2417"/>
      <c r="F6" s="1482"/>
      <c r="G6" s="1507"/>
      <c r="L6" s="1507"/>
      <c r="M6" s="1855"/>
      <c r="N6" s="1855"/>
      <c r="O6" s="1855"/>
    </row>
    <row r="7" spans="1:15" ht="11.25" customHeight="1" thickBot="1" x14ac:dyDescent="0.3">
      <c r="A7" s="1480"/>
      <c r="B7" s="1481"/>
      <c r="C7" s="2418" t="str">
        <f>COVER!A13</f>
        <v>11-015-8010-60</v>
      </c>
      <c r="D7" s="2418"/>
      <c r="E7" s="2418"/>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9"/>
      <c r="D35" s="2419"/>
      <c r="E35" s="2419"/>
      <c r="F35" s="2420"/>
    </row>
    <row r="36" spans="1:15" ht="12" customHeight="1" x14ac:dyDescent="0.2">
      <c r="A36" s="2410"/>
      <c r="B36" s="2411"/>
      <c r="C36" s="2411"/>
      <c r="D36" s="2411"/>
      <c r="E36" s="2411"/>
      <c r="F36" s="2412"/>
    </row>
    <row r="37" spans="1:15" ht="12" customHeight="1" x14ac:dyDescent="0.2">
      <c r="A37" s="2410"/>
      <c r="B37" s="2411"/>
      <c r="C37" s="2411"/>
      <c r="D37" s="2411"/>
      <c r="E37" s="2411"/>
      <c r="F37" s="2412"/>
    </row>
    <row r="38" spans="1:15" ht="12" customHeight="1" x14ac:dyDescent="0.2">
      <c r="A38" s="2424"/>
      <c r="B38" s="2425"/>
      <c r="C38" s="2425"/>
      <c r="D38" s="2425"/>
      <c r="E38" s="2425"/>
      <c r="F38" s="2426"/>
    </row>
    <row r="39" spans="1:15" ht="4.5" hidden="1" customHeight="1" x14ac:dyDescent="0.2">
      <c r="A39" s="1502"/>
      <c r="B39" s="1502"/>
      <c r="C39" s="1502"/>
      <c r="D39" s="1502"/>
      <c r="E39" s="1502"/>
      <c r="F39" s="1502"/>
    </row>
    <row r="40" spans="1:15" s="1499" customFormat="1" ht="12" customHeight="1" x14ac:dyDescent="0.25">
      <c r="A40" s="1503" t="s">
        <v>1375</v>
      </c>
      <c r="B40" s="1504"/>
      <c r="C40" s="2427"/>
      <c r="D40" s="2427"/>
      <c r="E40" s="2427"/>
      <c r="F40" s="2428"/>
      <c r="H40" s="1508"/>
      <c r="I40" s="1508"/>
      <c r="J40" s="1508"/>
      <c r="K40" s="1508"/>
    </row>
    <row r="41" spans="1:15" s="1499" customFormat="1" ht="12" customHeight="1" x14ac:dyDescent="0.25">
      <c r="A41" s="2429" t="s">
        <v>2073</v>
      </c>
      <c r="B41" s="2430"/>
      <c r="C41" s="2430"/>
      <c r="D41" s="2430"/>
      <c r="E41" s="2430"/>
      <c r="F41" s="2431"/>
      <c r="H41" s="1508"/>
      <c r="I41" s="1508"/>
      <c r="J41" s="1508"/>
      <c r="K41" s="1508"/>
    </row>
    <row r="42" spans="1:15" s="1499" customFormat="1" ht="12" customHeight="1" x14ac:dyDescent="0.25">
      <c r="A42" s="2429" t="s">
        <v>2074</v>
      </c>
      <c r="B42" s="2430"/>
      <c r="C42" s="2430"/>
      <c r="D42" s="2430"/>
      <c r="E42" s="2430"/>
      <c r="F42" s="2431"/>
      <c r="H42" s="1508"/>
      <c r="I42" s="1508"/>
      <c r="J42" s="1508"/>
      <c r="K42" s="1508"/>
    </row>
    <row r="43" spans="1:15" s="1499" customFormat="1" ht="15" x14ac:dyDescent="0.25">
      <c r="A43" s="2421" t="s">
        <v>2075</v>
      </c>
      <c r="B43" s="2422"/>
      <c r="C43" s="2422"/>
      <c r="D43" s="2422"/>
      <c r="E43" s="2422"/>
      <c r="F43" s="2423"/>
      <c r="H43" s="1508"/>
      <c r="I43" s="1508"/>
      <c r="J43" s="1508"/>
      <c r="K43" s="1508"/>
    </row>
    <row r="44" spans="1:15" s="1499" customFormat="1" ht="12" hidden="1" customHeight="1" x14ac:dyDescent="0.25">
      <c r="A44" s="2421"/>
      <c r="B44" s="2422"/>
      <c r="C44" s="2422"/>
      <c r="D44" s="2422"/>
      <c r="E44" s="2422"/>
      <c r="F44" s="242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pageSetUpPr fitToPage="1"/>
  </sheetPr>
  <dimension ref="A1:N83"/>
  <sheetViews>
    <sheetView showGridLines="0" view="pageLayout" zoomScaleNormal="100" workbookViewId="0">
      <selection activeCell="I14" sqref="I14"/>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3" t="str">
        <f>COVER!A17</f>
        <v>EASTERN ILLINOIS AREA OF SPECIAL EDUCATION</v>
      </c>
      <c r="K6" s="2433"/>
      <c r="L6" s="2434"/>
      <c r="M6" s="838"/>
      <c r="N6" s="1998"/>
    </row>
    <row r="7" spans="1:14" x14ac:dyDescent="0.2">
      <c r="A7" s="2435" t="s">
        <v>864</v>
      </c>
      <c r="B7" s="2436"/>
      <c r="C7" s="2436"/>
      <c r="D7" s="2436"/>
      <c r="E7" s="2437"/>
      <c r="F7" s="839"/>
      <c r="G7" s="838"/>
      <c r="H7" s="838"/>
      <c r="I7" s="1924" t="s">
        <v>369</v>
      </c>
      <c r="J7" s="2438" t="str">
        <f>COVER!A13</f>
        <v>11-015-8010-60</v>
      </c>
      <c r="K7" s="2438"/>
      <c r="L7" s="2438"/>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9" t="s">
        <v>478</v>
      </c>
      <c r="B11" s="2440"/>
      <c r="C11" s="2441"/>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284135</v>
      </c>
      <c r="F12" s="1942"/>
      <c r="G12" s="1968">
        <f>G68</f>
        <v>0</v>
      </c>
      <c r="H12" s="1944">
        <f t="shared" ref="H12:H18" si="0">SUM(E12:G12)</f>
        <v>284135</v>
      </c>
      <c r="I12" s="1943">
        <v>341934</v>
      </c>
      <c r="J12" s="1942"/>
      <c r="K12" s="1943"/>
      <c r="L12" s="1944">
        <f t="shared" ref="L12:L18" si="1">SUM(I12:K12)</f>
        <v>341934</v>
      </c>
      <c r="M12" s="838"/>
      <c r="N12" s="1998"/>
    </row>
    <row r="13" spans="1:14" x14ac:dyDescent="0.2">
      <c r="A13" s="2003">
        <v>2</v>
      </c>
      <c r="B13" s="1940" t="s">
        <v>42</v>
      </c>
      <c r="C13" s="842"/>
      <c r="D13" s="1941">
        <v>2330</v>
      </c>
      <c r="E13" s="1944">
        <f>'Expenditures 15-22'!K51</f>
        <v>866536</v>
      </c>
      <c r="F13" s="1942"/>
      <c r="G13" s="1968">
        <f>H68</f>
        <v>0</v>
      </c>
      <c r="H13" s="1944">
        <f t="shared" si="0"/>
        <v>866536</v>
      </c>
      <c r="I13" s="1943">
        <v>826300</v>
      </c>
      <c r="J13" s="1942"/>
      <c r="K13" s="1943"/>
      <c r="L13" s="1944">
        <f t="shared" si="1"/>
        <v>826300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42" t="s">
        <v>7</v>
      </c>
      <c r="C18" s="2443"/>
      <c r="D18" s="2444"/>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1150671</v>
      </c>
      <c r="F19" s="1950">
        <f t="shared" si="2"/>
        <v>0</v>
      </c>
      <c r="G19" s="1950">
        <f t="shared" ref="G19" si="3">SUM(G12:G17)-G18</f>
        <v>0</v>
      </c>
      <c r="H19" s="1950">
        <f t="shared" si="2"/>
        <v>1150671</v>
      </c>
      <c r="I19" s="1950">
        <f t="shared" si="2"/>
        <v>1168234</v>
      </c>
      <c r="J19" s="1950">
        <f t="shared" si="2"/>
        <v>0</v>
      </c>
      <c r="K19" s="1950">
        <f t="shared" si="2"/>
        <v>0</v>
      </c>
      <c r="L19" s="1950">
        <f t="shared" si="2"/>
        <v>1168234</v>
      </c>
      <c r="M19" s="838"/>
      <c r="N19" s="1998"/>
    </row>
    <row r="20" spans="1:14" ht="13.5" thickTop="1" x14ac:dyDescent="0.2">
      <c r="A20" s="2003">
        <v>9</v>
      </c>
      <c r="B20" s="2445" t="s">
        <v>2018</v>
      </c>
      <c r="C20" s="2445"/>
      <c r="D20" s="2446"/>
      <c r="E20" s="1951"/>
      <c r="F20" s="1951"/>
      <c r="G20" s="1951"/>
      <c r="H20" s="1951"/>
      <c r="I20" s="1951"/>
      <c r="J20" s="1951"/>
      <c r="K20" s="1951"/>
      <c r="L20" s="1952">
        <f>IF(AND(H19&gt;0,L19&gt;0),(((L19-H19)/H19)),"Enter Budget Data")</f>
        <v>1.5263268127901025E-2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7"/>
      <c r="D27" s="2447"/>
      <c r="E27" s="843"/>
      <c r="F27" s="2448"/>
      <c r="G27" s="2448"/>
      <c r="H27" s="2448"/>
      <c r="I27" s="838"/>
      <c r="J27" s="838"/>
      <c r="K27" s="838"/>
      <c r="L27" s="838"/>
      <c r="M27" s="838"/>
      <c r="N27" s="1998"/>
    </row>
    <row r="28" spans="1:14" x14ac:dyDescent="0.2">
      <c r="A28" s="1997"/>
      <c r="B28" s="2007"/>
      <c r="C28" s="1957" t="s">
        <v>1026</v>
      </c>
      <c r="D28" s="844"/>
      <c r="E28" s="1958"/>
      <c r="F28" s="2449" t="s">
        <v>1492</v>
      </c>
      <c r="G28" s="2449"/>
      <c r="H28" s="2449"/>
      <c r="I28" s="838"/>
      <c r="J28" s="838"/>
      <c r="K28" s="838"/>
      <c r="L28" s="838"/>
      <c r="M28" s="838"/>
      <c r="N28" s="1998"/>
    </row>
    <row r="29" spans="1:14" x14ac:dyDescent="0.2">
      <c r="A29" s="1997"/>
      <c r="B29" s="2007"/>
      <c r="C29" s="2450"/>
      <c r="D29" s="2450"/>
      <c r="E29" s="845"/>
      <c r="F29" s="2450"/>
      <c r="G29" s="2450"/>
      <c r="H29" s="2450"/>
      <c r="I29" s="838"/>
      <c r="J29" s="838"/>
      <c r="K29" s="838"/>
      <c r="L29" s="838"/>
      <c r="M29" s="838"/>
      <c r="N29" s="1998"/>
    </row>
    <row r="30" spans="1:14" x14ac:dyDescent="0.2">
      <c r="A30" s="1997"/>
      <c r="B30" s="2007"/>
      <c r="C30" s="1960" t="s">
        <v>1544</v>
      </c>
      <c r="D30" s="838"/>
      <c r="E30" s="1959"/>
      <c r="F30" s="2432" t="s">
        <v>1493</v>
      </c>
      <c r="G30" s="2432"/>
      <c r="H30" s="243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3" t="s">
        <v>2021</v>
      </c>
      <c r="D34" s="2454"/>
      <c r="E34" s="2454"/>
      <c r="F34" s="2454"/>
      <c r="G34" s="2454"/>
      <c r="H34" s="2454"/>
      <c r="I34" s="2454"/>
      <c r="J34" s="2454"/>
      <c r="K34" s="2016"/>
      <c r="L34" s="838"/>
      <c r="M34" s="838"/>
      <c r="N34" s="1998"/>
    </row>
    <row r="35" spans="1:14" x14ac:dyDescent="0.2">
      <c r="A35" s="1997"/>
      <c r="B35" s="838"/>
      <c r="C35" s="2454"/>
      <c r="D35" s="2454"/>
      <c r="E35" s="2454"/>
      <c r="F35" s="2454"/>
      <c r="G35" s="2454"/>
      <c r="H35" s="2454"/>
      <c r="I35" s="2454"/>
      <c r="J35" s="2454"/>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3" t="s">
        <v>2022</v>
      </c>
      <c r="D37" s="2454"/>
      <c r="E37" s="2454"/>
      <c r="F37" s="2454"/>
      <c r="G37" s="2454"/>
      <c r="H37" s="2454"/>
      <c r="I37" s="2454"/>
      <c r="J37" s="2454"/>
      <c r="K37" s="2016"/>
      <c r="L37" s="2018"/>
      <c r="M37" s="838"/>
      <c r="N37" s="1998"/>
    </row>
    <row r="38" spans="1:14" x14ac:dyDescent="0.2">
      <c r="A38" s="1997"/>
      <c r="B38" s="838"/>
      <c r="C38" s="2454"/>
      <c r="D38" s="2454"/>
      <c r="E38" s="2454"/>
      <c r="F38" s="2454"/>
      <c r="G38" s="2454"/>
      <c r="H38" s="2454"/>
      <c r="I38" s="2454"/>
      <c r="J38" s="2454"/>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5" t="s">
        <v>2023</v>
      </c>
      <c r="D40" s="2456"/>
      <c r="E40" s="2456"/>
      <c r="F40" s="2456"/>
      <c r="G40" s="2456"/>
      <c r="H40" s="2456"/>
      <c r="I40" s="2456"/>
      <c r="J40" s="2456"/>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7" t="s">
        <v>2024</v>
      </c>
      <c r="B43" s="2458"/>
      <c r="C43" s="2458"/>
      <c r="D43" s="2458"/>
      <c r="E43" s="2458"/>
      <c r="F43" s="2458"/>
      <c r="G43" s="2458"/>
      <c r="H43" s="2458"/>
      <c r="I43" s="2458"/>
      <c r="J43" s="2458"/>
      <c r="K43" s="2458"/>
      <c r="L43" s="2458"/>
      <c r="M43" s="2458"/>
      <c r="N43" s="2459"/>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60" t="s">
        <v>2026</v>
      </c>
      <c r="B46" s="2461"/>
      <c r="C46" s="2461"/>
      <c r="D46" s="2461"/>
      <c r="E46" s="2461"/>
      <c r="F46" s="2461"/>
      <c r="G46" s="2461"/>
      <c r="H46" s="2461"/>
      <c r="I46" s="2461"/>
      <c r="J46" s="2461"/>
      <c r="K46" s="2461"/>
      <c r="L46" s="2461"/>
      <c r="M46" s="2461"/>
      <c r="N46" s="2462"/>
    </row>
    <row r="47" spans="1:14" x14ac:dyDescent="0.2">
      <c r="A47" s="2460"/>
      <c r="B47" s="2461"/>
      <c r="C47" s="2461"/>
      <c r="D47" s="2461"/>
      <c r="E47" s="2461"/>
      <c r="F47" s="2461"/>
      <c r="G47" s="2461"/>
      <c r="H47" s="2461"/>
      <c r="I47" s="2461"/>
      <c r="J47" s="2461"/>
      <c r="K47" s="2461"/>
      <c r="L47" s="2461"/>
      <c r="M47" s="2461"/>
      <c r="N47" s="2462"/>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3" t="str">
        <f>J6</f>
        <v>EASTERN ILLINOIS AREA OF SPECIAL EDUCATION</v>
      </c>
      <c r="M52" s="2433"/>
      <c r="N52" s="2463"/>
    </row>
    <row r="53" spans="1:14" x14ac:dyDescent="0.2">
      <c r="A53" s="1982"/>
      <c r="B53" s="1983"/>
      <c r="C53" s="1983"/>
      <c r="D53" s="1983"/>
      <c r="E53" s="1983"/>
      <c r="F53" s="1983"/>
      <c r="G53" s="1983"/>
      <c r="H53" s="1983"/>
      <c r="I53" s="1983"/>
      <c r="J53" s="1983"/>
      <c r="K53" s="1924" t="s">
        <v>369</v>
      </c>
      <c r="L53" s="2438" t="str">
        <f>J7</f>
        <v>11-015-8010-60</v>
      </c>
      <c r="M53" s="2438"/>
      <c r="N53" s="246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5"/>
      <c r="B55" s="2466"/>
      <c r="C55" s="2466"/>
      <c r="D55" s="1970"/>
      <c r="E55" s="1970"/>
      <c r="F55" s="1970"/>
      <c r="G55" s="2467" t="s">
        <v>2027</v>
      </c>
      <c r="H55" s="2467"/>
      <c r="I55" s="2467"/>
      <c r="J55" s="2467"/>
      <c r="K55" s="2467"/>
      <c r="L55" s="2467"/>
      <c r="M55" s="2467"/>
      <c r="N55" s="2468"/>
    </row>
    <row r="56" spans="1:14" ht="63.75" x14ac:dyDescent="0.2">
      <c r="A56" s="2469" t="s">
        <v>2028</v>
      </c>
      <c r="B56" s="2470"/>
      <c r="C56" s="2471"/>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72" t="s">
        <v>296</v>
      </c>
      <c r="B57" s="2473"/>
      <c r="C57" s="247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51" t="s">
        <v>2038</v>
      </c>
      <c r="B58" s="2452"/>
      <c r="C58" s="2452"/>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74" t="s">
        <v>297</v>
      </c>
      <c r="B59" s="2475"/>
      <c r="C59" s="2475"/>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74" t="s">
        <v>236</v>
      </c>
      <c r="B60" s="2475"/>
      <c r="C60" s="2475"/>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74" t="s">
        <v>697</v>
      </c>
      <c r="B61" s="2475"/>
      <c r="C61" s="2475"/>
      <c r="D61" s="1967">
        <v>2365</v>
      </c>
      <c r="E61" s="1977">
        <f>'Expenditures 15-22'!K323</f>
        <v>0</v>
      </c>
      <c r="F61" s="1972"/>
      <c r="G61" s="2031"/>
      <c r="H61" s="2032"/>
      <c r="I61" s="2032"/>
      <c r="J61" s="2032"/>
      <c r="K61" s="2032"/>
      <c r="L61" s="2032"/>
      <c r="M61" s="2032"/>
      <c r="N61" s="1975">
        <f t="shared" si="4"/>
        <v>0</v>
      </c>
    </row>
    <row r="62" spans="1:14" ht="24" customHeight="1" x14ac:dyDescent="0.2">
      <c r="A62" s="2474" t="s">
        <v>237</v>
      </c>
      <c r="B62" s="2475"/>
      <c r="C62" s="2475"/>
      <c r="D62" s="1967">
        <v>2366</v>
      </c>
      <c r="E62" s="1977">
        <f>'Expenditures 15-22'!K324</f>
        <v>0</v>
      </c>
      <c r="F62" s="1972"/>
      <c r="G62" s="2031"/>
      <c r="H62" s="2032"/>
      <c r="I62" s="2032"/>
      <c r="J62" s="2032"/>
      <c r="K62" s="2032"/>
      <c r="L62" s="2032"/>
      <c r="M62" s="2032"/>
      <c r="N62" s="1975">
        <f t="shared" si="4"/>
        <v>0</v>
      </c>
    </row>
    <row r="63" spans="1:14" ht="24" customHeight="1" x14ac:dyDescent="0.2">
      <c r="A63" s="2451" t="s">
        <v>1022</v>
      </c>
      <c r="B63" s="2452"/>
      <c r="C63" s="2452"/>
      <c r="D63" s="1967">
        <v>2367</v>
      </c>
      <c r="E63" s="1977">
        <f>'Expenditures 15-22'!K325</f>
        <v>0</v>
      </c>
      <c r="F63" s="1972"/>
      <c r="G63" s="2031"/>
      <c r="H63" s="2032"/>
      <c r="I63" s="2032"/>
      <c r="J63" s="2032"/>
      <c r="K63" s="2032"/>
      <c r="L63" s="2032"/>
      <c r="M63" s="2032"/>
      <c r="N63" s="1975">
        <f t="shared" si="4"/>
        <v>0</v>
      </c>
    </row>
    <row r="64" spans="1:14" ht="24" customHeight="1" x14ac:dyDescent="0.2">
      <c r="A64" s="2474" t="s">
        <v>1023</v>
      </c>
      <c r="B64" s="2475"/>
      <c r="C64" s="2475"/>
      <c r="D64" s="1967">
        <v>2368</v>
      </c>
      <c r="E64" s="1977">
        <f>'Expenditures 15-22'!K326</f>
        <v>0</v>
      </c>
      <c r="F64" s="1972"/>
      <c r="G64" s="2031"/>
      <c r="H64" s="2032"/>
      <c r="I64" s="2032"/>
      <c r="J64" s="2032"/>
      <c r="K64" s="2032"/>
      <c r="L64" s="2032"/>
      <c r="M64" s="2032"/>
      <c r="N64" s="1975">
        <f t="shared" si="4"/>
        <v>0</v>
      </c>
    </row>
    <row r="65" spans="1:14" ht="24" customHeight="1" x14ac:dyDescent="0.2">
      <c r="A65" s="2474" t="s">
        <v>965</v>
      </c>
      <c r="B65" s="2475"/>
      <c r="C65" s="2475"/>
      <c r="D65" s="1967">
        <v>2369</v>
      </c>
      <c r="E65" s="1977">
        <f>'Expenditures 15-22'!K327</f>
        <v>0</v>
      </c>
      <c r="F65" s="1972"/>
      <c r="G65" s="2031"/>
      <c r="H65" s="2032"/>
      <c r="I65" s="2032"/>
      <c r="J65" s="2032"/>
      <c r="K65" s="2032"/>
      <c r="L65" s="2032"/>
      <c r="M65" s="2032"/>
      <c r="N65" s="1975">
        <f t="shared" si="4"/>
        <v>0</v>
      </c>
    </row>
    <row r="66" spans="1:14" ht="24" customHeight="1" x14ac:dyDescent="0.2">
      <c r="A66" s="2474" t="s">
        <v>469</v>
      </c>
      <c r="B66" s="2475"/>
      <c r="C66" s="2475"/>
      <c r="D66" s="1967">
        <v>2371</v>
      </c>
      <c r="E66" s="1977">
        <f>'Expenditures 15-22'!K328</f>
        <v>0</v>
      </c>
      <c r="F66" s="1972"/>
      <c r="G66" s="2031"/>
      <c r="H66" s="2032"/>
      <c r="I66" s="2032"/>
      <c r="J66" s="2032"/>
      <c r="K66" s="2032"/>
      <c r="L66" s="2032"/>
      <c r="M66" s="2032"/>
      <c r="N66" s="1975">
        <f t="shared" si="4"/>
        <v>0</v>
      </c>
    </row>
    <row r="67" spans="1:14" ht="24.75" customHeight="1" x14ac:dyDescent="0.2">
      <c r="A67" s="2476" t="s">
        <v>2039</v>
      </c>
      <c r="B67" s="2477"/>
      <c r="C67" s="2477"/>
      <c r="D67" s="1969">
        <v>2372</v>
      </c>
      <c r="E67" s="1978">
        <f>'Expenditures 15-22'!K329</f>
        <v>0</v>
      </c>
      <c r="F67" s="1972"/>
      <c r="G67" s="2033"/>
      <c r="H67" s="2034"/>
      <c r="I67" s="2034"/>
      <c r="J67" s="2034"/>
      <c r="K67" s="2034"/>
      <c r="L67" s="2034"/>
      <c r="M67" s="2034"/>
      <c r="N67" s="1975">
        <f t="shared" si="4"/>
        <v>0</v>
      </c>
    </row>
    <row r="68" spans="1:14" x14ac:dyDescent="0.2">
      <c r="A68" s="2478" t="s">
        <v>1151</v>
      </c>
      <c r="B68" s="2479"/>
      <c r="C68" s="2479"/>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6"/>
  </sheetPr>
  <dimension ref="A2:E84"/>
  <sheetViews>
    <sheetView showGridLines="0" zoomScale="110" zoomScaleNormal="110" workbookViewId="0">
      <selection activeCell="D37" sqref="D37"/>
    </sheetView>
  </sheetViews>
  <sheetFormatPr defaultRowHeight="12.75" x14ac:dyDescent="0.2"/>
  <cols>
    <col min="1" max="1" width="3" style="307" customWidth="1"/>
    <col min="2" max="2" width="109.140625" style="307" customWidth="1"/>
    <col min="3" max="3" width="3.140625" style="307" customWidth="1"/>
    <col min="4" max="4" width="11" style="307" bestFit="1" customWidth="1"/>
    <col min="5" max="16384" width="9.140625" style="307"/>
  </cols>
  <sheetData>
    <row r="2" spans="1:4" x14ac:dyDescent="0.2">
      <c r="A2" s="366" t="s">
        <v>256</v>
      </c>
    </row>
    <row r="3" spans="1:4" x14ac:dyDescent="0.2">
      <c r="A3" s="307" t="s">
        <v>257</v>
      </c>
    </row>
    <row r="5" spans="1:4" x14ac:dyDescent="0.2">
      <c r="A5" s="847">
        <v>1</v>
      </c>
      <c r="B5" s="307" t="s">
        <v>2076</v>
      </c>
    </row>
    <row r="6" spans="1:4" x14ac:dyDescent="0.2">
      <c r="A6" s="847"/>
      <c r="B6" s="307" t="s">
        <v>2077</v>
      </c>
    </row>
    <row r="7" spans="1:4" x14ac:dyDescent="0.2">
      <c r="A7" s="847"/>
      <c r="B7" s="307" t="s">
        <v>2078</v>
      </c>
    </row>
    <row r="8" spans="1:4" ht="13.5" thickBot="1" x14ac:dyDescent="0.25">
      <c r="A8" s="847"/>
      <c r="B8" s="2035" t="s">
        <v>2079</v>
      </c>
      <c r="D8" s="2037">
        <v>50507</v>
      </c>
    </row>
    <row r="9" spans="1:4" ht="13.5" thickTop="1" x14ac:dyDescent="0.2">
      <c r="A9" s="847"/>
      <c r="B9" s="2035"/>
      <c r="D9" s="2038"/>
    </row>
    <row r="10" spans="1:4" x14ac:dyDescent="0.2">
      <c r="A10" s="847"/>
      <c r="D10" s="2036"/>
    </row>
    <row r="11" spans="1:4" x14ac:dyDescent="0.2">
      <c r="A11" s="847"/>
    </row>
    <row r="12" spans="1:4" x14ac:dyDescent="0.2">
      <c r="A12" s="847">
        <v>2</v>
      </c>
      <c r="B12" s="307" t="s">
        <v>2076</v>
      </c>
    </row>
    <row r="13" spans="1:4" x14ac:dyDescent="0.2">
      <c r="A13" s="847"/>
      <c r="B13" s="307" t="s">
        <v>2077</v>
      </c>
    </row>
    <row r="14" spans="1:4" x14ac:dyDescent="0.2">
      <c r="A14" s="847"/>
      <c r="B14" s="307" t="s">
        <v>2145</v>
      </c>
    </row>
    <row r="15" spans="1:4" x14ac:dyDescent="0.2">
      <c r="A15" s="847"/>
      <c r="B15" s="307" t="s">
        <v>2080</v>
      </c>
    </row>
    <row r="16" spans="1:4" ht="13.5" thickBot="1" x14ac:dyDescent="0.25">
      <c r="A16" s="847"/>
      <c r="B16" s="307" t="s">
        <v>2081</v>
      </c>
      <c r="D16" s="2037">
        <v>259246</v>
      </c>
    </row>
    <row r="17" spans="1:5" ht="13.5" thickTop="1" x14ac:dyDescent="0.2">
      <c r="A17" s="847"/>
    </row>
    <row r="18" spans="1:5" x14ac:dyDescent="0.2">
      <c r="A18" s="847"/>
    </row>
    <row r="19" spans="1:5" x14ac:dyDescent="0.2">
      <c r="A19" s="847"/>
    </row>
    <row r="20" spans="1:5" x14ac:dyDescent="0.2">
      <c r="A20" s="313"/>
      <c r="B20" s="175"/>
      <c r="C20" s="175"/>
      <c r="D20" s="175"/>
      <c r="E20" s="175"/>
    </row>
    <row r="21" spans="1:5" x14ac:dyDescent="0.2">
      <c r="A21" s="313"/>
      <c r="B21" s="175"/>
      <c r="C21" s="175"/>
      <c r="D21" s="175"/>
      <c r="E21" s="175"/>
    </row>
    <row r="22" spans="1:5" x14ac:dyDescent="0.2">
      <c r="A22" s="313"/>
      <c r="B22" s="175"/>
      <c r="C22" s="175"/>
      <c r="D22" s="175"/>
      <c r="E22" s="175"/>
    </row>
    <row r="23" spans="1:5" x14ac:dyDescent="0.2">
      <c r="A23" s="313"/>
      <c r="B23" s="175"/>
      <c r="C23" s="175"/>
      <c r="D23" s="2038"/>
      <c r="E23" s="175"/>
    </row>
    <row r="24" spans="1:5" x14ac:dyDescent="0.2">
      <c r="A24" s="313"/>
      <c r="B24" s="175"/>
      <c r="C24" s="175"/>
      <c r="D24" s="175"/>
      <c r="E24" s="175"/>
    </row>
    <row r="25" spans="1:5" x14ac:dyDescent="0.2">
      <c r="A25" s="313"/>
      <c r="B25" s="175"/>
      <c r="C25" s="175"/>
      <c r="D25" s="175"/>
      <c r="E25" s="175"/>
    </row>
    <row r="26" spans="1:5" x14ac:dyDescent="0.2">
      <c r="A26" s="847"/>
    </row>
    <row r="27" spans="1:5" x14ac:dyDescent="0.2">
      <c r="A27" s="847"/>
    </row>
    <row r="28" spans="1:5" x14ac:dyDescent="0.2">
      <c r="A28" s="848"/>
    </row>
    <row r="29" spans="1:5" x14ac:dyDescent="0.2">
      <c r="A29" s="848"/>
    </row>
    <row r="30" spans="1:5" x14ac:dyDescent="0.2">
      <c r="A30" s="848"/>
    </row>
    <row r="31" spans="1:5" x14ac:dyDescent="0.2">
      <c r="A31" s="848"/>
    </row>
    <row r="32" spans="1:5"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1" x14ac:dyDescent="0.2">
      <c r="A65" s="848"/>
    </row>
    <row r="66" spans="1:1" x14ac:dyDescent="0.2">
      <c r="A66" s="848"/>
    </row>
    <row r="67" spans="1:1" x14ac:dyDescent="0.2">
      <c r="A67" s="848"/>
    </row>
    <row r="68" spans="1:1" x14ac:dyDescent="0.2">
      <c r="A68" s="848"/>
    </row>
    <row r="69" spans="1:1" x14ac:dyDescent="0.2">
      <c r="A69" s="848"/>
    </row>
    <row r="70" spans="1:1" x14ac:dyDescent="0.2">
      <c r="A70" s="848"/>
    </row>
    <row r="71" spans="1:1" x14ac:dyDescent="0.2">
      <c r="A71" s="848"/>
    </row>
    <row r="72" spans="1:1" x14ac:dyDescent="0.2">
      <c r="A72" s="848"/>
    </row>
    <row r="73" spans="1:1" x14ac:dyDescent="0.2">
      <c r="A73" s="848"/>
    </row>
    <row r="74" spans="1:1" x14ac:dyDescent="0.2">
      <c r="A74" s="848"/>
    </row>
    <row r="75" spans="1:1" x14ac:dyDescent="0.2">
      <c r="A75" s="848"/>
    </row>
    <row r="76" spans="1:1" x14ac:dyDescent="0.2">
      <c r="A76" s="848"/>
    </row>
    <row r="77" spans="1:1" x14ac:dyDescent="0.2">
      <c r="A77" s="848"/>
    </row>
    <row r="78" spans="1:1" x14ac:dyDescent="0.2">
      <c r="A78" s="848"/>
    </row>
    <row r="79" spans="1:1" x14ac:dyDescent="0.2">
      <c r="A79" s="848"/>
    </row>
    <row r="80" spans="1:1" x14ac:dyDescent="0.2">
      <c r="A80" s="848"/>
    </row>
    <row r="81" spans="1:2" x14ac:dyDescent="0.2">
      <c r="A81" s="848"/>
    </row>
    <row r="82" spans="1:2" x14ac:dyDescent="0.2">
      <c r="A82" s="848"/>
    </row>
    <row r="83" spans="1:2" x14ac:dyDescent="0.2">
      <c r="A83" s="848"/>
      <c r="B83" s="253" t="str">
        <f>COVER!A17</f>
        <v>EASTERN ILLINOIS AREA OF SPECIAL EDUCATION</v>
      </c>
    </row>
    <row r="84" spans="1:2" x14ac:dyDescent="0.2">
      <c r="B84" s="849" t="str">
        <f>COVER!A13</f>
        <v>11-015-8010-60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6" t="s">
        <v>1056</v>
      </c>
      <c r="B35" s="2166"/>
      <c r="C35" s="2166"/>
      <c r="D35" s="2166"/>
      <c r="E35" s="216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3" t="s">
        <v>686</v>
      </c>
      <c r="B40" s="2163"/>
      <c r="C40" s="2163"/>
      <c r="D40" s="2163"/>
      <c r="E40" s="2163"/>
    </row>
    <row r="41" spans="1:5" x14ac:dyDescent="0.2">
      <c r="A41" s="2164" t="s">
        <v>1591</v>
      </c>
      <c r="B41" s="2164"/>
      <c r="C41" s="2164"/>
      <c r="D41" s="2164"/>
      <c r="E41" s="2164"/>
    </row>
    <row r="42" spans="1:5" ht="12.75" customHeight="1" x14ac:dyDescent="0.2">
      <c r="A42" s="2165" t="s">
        <v>1015</v>
      </c>
      <c r="B42" s="2165"/>
      <c r="C42" s="2165"/>
      <c r="D42" s="2165"/>
      <c r="E42" s="216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6"/>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H11" sqref="H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80" t="s">
        <v>1665</v>
      </c>
      <c r="B18" s="248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20" r:id="rId4">
          <objectPr defaultSize="0" r:id="rId5">
            <anchor moveWithCells="1">
              <from>
                <xdr:col>1</xdr:col>
                <xdr:colOff>19050</xdr:colOff>
                <xdr:row>2</xdr:row>
                <xdr:rowOff>9525</xdr:rowOff>
              </from>
              <to>
                <xdr:col>1</xdr:col>
                <xdr:colOff>933450</xdr:colOff>
                <xdr:row>6</xdr:row>
                <xdr:rowOff>47625</xdr:rowOff>
              </to>
            </anchor>
          </objectPr>
        </oleObject>
      </mc:Choice>
      <mc:Fallback>
        <oleObject progId="Acrobat Document" dvAspect="DVASPECT_ICON" shapeId="43020" r:id="rId4"/>
      </mc:Fallback>
    </mc:AlternateContent>
    <mc:AlternateContent xmlns:mc="http://schemas.openxmlformats.org/markup-compatibility/2006">
      <mc:Choice Requires="x14">
        <oleObject progId="Acrobat Document" dvAspect="DVASPECT_ICON" shapeId="43021" r:id="rId6">
          <objectPr defaultSize="0" r:id="rId7">
            <anchor moveWithCells="1">
              <from>
                <xdr:col>1</xdr:col>
                <xdr:colOff>1009650</xdr:colOff>
                <xdr:row>2</xdr:row>
                <xdr:rowOff>9525</xdr:rowOff>
              </from>
              <to>
                <xdr:col>1</xdr:col>
                <xdr:colOff>1924050</xdr:colOff>
                <xdr:row>6</xdr:row>
                <xdr:rowOff>47625</xdr:rowOff>
              </to>
            </anchor>
          </objectPr>
        </oleObject>
      </mc:Choice>
      <mc:Fallback>
        <oleObject progId="Acrobat Document" dvAspect="DVASPECT_ICON" shapeId="43021" r:id="rId6"/>
      </mc:Fallback>
    </mc:AlternateContent>
    <mc:AlternateContent xmlns:mc="http://schemas.openxmlformats.org/markup-compatibility/2006">
      <mc:Choice Requires="x14">
        <oleObject progId="Acrobat Document" dvAspect="DVASPECT_ICON" shapeId="43022" r:id="rId8">
          <objectPr defaultSize="0" r:id="rId9">
            <anchor moveWithCells="1">
              <from>
                <xdr:col>1</xdr:col>
                <xdr:colOff>2000250</xdr:colOff>
                <xdr:row>2</xdr:row>
                <xdr:rowOff>19050</xdr:rowOff>
              </from>
              <to>
                <xdr:col>1</xdr:col>
                <xdr:colOff>2914650</xdr:colOff>
                <xdr:row>6</xdr:row>
                <xdr:rowOff>57150</xdr:rowOff>
              </to>
            </anchor>
          </objectPr>
        </oleObject>
      </mc:Choice>
      <mc:Fallback>
        <oleObject progId="Acrobat Document" dvAspect="DVASPECT_ICON" shapeId="43022" r:id="rId8"/>
      </mc:Fallback>
    </mc:AlternateContent>
    <mc:AlternateContent xmlns:mc="http://schemas.openxmlformats.org/markup-compatibility/2006">
      <mc:Choice Requires="x14">
        <oleObject progId="Acrobat Document" dvAspect="DVASPECT_ICON" shapeId="43023" r:id="rId10">
          <objectPr defaultSize="0" r:id="rId11">
            <anchor moveWithCells="1">
              <from>
                <xdr:col>1</xdr:col>
                <xdr:colOff>3009900</xdr:colOff>
                <xdr:row>2</xdr:row>
                <xdr:rowOff>28575</xdr:rowOff>
              </from>
              <to>
                <xdr:col>1</xdr:col>
                <xdr:colOff>3924300</xdr:colOff>
                <xdr:row>6</xdr:row>
                <xdr:rowOff>66675</xdr:rowOff>
              </to>
            </anchor>
          </objectPr>
        </oleObject>
      </mc:Choice>
      <mc:Fallback>
        <oleObject progId="Acrobat Document" dvAspect="DVASPECT_ICON" shapeId="43023" r:id="rId10"/>
      </mc:Fallback>
    </mc:AlternateContent>
    <mc:AlternateContent xmlns:mc="http://schemas.openxmlformats.org/markup-compatibility/2006">
      <mc:Choice Requires="x14">
        <oleObject progId="Acrobat Document" dvAspect="DVASPECT_ICON" shapeId="43024" r:id="rId12">
          <objectPr defaultSize="0" r:id="rId13">
            <anchor moveWithCells="1">
              <from>
                <xdr:col>1</xdr:col>
                <xdr:colOff>38100</xdr:colOff>
                <xdr:row>6</xdr:row>
                <xdr:rowOff>123825</xdr:rowOff>
              </from>
              <to>
                <xdr:col>1</xdr:col>
                <xdr:colOff>952500</xdr:colOff>
                <xdr:row>11</xdr:row>
                <xdr:rowOff>0</xdr:rowOff>
              </to>
            </anchor>
          </objectPr>
        </oleObject>
      </mc:Choice>
      <mc:Fallback>
        <oleObject progId="Acrobat Document" dvAspect="DVASPECT_ICON" shapeId="43024" r:id="rId12"/>
      </mc:Fallback>
    </mc:AlternateContent>
    <mc:AlternateContent xmlns:mc="http://schemas.openxmlformats.org/markup-compatibility/2006">
      <mc:Choice Requires="x14">
        <oleObject progId="Acrobat Document" dvAspect="DVASPECT_ICON" shapeId="43025" r:id="rId14">
          <objectPr defaultSize="0" r:id="rId15">
            <anchor moveWithCells="1">
              <from>
                <xdr:col>1</xdr:col>
                <xdr:colOff>2000250</xdr:colOff>
                <xdr:row>6</xdr:row>
                <xdr:rowOff>114300</xdr:rowOff>
              </from>
              <to>
                <xdr:col>1</xdr:col>
                <xdr:colOff>2914650</xdr:colOff>
                <xdr:row>10</xdr:row>
                <xdr:rowOff>152400</xdr:rowOff>
              </to>
            </anchor>
          </objectPr>
        </oleObject>
      </mc:Choice>
      <mc:Fallback>
        <oleObject progId="Acrobat Document" dvAspect="DVASPECT_ICON" shapeId="43025" r:id="rId14"/>
      </mc:Fallback>
    </mc:AlternateContent>
    <mc:AlternateContent xmlns:mc="http://schemas.openxmlformats.org/markup-compatibility/2006">
      <mc:Choice Requires="x14">
        <oleObject progId="Acrobat Document" dvAspect="DVASPECT_ICON" shapeId="43026" r:id="rId16">
          <objectPr defaultSize="0" r:id="rId17">
            <anchor moveWithCells="1">
              <from>
                <xdr:col>1</xdr:col>
                <xdr:colOff>3019425</xdr:colOff>
                <xdr:row>6</xdr:row>
                <xdr:rowOff>133350</xdr:rowOff>
              </from>
              <to>
                <xdr:col>1</xdr:col>
                <xdr:colOff>3933825</xdr:colOff>
                <xdr:row>11</xdr:row>
                <xdr:rowOff>9525</xdr:rowOff>
              </to>
            </anchor>
          </objectPr>
        </oleObject>
      </mc:Choice>
      <mc:Fallback>
        <oleObject progId="Acrobat Document" dvAspect="DVASPECT_ICON" shapeId="43026" r:id="rId16"/>
      </mc:Fallback>
    </mc:AlternateContent>
    <mc:AlternateContent xmlns:mc="http://schemas.openxmlformats.org/markup-compatibility/2006">
      <mc:Choice Requires="x14">
        <oleObject progId="Acrobat Document" dvAspect="DVASPECT_ICON" shapeId="43027" r:id="rId18">
          <objectPr defaultSize="0" r:id="rId19">
            <anchor moveWithCells="1">
              <from>
                <xdr:col>1</xdr:col>
                <xdr:colOff>1019175</xdr:colOff>
                <xdr:row>6</xdr:row>
                <xdr:rowOff>133350</xdr:rowOff>
              </from>
              <to>
                <xdr:col>1</xdr:col>
                <xdr:colOff>1933575</xdr:colOff>
                <xdr:row>11</xdr:row>
                <xdr:rowOff>9525</xdr:rowOff>
              </to>
            </anchor>
          </objectPr>
        </oleObject>
      </mc:Choice>
      <mc:Fallback>
        <oleObject progId="Acrobat Document" dvAspect="DVASPECT_ICON" shapeId="43027"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6"/>
    <pageSetUpPr fitToPage="1"/>
  </sheetPr>
  <dimension ref="A1:H48"/>
  <sheetViews>
    <sheetView showGridLines="0" showZeros="0" zoomScale="110" zoomScaleNormal="110" workbookViewId="0">
      <selection activeCell="L12" sqref="L1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1669</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53"/>
      <c r="H2" s="853"/>
    </row>
    <row r="3" spans="1:8" ht="57" customHeight="1" x14ac:dyDescent="0.2">
      <c r="A3" s="2494" t="s">
        <v>1969</v>
      </c>
      <c r="B3" s="2495"/>
      <c r="C3" s="2495"/>
      <c r="D3" s="2495"/>
      <c r="E3" s="2495"/>
      <c r="F3" s="2496"/>
      <c r="G3" s="853"/>
      <c r="H3" s="853"/>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53"/>
      <c r="H4" s="853"/>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53"/>
      <c r="H5" s="853"/>
    </row>
    <row r="6" spans="1:8" s="854" customFormat="1" ht="41.25" customHeight="1" x14ac:dyDescent="0.2">
      <c r="A6" s="2497" t="s">
        <v>1670</v>
      </c>
      <c r="B6" s="2498"/>
      <c r="C6" s="2498"/>
      <c r="D6" s="2498"/>
      <c r="E6" s="2498"/>
      <c r="F6" s="249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19045556</v>
      </c>
      <c r="C8" s="1813">
        <f>'Acct Summary 7-8'!D8</f>
        <v>0</v>
      </c>
      <c r="D8" s="1813">
        <f>'Acct Summary 7-8'!F8</f>
        <v>0</v>
      </c>
      <c r="E8" s="1813">
        <f>'Acct Summary 7-8'!I8</f>
        <v>0</v>
      </c>
      <c r="F8" s="1813">
        <f>SUM(B8:E8)</f>
        <v>19045556</v>
      </c>
    </row>
    <row r="9" spans="1:8" s="858" customFormat="1" ht="14.25" customHeight="1" thickBot="1" x14ac:dyDescent="0.25">
      <c r="A9" s="857" t="s">
        <v>1353</v>
      </c>
      <c r="B9" s="1814">
        <f>'Acct Summary 7-8'!C17</f>
        <v>18403377</v>
      </c>
      <c r="C9" s="1814">
        <f>'Acct Summary 7-8'!D17</f>
        <v>0</v>
      </c>
      <c r="D9" s="1814">
        <f>'Acct Summary 7-8'!F17</f>
        <v>0</v>
      </c>
      <c r="E9" s="1813"/>
      <c r="F9" s="1813">
        <f>SUM(B9:E9)</f>
        <v>18403377</v>
      </c>
    </row>
    <row r="10" spans="1:8" s="858" customFormat="1" ht="14.25" thickTop="1" thickBot="1" x14ac:dyDescent="0.25">
      <c r="A10" s="859" t="s">
        <v>1354</v>
      </c>
      <c r="B10" s="1815">
        <f>(B8-B9)</f>
        <v>642179</v>
      </c>
      <c r="C10" s="1815">
        <f>(C8-C9)</f>
        <v>0</v>
      </c>
      <c r="D10" s="1815">
        <f>(D8-D9)</f>
        <v>0</v>
      </c>
      <c r="E10" s="1814">
        <f>(E8-E9)</f>
        <v>0</v>
      </c>
      <c r="F10" s="1816">
        <f>SUM(F8-F9)</f>
        <v>642179</v>
      </c>
    </row>
    <row r="11" spans="1:8" s="858" customFormat="1" ht="14.25" thickTop="1" thickBot="1" x14ac:dyDescent="0.25">
      <c r="A11" s="860" t="s">
        <v>1900</v>
      </c>
      <c r="B11" s="1817">
        <f>'Acct Summary 7-8'!C81</f>
        <v>5533421</v>
      </c>
      <c r="C11" s="1817">
        <f>'Acct Summary 7-8'!D81</f>
        <v>0</v>
      </c>
      <c r="D11" s="1817">
        <f>'Acct Summary 7-8'!F81</f>
        <v>0</v>
      </c>
      <c r="E11" s="1817">
        <f>'Acct Summary 7-8'!I81</f>
        <v>0</v>
      </c>
      <c r="F11" s="1818">
        <f>SUM(B11:E11)</f>
        <v>5533421</v>
      </c>
    </row>
    <row r="12" spans="1:8" ht="16.5" customHeight="1" thickTop="1" x14ac:dyDescent="0.2">
      <c r="A12" s="861"/>
      <c r="B12" s="862"/>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63"/>
      <c r="B13" s="864"/>
      <c r="C13" s="2485"/>
      <c r="D13" s="2486"/>
      <c r="E13" s="2486"/>
      <c r="F13" s="2487"/>
      <c r="H13" s="853"/>
    </row>
    <row r="14" spans="1:8" ht="19.5" customHeight="1" x14ac:dyDescent="0.2">
      <c r="A14" s="863"/>
      <c r="B14" s="864"/>
      <c r="C14" s="2485"/>
      <c r="D14" s="2486"/>
      <c r="E14" s="2486"/>
      <c r="F14" s="2487"/>
      <c r="H14" s="853"/>
    </row>
    <row r="15" spans="1:8" ht="17.25" customHeight="1" x14ac:dyDescent="0.2">
      <c r="A15" s="863"/>
      <c r="B15" s="864"/>
      <c r="C15" s="2488"/>
      <c r="D15" s="2489"/>
      <c r="E15" s="2489"/>
      <c r="F15" s="2490"/>
      <c r="H15" s="853"/>
    </row>
    <row r="16" spans="1:8" s="288" customFormat="1" ht="51.75" hidden="1" customHeight="1" x14ac:dyDescent="0.2">
      <c r="A16" s="2484" t="s">
        <v>1666</v>
      </c>
      <c r="B16" s="2484"/>
      <c r="C16" s="2484"/>
      <c r="D16" s="2484"/>
      <c r="E16" s="248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Layout" topLeftCell="A61" colorId="8" zoomScaleNormal="110" workbookViewId="0">
      <selection activeCell="C82" sqref="C82:C8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6" t="s">
        <v>660</v>
      </c>
      <c r="B3" s="2507"/>
      <c r="C3" s="2507"/>
      <c r="D3" s="250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7" t="s">
        <v>1487</v>
      </c>
      <c r="D7" s="251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9" t="s">
        <v>1001</v>
      </c>
      <c r="B15" s="2510"/>
      <c r="C15" s="2510"/>
      <c r="D15" s="2511"/>
    </row>
    <row r="16" spans="1:4" s="542" customFormat="1" ht="24" customHeight="1" x14ac:dyDescent="0.2">
      <c r="A16" s="2512" t="s">
        <v>658</v>
      </c>
      <c r="B16" s="2513"/>
      <c r="C16" s="2513"/>
      <c r="D16" s="251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1" t="s">
        <v>311</v>
      </c>
      <c r="D21" s="2522"/>
    </row>
    <row r="22" spans="1:10" ht="12.75" x14ac:dyDescent="0.2">
      <c r="A22" s="918"/>
      <c r="B22" s="919">
        <v>2</v>
      </c>
      <c r="C22" s="2519" t="s">
        <v>1507</v>
      </c>
      <c r="D22" s="2520"/>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3" t="s">
        <v>533</v>
      </c>
      <c r="D43" s="252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5" t="s">
        <v>779</v>
      </c>
      <c r="D56" s="251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5" t="s">
        <v>1674</v>
      </c>
      <c r="D70" s="251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t="str">
        <f>COVER!A13</f>
        <v>11-015-8010-60</v>
      </c>
      <c r="E2" s="1542">
        <v>2020</v>
      </c>
      <c r="F2" s="1542">
        <v>1</v>
      </c>
      <c r="G2" s="1899">
        <v>101000300</v>
      </c>
    </row>
    <row r="3" spans="1:7" ht="15" x14ac:dyDescent="0.25">
      <c r="A3" t="s">
        <v>950</v>
      </c>
      <c r="B3" s="135" t="str">
        <f>COVER!A15</f>
        <v>COLES AND CUMBERLAND</v>
      </c>
      <c r="E3" s="1830" t="s">
        <v>1968</v>
      </c>
      <c r="F3" s="1830" t="s">
        <v>1967</v>
      </c>
      <c r="G3" s="1899">
        <v>101000400</v>
      </c>
    </row>
    <row r="4" spans="1:7" ht="15" x14ac:dyDescent="0.25">
      <c r="A4" t="s">
        <v>1000</v>
      </c>
      <c r="B4" s="135" t="str">
        <f>COVER!A17</f>
        <v>EASTERN ILLINOIS AREA OF SPECIAL EDUCATION</v>
      </c>
      <c r="E4" s="1828">
        <v>44119</v>
      </c>
      <c r="F4" s="1829">
        <v>44151</v>
      </c>
      <c r="G4" s="1899">
        <v>101000600</v>
      </c>
    </row>
    <row r="5" spans="1:7" ht="15" x14ac:dyDescent="0.25">
      <c r="A5" t="s">
        <v>699</v>
      </c>
      <c r="B5" s="135" t="str">
        <f>COVER!A38</f>
        <v>TONY REELEY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065-024852</v>
      </c>
      <c r="G15" s="1899">
        <v>402100400</v>
      </c>
    </row>
    <row r="16" spans="1:7" ht="15" x14ac:dyDescent="0.25">
      <c r="A16" t="s">
        <v>419</v>
      </c>
      <c r="B16" s="135" t="str">
        <f>COVER!T13</f>
        <v>WEST &amp; COMPANY, LLC</v>
      </c>
      <c r="G16" s="1899">
        <v>402100600</v>
      </c>
    </row>
    <row r="17" spans="1:7" ht="15" x14ac:dyDescent="0.25">
      <c r="A17" t="s">
        <v>878</v>
      </c>
      <c r="B17" s="135" t="str">
        <f>COVER!T15</f>
        <v>DIANA R. SMITH</v>
      </c>
      <c r="G17" s="1899">
        <v>402100800</v>
      </c>
    </row>
    <row r="18" spans="1:7" ht="15" x14ac:dyDescent="0.25">
      <c r="A18" t="s">
        <v>1140</v>
      </c>
      <c r="B18" s="135" t="str">
        <f>COVER!T17</f>
        <v>613 BROADWAY AVENUE</v>
      </c>
      <c r="G18" s="1899">
        <v>102200300</v>
      </c>
    </row>
    <row r="19" spans="1:7" ht="15" x14ac:dyDescent="0.25">
      <c r="A19" t="s">
        <v>880</v>
      </c>
      <c r="B19" s="135" t="str">
        <f>COVER!T25</f>
        <v>DSMITH@WESTCPA.COM</v>
      </c>
      <c r="G19" s="1899">
        <v>102200400</v>
      </c>
    </row>
    <row r="20" spans="1:7" ht="15" x14ac:dyDescent="0.25">
      <c r="A20" t="s">
        <v>881</v>
      </c>
      <c r="B20" s="135" t="str">
        <f>COVER!T19</f>
        <v>MATTOON</v>
      </c>
      <c r="G20" s="1899">
        <v>102200600</v>
      </c>
    </row>
    <row r="21" spans="1:7" ht="15" x14ac:dyDescent="0.25">
      <c r="A21" t="s">
        <v>476</v>
      </c>
      <c r="B21" s="135" t="str">
        <f>COVER!X19</f>
        <v>IL</v>
      </c>
      <c r="G21" s="1899">
        <v>102200800</v>
      </c>
    </row>
    <row r="22" spans="1:7" ht="15" x14ac:dyDescent="0.25">
      <c r="A22" t="s">
        <v>882</v>
      </c>
      <c r="B22" s="135">
        <f>COVER!Z19</f>
        <v>61938</v>
      </c>
      <c r="G22" s="1899">
        <v>102300300</v>
      </c>
    </row>
    <row r="23" spans="1:7" ht="15" x14ac:dyDescent="0.25">
      <c r="A23" t="s">
        <v>1142</v>
      </c>
      <c r="B23" s="135" t="str">
        <f>COVER!T21</f>
        <v>(217) 235-4747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5044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7383317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1849896</v>
      </c>
      <c r="C91" s="2" t="s">
        <v>569</v>
      </c>
      <c r="D91" s="2" t="str">
        <f t="shared" si="0"/>
        <v>Error?</v>
      </c>
      <c r="G91" s="1899">
        <v>102640400</v>
      </c>
    </row>
    <row r="92" spans="1:7" ht="15" x14ac:dyDescent="0.25">
      <c r="A92" s="5">
        <v>31</v>
      </c>
      <c r="B92" s="1832">
        <f>'Assets-Liab 5-6'!C39</f>
        <v>5533421</v>
      </c>
      <c r="D92" s="2" t="str">
        <f t="shared" si="0"/>
        <v>Error?</v>
      </c>
      <c r="G92" s="1899">
        <v>102640600</v>
      </c>
    </row>
    <row r="93" spans="1:7" ht="15" x14ac:dyDescent="0.25">
      <c r="A93" s="5">
        <v>32</v>
      </c>
      <c r="B93" s="1832">
        <f>'Assets-Liab 5-6'!C41</f>
        <v>7383317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2179486</v>
      </c>
      <c r="D274" s="2" t="str">
        <f t="shared" si="3"/>
        <v>Error?</v>
      </c>
    </row>
    <row r="275" spans="1:4" x14ac:dyDescent="0.2">
      <c r="A275" s="5">
        <v>214</v>
      </c>
      <c r="B275" s="1832">
        <f>'Assets-Liab 5-6'!M18</f>
        <v>0</v>
      </c>
      <c r="D275" s="2" t="str">
        <f t="shared" si="3"/>
        <v>Error?</v>
      </c>
    </row>
    <row r="276" spans="1:4" x14ac:dyDescent="0.2">
      <c r="A276" s="5">
        <v>215</v>
      </c>
      <c r="B276" s="1832">
        <f>'Assets-Liab 5-6'!M19</f>
        <v>3109785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5289271</v>
      </c>
      <c r="C279" s="2" t="s">
        <v>569</v>
      </c>
      <c r="D279" s="2" t="str">
        <f t="shared" si="3"/>
        <v>Error?</v>
      </c>
    </row>
    <row r="280" spans="1:4" x14ac:dyDescent="0.2">
      <c r="A280" s="5">
        <v>219</v>
      </c>
      <c r="B280" s="1832">
        <f>'Assets-Liab 5-6'!M40</f>
        <v>5289271</v>
      </c>
      <c r="D280" s="2" t="str">
        <f t="shared" si="3"/>
        <v>Error?</v>
      </c>
    </row>
    <row r="281" spans="1:4" x14ac:dyDescent="0.2">
      <c r="A281" s="5">
        <v>220</v>
      </c>
      <c r="B281" s="1832">
        <f>'Assets-Liab 5-6'!M41</f>
        <v>5289271</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6454475</v>
      </c>
      <c r="C720" s="2" t="s">
        <v>569</v>
      </c>
      <c r="D720" s="2" t="str">
        <f t="shared" si="10"/>
        <v>Error?</v>
      </c>
    </row>
    <row r="721" spans="1:4" x14ac:dyDescent="0.2">
      <c r="A721" s="5">
        <v>660</v>
      </c>
      <c r="B721" s="1832">
        <f>'Expenditures 15-22'!C36</f>
        <v>181403</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1438591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542700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2162694</v>
      </c>
      <c r="C727" s="2" t="s">
        <v>569</v>
      </c>
      <c r="D727" s="2" t="str">
        <f t="shared" si="10"/>
        <v>Error?</v>
      </c>
    </row>
    <row r="728" spans="1:4" x14ac:dyDescent="0.2">
      <c r="A728" s="5">
        <v>667</v>
      </c>
      <c r="B728" s="1832">
        <f>'Expenditures 15-22'!C44</f>
        <v>636980</v>
      </c>
      <c r="D728" s="2" t="str">
        <f t="shared" si="10"/>
        <v>Error?</v>
      </c>
    </row>
    <row r="729" spans="1:4" x14ac:dyDescent="0.2">
      <c r="A729" s="5">
        <v>668</v>
      </c>
      <c r="B729" s="1832">
        <f>'Expenditures 15-22'!C45</f>
        <v>137377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774357</v>
      </c>
      <c r="C731" s="2" t="s">
        <v>569</v>
      </c>
      <c r="D731" s="2" t="str">
        <f t="shared" si="10"/>
        <v>Error?</v>
      </c>
    </row>
    <row r="732" spans="1:4" x14ac:dyDescent="0.2">
      <c r="A732" s="5">
        <v>671</v>
      </c>
      <c r="B732" s="1832">
        <f>'Expenditures 15-22'!C49</f>
        <v>5000</v>
      </c>
      <c r="D732" s="2" t="str">
        <f t="shared" si="10"/>
        <v>Error?</v>
      </c>
    </row>
    <row r="733" spans="1:4" x14ac:dyDescent="0.2">
      <c r="A733" s="5">
        <v>672</v>
      </c>
      <c r="B733" s="1832">
        <f>'Expenditures 15-22'!C50</f>
        <v>184033</v>
      </c>
      <c r="D733" s="2" t="str">
        <f t="shared" si="10"/>
        <v>Error?</v>
      </c>
    </row>
    <row r="734" spans="1:4" x14ac:dyDescent="0.2">
      <c r="A734" s="5">
        <v>673</v>
      </c>
      <c r="B734" s="1832">
        <f>'Expenditures 15-22'!C53</f>
        <v>806575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180272</v>
      </c>
      <c r="D739" s="2" t="str">
        <f t="shared" si="10"/>
        <v>Error?</v>
      </c>
    </row>
    <row r="740" spans="1:4" x14ac:dyDescent="0.2">
      <c r="A740" s="5">
        <v>679</v>
      </c>
      <c r="B740" s="1832">
        <f>'Expenditures 15-22'!C61</f>
        <v>66867</v>
      </c>
      <c r="D740" s="2" t="str">
        <f t="shared" si="10"/>
        <v>Error?</v>
      </c>
    </row>
    <row r="741" spans="1:4" x14ac:dyDescent="0.2">
      <c r="A741" s="5">
        <v>680</v>
      </c>
      <c r="B741" s="1832">
        <f>'Expenditures 15-22'!C62</f>
        <v>87091</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334230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4077856</v>
      </c>
      <c r="C755" s="2" t="s">
        <v>569</v>
      </c>
      <c r="D755" s="2" t="str">
        <f t="shared" si="10"/>
        <v>Error?</v>
      </c>
    </row>
    <row r="756" spans="1:4" x14ac:dyDescent="0.2">
      <c r="A756" s="5">
        <v>695</v>
      </c>
      <c r="B756" s="1832">
        <f>'Expenditures 15-22'!C75</f>
        <v>98055</v>
      </c>
      <c r="D756" s="2" t="str">
        <f t="shared" si="10"/>
        <v>Error?</v>
      </c>
    </row>
    <row r="757" spans="1:4" x14ac:dyDescent="0.2">
      <c r="A757" s="5">
        <v>696</v>
      </c>
      <c r="B757" s="1832">
        <f>'Expenditures 15-22'!C114</f>
        <v>10630386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1439906</v>
      </c>
      <c r="C778" s="2" t="s">
        <v>569</v>
      </c>
      <c r="D778" s="2" t="str">
        <f t="shared" si="11"/>
        <v>Error?</v>
      </c>
    </row>
    <row r="779" spans="1:4" x14ac:dyDescent="0.2">
      <c r="A779" s="5">
        <v>718</v>
      </c>
      <c r="B779" s="1832">
        <f>'Expenditures 15-22'!D36</f>
        <v>13106</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358036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87297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458439</v>
      </c>
      <c r="C785" s="2" t="s">
        <v>569</v>
      </c>
      <c r="D785" s="2" t="str">
        <f t="shared" si="11"/>
        <v>Error?</v>
      </c>
    </row>
    <row r="786" spans="1:4" x14ac:dyDescent="0.2">
      <c r="A786" s="5">
        <v>725</v>
      </c>
      <c r="B786" s="1832">
        <f>'Expenditures 15-22'!D44</f>
        <v>110138</v>
      </c>
      <c r="D786" s="2" t="str">
        <f t="shared" si="11"/>
        <v>Error?</v>
      </c>
    </row>
    <row r="787" spans="1:4" x14ac:dyDescent="0.2">
      <c r="A787" s="5">
        <v>726</v>
      </c>
      <c r="B787" s="1832">
        <f>'Expenditures 15-22'!D45</f>
        <v>37013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147151</v>
      </c>
      <c r="C789" s="2" t="s">
        <v>569</v>
      </c>
      <c r="D789" s="2" t="str">
        <f t="shared" si="11"/>
        <v>Error?</v>
      </c>
    </row>
    <row r="790" spans="1:4" x14ac:dyDescent="0.2">
      <c r="A790" s="5">
        <v>729</v>
      </c>
      <c r="B790" s="1832">
        <f>'Expenditures 15-22'!D49</f>
        <v>383</v>
      </c>
      <c r="D790" s="2" t="str">
        <f t="shared" si="11"/>
        <v>Error?</v>
      </c>
    </row>
    <row r="791" spans="1:4" x14ac:dyDescent="0.2">
      <c r="A791" s="5">
        <v>730</v>
      </c>
      <c r="B791" s="1832">
        <f>'Expenditures 15-22'!D50</f>
        <v>17003</v>
      </c>
      <c r="D791" s="2" t="str">
        <f t="shared" si="11"/>
        <v>Error?</v>
      </c>
    </row>
    <row r="792" spans="1:4" x14ac:dyDescent="0.2">
      <c r="A792" s="5">
        <v>731</v>
      </c>
      <c r="B792" s="1832">
        <f>'Expenditures 15-22'!D53</f>
        <v>110763</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50327</v>
      </c>
      <c r="D797" s="2" t="str">
        <f t="shared" si="11"/>
        <v>Error?</v>
      </c>
    </row>
    <row r="798" spans="1:4" x14ac:dyDescent="0.2">
      <c r="A798" s="5">
        <v>737</v>
      </c>
      <c r="B798" s="1832">
        <f>'Expenditures 15-22'!D61</f>
        <v>24294</v>
      </c>
      <c r="D798" s="2" t="str">
        <f t="shared" si="11"/>
        <v>Error?</v>
      </c>
    </row>
    <row r="799" spans="1:4" x14ac:dyDescent="0.2">
      <c r="A799" s="5">
        <v>738</v>
      </c>
      <c r="B799" s="1832">
        <f>'Expenditures 15-22'!D62</f>
        <v>21692</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96313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812666</v>
      </c>
      <c r="C813" s="2" t="s">
        <v>569</v>
      </c>
      <c r="D813" s="2" t="str">
        <f t="shared" si="11"/>
        <v>Error?</v>
      </c>
    </row>
    <row r="814" spans="1:4" x14ac:dyDescent="0.2">
      <c r="A814" s="5">
        <v>753</v>
      </c>
      <c r="B814" s="1832">
        <f>'Expenditures 15-22'!D75</f>
        <v>9756</v>
      </c>
      <c r="D814" s="2" t="str">
        <f t="shared" si="11"/>
        <v>Error?</v>
      </c>
    </row>
    <row r="815" spans="1:4" x14ac:dyDescent="0.2">
      <c r="A815" s="5">
        <v>754</v>
      </c>
      <c r="B815" s="1832">
        <f>'Expenditures 15-22'!D114</f>
        <v>2262328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238210</v>
      </c>
      <c r="C836" s="2" t="s">
        <v>569</v>
      </c>
      <c r="D836" s="2" t="str">
        <f t="shared" si="12"/>
        <v>Error?</v>
      </c>
    </row>
    <row r="837" spans="1:4" x14ac:dyDescent="0.2">
      <c r="A837" s="5">
        <v>776</v>
      </c>
      <c r="B837" s="1832">
        <f>'Expenditures 15-22'!E36</f>
        <v>385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109441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39932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149758</v>
      </c>
      <c r="C843" s="2" t="s">
        <v>569</v>
      </c>
      <c r="D843" s="2" t="str">
        <f t="shared" si="12"/>
        <v>Error?</v>
      </c>
    </row>
    <row r="844" spans="1:4" x14ac:dyDescent="0.2">
      <c r="A844" s="5">
        <v>783</v>
      </c>
      <c r="B844" s="1832">
        <f>'Expenditures 15-22'!E44</f>
        <v>169086</v>
      </c>
      <c r="D844" s="2" t="str">
        <f t="shared" si="12"/>
        <v>Error?</v>
      </c>
    </row>
    <row r="845" spans="1:4" x14ac:dyDescent="0.2">
      <c r="A845" s="5">
        <v>784</v>
      </c>
      <c r="B845" s="1832">
        <f>'Expenditures 15-22'!E45</f>
        <v>55218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224304</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62969</v>
      </c>
      <c r="D849" s="2" t="str">
        <f t="shared" si="12"/>
        <v>Error?</v>
      </c>
    </row>
    <row r="850" spans="1:4" x14ac:dyDescent="0.2">
      <c r="A850" s="5">
        <v>789</v>
      </c>
      <c r="B850" s="1832">
        <f>'Expenditures 15-22'!E53</f>
        <v>215405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22445</v>
      </c>
      <c r="D855" s="2" t="str">
        <f t="shared" si="12"/>
        <v>Error?</v>
      </c>
    </row>
    <row r="856" spans="1:4" x14ac:dyDescent="0.2">
      <c r="A856" s="5">
        <v>795</v>
      </c>
      <c r="B856" s="1832">
        <f>'Expenditures 15-22'!E61</f>
        <v>948379</v>
      </c>
      <c r="D856" s="2" t="str">
        <f t="shared" si="12"/>
        <v>Error?</v>
      </c>
    </row>
    <row r="857" spans="1:4" x14ac:dyDescent="0.2">
      <c r="A857" s="5">
        <v>796</v>
      </c>
      <c r="B857" s="1832">
        <f>'Expenditures 15-22'!E62</f>
        <v>344002</v>
      </c>
      <c r="D857" s="2" t="str">
        <f t="shared" si="12"/>
        <v>Error?</v>
      </c>
    </row>
    <row r="858" spans="1:4" x14ac:dyDescent="0.2">
      <c r="A858" s="5">
        <v>797</v>
      </c>
      <c r="B858" s="1832">
        <f>'Expenditures 15-22'!E63</f>
        <v>152345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1467171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2056638</v>
      </c>
      <c r="C871" s="2" t="s">
        <v>569</v>
      </c>
      <c r="D871" s="2" t="str">
        <f t="shared" si="12"/>
        <v>Error?</v>
      </c>
    </row>
    <row r="872" spans="1:4" x14ac:dyDescent="0.2">
      <c r="A872" s="5">
        <v>811</v>
      </c>
      <c r="B872" s="1832">
        <f>'Expenditures 15-22'!E75</f>
        <v>9592</v>
      </c>
      <c r="D872" s="2" t="str">
        <f t="shared" si="12"/>
        <v>Error?</v>
      </c>
    </row>
    <row r="873" spans="1:4" x14ac:dyDescent="0.2">
      <c r="A873" s="5">
        <v>812</v>
      </c>
      <c r="B873" s="1832">
        <f>'Expenditures 15-22'!E114</f>
        <v>2304440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325826</v>
      </c>
      <c r="C894" s="2" t="s">
        <v>569</v>
      </c>
      <c r="D894" s="2" t="str">
        <f t="shared" si="12"/>
        <v>Error?</v>
      </c>
    </row>
    <row r="895" spans="1:4" x14ac:dyDescent="0.2">
      <c r="A895" s="5">
        <v>834</v>
      </c>
      <c r="B895" s="1832">
        <f>'Expenditures 15-22'!F36</f>
        <v>52</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6697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10126</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16875</v>
      </c>
      <c r="C901" s="2" t="s">
        <v>569</v>
      </c>
      <c r="D901" s="2" t="str">
        <f t="shared" si="13"/>
        <v>Error?</v>
      </c>
    </row>
    <row r="902" spans="1:4" x14ac:dyDescent="0.2">
      <c r="A902" s="5">
        <v>841</v>
      </c>
      <c r="B902" s="1832">
        <f>'Expenditures 15-22'!F44</f>
        <v>9552</v>
      </c>
      <c r="D902" s="2" t="str">
        <f t="shared" si="13"/>
        <v>Error?</v>
      </c>
    </row>
    <row r="903" spans="1:4" x14ac:dyDescent="0.2">
      <c r="A903" s="5">
        <v>842</v>
      </c>
      <c r="B903" s="1832">
        <f>'Expenditures 15-22'!F45</f>
        <v>55797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65349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2158</v>
      </c>
      <c r="D907" s="2" t="str">
        <f t="shared" si="13"/>
        <v>Error?</v>
      </c>
    </row>
    <row r="908" spans="1:4" x14ac:dyDescent="0.2">
      <c r="A908" s="5">
        <v>847</v>
      </c>
      <c r="B908" s="1832">
        <f>'Expenditures 15-22'!F53</f>
        <v>5339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1050</v>
      </c>
      <c r="D913" s="2" t="str">
        <f t="shared" si="13"/>
        <v>Error?</v>
      </c>
    </row>
    <row r="914" spans="1:4" x14ac:dyDescent="0.2">
      <c r="A914" s="5">
        <v>853</v>
      </c>
      <c r="B914" s="1832">
        <f>'Expenditures 15-22'!F61</f>
        <v>169631</v>
      </c>
      <c r="D914" s="2" t="str">
        <f t="shared" si="13"/>
        <v>Error?</v>
      </c>
    </row>
    <row r="915" spans="1:4" x14ac:dyDescent="0.2">
      <c r="A915" s="5">
        <v>854</v>
      </c>
      <c r="B915" s="1832">
        <f>'Expenditures 15-22'!F62</f>
        <v>7578</v>
      </c>
      <c r="D915" s="2" t="str">
        <f t="shared" si="13"/>
        <v>Error?</v>
      </c>
    </row>
    <row r="916" spans="1:4" x14ac:dyDescent="0.2">
      <c r="A916" s="5">
        <v>855</v>
      </c>
      <c r="B916" s="1832">
        <f>'Expenditures 15-22'!F63</f>
        <v>18551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196810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284373</v>
      </c>
      <c r="C929" s="2" t="s">
        <v>569</v>
      </c>
      <c r="D929" s="2" t="str">
        <f t="shared" si="13"/>
        <v>Error?</v>
      </c>
    </row>
    <row r="930" spans="1:4" x14ac:dyDescent="0.2">
      <c r="A930" s="5">
        <v>869</v>
      </c>
      <c r="B930" s="1832">
        <f>'Expenditures 15-22'!F75</f>
        <v>25485</v>
      </c>
      <c r="D930" s="2" t="str">
        <f t="shared" si="13"/>
        <v>Error?</v>
      </c>
    </row>
    <row r="931" spans="1:4" x14ac:dyDescent="0.2">
      <c r="A931" s="5">
        <v>870</v>
      </c>
      <c r="B931" s="1832">
        <f>'Expenditures 15-22'!F114</f>
        <v>635684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34476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30410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30410</v>
      </c>
      <c r="C959" s="2" t="s">
        <v>569</v>
      </c>
      <c r="D959" s="2" t="str">
        <f t="shared" ref="D959:D1022" si="14">IF(ISBLANK(B959),"OK",IF(A959-B959=0,"OK","Error?"))</f>
        <v>Error?</v>
      </c>
    </row>
    <row r="960" spans="1:4" x14ac:dyDescent="0.2">
      <c r="A960" s="5">
        <v>899</v>
      </c>
      <c r="B960" s="1832">
        <f>'Expenditures 15-22'!G44</f>
        <v>4394</v>
      </c>
      <c r="D960" s="2" t="str">
        <f t="shared" si="14"/>
        <v>Error?</v>
      </c>
    </row>
    <row r="961" spans="1:4" x14ac:dyDescent="0.2">
      <c r="A961" s="5">
        <v>900</v>
      </c>
      <c r="B961" s="1832">
        <f>'Expenditures 15-22'!G45</f>
        <v>5153</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9547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403466</v>
      </c>
      <c r="D972" s="2" t="str">
        <f t="shared" si="14"/>
        <v>Error?</v>
      </c>
    </row>
    <row r="973" spans="1:4" x14ac:dyDescent="0.2">
      <c r="A973" s="5">
        <v>912</v>
      </c>
      <c r="B973" s="1832">
        <f>'Expenditures 15-22'!G62</f>
        <v>31950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435416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475373</v>
      </c>
      <c r="C987" s="2" t="s">
        <v>569</v>
      </c>
      <c r="D987" s="2" t="str">
        <f t="shared" si="14"/>
        <v>Error?</v>
      </c>
    </row>
    <row r="988" spans="1:4" x14ac:dyDescent="0.2">
      <c r="A988" s="5">
        <v>927</v>
      </c>
      <c r="B988" s="1832">
        <f>'Expenditures 15-22'!G75</f>
        <v>12000</v>
      </c>
      <c r="D988" s="2" t="str">
        <f t="shared" si="14"/>
        <v>Error?</v>
      </c>
    </row>
    <row r="989" spans="1:4" x14ac:dyDescent="0.2">
      <c r="A989" s="5">
        <v>928</v>
      </c>
      <c r="B989" s="1832">
        <f>'Expenditures 15-22'!G114</f>
        <v>521849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17972</v>
      </c>
      <c r="D1023" s="2" t="str">
        <f t="shared" ref="D1023:D1086" si="15">IF(ISBLANK(B1023),"OK",IF(A1023-B1023=0,"OK","Error?"))</f>
        <v>Error?</v>
      </c>
    </row>
    <row r="1024" spans="1:4" x14ac:dyDescent="0.2">
      <c r="A1024" s="5">
        <v>963</v>
      </c>
      <c r="B1024" s="1832">
        <f>'Expenditures 15-22'!H53</f>
        <v>17972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17972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2030718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2048690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8492893</v>
      </c>
      <c r="C1108" s="2" t="s">
        <v>569</v>
      </c>
      <c r="D1108" s="2" t="str">
        <f t="shared" si="16"/>
        <v>Error?</v>
      </c>
    </row>
    <row r="1109" spans="1:4" x14ac:dyDescent="0.2">
      <c r="A1109" s="5">
        <v>1048</v>
      </c>
      <c r="B1109" s="1832">
        <f>'Expenditures 15-22'!K36</f>
        <v>194946</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1912765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710465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2818176</v>
      </c>
      <c r="C1115" s="2" t="s">
        <v>569</v>
      </c>
      <c r="D1115" s="2" t="str">
        <f t="shared" si="16"/>
        <v>Error?</v>
      </c>
    </row>
    <row r="1116" spans="1:4" x14ac:dyDescent="0.2">
      <c r="A1116" s="5">
        <v>1055</v>
      </c>
      <c r="B1116" s="1832">
        <f>'Expenditures 15-22'!K44</f>
        <v>930150</v>
      </c>
      <c r="C1116" s="2" t="s">
        <v>569</v>
      </c>
      <c r="D1116" s="2" t="str">
        <f t="shared" si="16"/>
        <v>Error?</v>
      </c>
    </row>
    <row r="1117" spans="1:4" x14ac:dyDescent="0.2">
      <c r="A1117" s="5">
        <v>1056</v>
      </c>
      <c r="B1117" s="1832">
        <f>'Expenditures 15-22'!K45</f>
        <v>290558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1220708</v>
      </c>
      <c r="C1119" s="2" t="s">
        <v>569</v>
      </c>
      <c r="D1119" s="2" t="str">
        <f t="shared" si="16"/>
        <v>Error?</v>
      </c>
    </row>
    <row r="1120" spans="1:4" x14ac:dyDescent="0.2">
      <c r="A1120" s="5">
        <v>1059</v>
      </c>
      <c r="B1120" s="1832">
        <f>'Expenditures 15-22'!K49</f>
        <v>5383</v>
      </c>
      <c r="C1120" s="2" t="s">
        <v>569</v>
      </c>
      <c r="D1120" s="2" t="str">
        <f t="shared" si="16"/>
        <v>Error?</v>
      </c>
    </row>
    <row r="1121" spans="1:4" x14ac:dyDescent="0.2">
      <c r="A1121" s="5">
        <v>1060</v>
      </c>
      <c r="B1121" s="1832">
        <f>'Expenditures 15-22'!K50</f>
        <v>284135</v>
      </c>
      <c r="C1121" s="2" t="s">
        <v>569</v>
      </c>
      <c r="D1121" s="2" t="str">
        <f t="shared" si="16"/>
        <v>Error?</v>
      </c>
    </row>
    <row r="1122" spans="1:4" x14ac:dyDescent="0.2">
      <c r="A1122" s="5">
        <v>1061</v>
      </c>
      <c r="B1122" s="1832">
        <f>'Expenditures 15-22'!K53</f>
        <v>1156054</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254094</v>
      </c>
      <c r="C1127" s="2" t="s">
        <v>569</v>
      </c>
      <c r="D1127" s="2" t="str">
        <f t="shared" si="16"/>
        <v>Error?</v>
      </c>
    </row>
    <row r="1128" spans="1:4" x14ac:dyDescent="0.2">
      <c r="A1128" s="5">
        <v>1067</v>
      </c>
      <c r="B1128" s="1832">
        <f>'Expenditures 15-22'!K61</f>
        <v>1612637</v>
      </c>
      <c r="C1128" s="2" t="s">
        <v>569</v>
      </c>
      <c r="D1128" s="2" t="str">
        <f t="shared" si="16"/>
        <v>Error?</v>
      </c>
    </row>
    <row r="1129" spans="1:4" x14ac:dyDescent="0.2">
      <c r="A1129" s="5">
        <v>1068</v>
      </c>
      <c r="B1129" s="1832">
        <f>'Expenditures 15-22'!K62</f>
        <v>492313</v>
      </c>
      <c r="C1129" s="2" t="s">
        <v>569</v>
      </c>
      <c r="D1129" s="2" t="str">
        <f t="shared" si="16"/>
        <v>Error?</v>
      </c>
    </row>
    <row r="1130" spans="1:4" x14ac:dyDescent="0.2">
      <c r="A1130" s="5">
        <v>1069</v>
      </c>
      <c r="B1130" s="1832">
        <f>'Expenditures 15-22'!K63</f>
        <v>170896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2529940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7724878</v>
      </c>
      <c r="C1143" s="2" t="s">
        <v>569</v>
      </c>
      <c r="D1143" s="2" t="str">
        <f t="shared" si="16"/>
        <v>Error?</v>
      </c>
    </row>
    <row r="1144" spans="1:4" x14ac:dyDescent="0.2">
      <c r="A1144" s="5">
        <v>1083</v>
      </c>
      <c r="B1144" s="1832">
        <f>'Expenditures 15-22'!K75</f>
        <v>154888</v>
      </c>
      <c r="C1144" s="2" t="s">
        <v>569</v>
      </c>
      <c r="D1144" s="2" t="str">
        <f t="shared" si="16"/>
        <v>Error?</v>
      </c>
    </row>
    <row r="1145" spans="1:4" x14ac:dyDescent="0.2">
      <c r="A1145" s="5">
        <v>1084</v>
      </c>
      <c r="B1145" s="1832">
        <f>'Expenditures 15-22'!K102</f>
        <v>2030718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18403377</v>
      </c>
      <c r="C1152" s="2" t="s">
        <v>569</v>
      </c>
      <c r="D1152" s="2" t="str">
        <f t="shared" si="17"/>
        <v>Error?</v>
      </c>
    </row>
    <row r="1153" spans="1:4" x14ac:dyDescent="0.2">
      <c r="A1153" s="5">
        <v>1092</v>
      </c>
      <c r="B1153" s="1832">
        <f>'Expenditures 15-22'!K115</f>
        <v>642179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613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28956</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29569</v>
      </c>
      <c r="C1317" s="2" t="s">
        <v>569</v>
      </c>
      <c r="D1317" s="2" t="str">
        <f t="shared" si="19"/>
        <v>Error?</v>
      </c>
    </row>
    <row r="1318" spans="1:4" x14ac:dyDescent="0.2">
      <c r="A1318" s="5">
        <v>1257</v>
      </c>
      <c r="B1318" s="1832">
        <f>'Expenditures 15-22'!H174</f>
        <v>29569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613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28956</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29569</v>
      </c>
      <c r="C1331" s="2" t="s">
        <v>569</v>
      </c>
      <c r="D1331" s="2" t="str">
        <f t="shared" si="19"/>
        <v>Error?</v>
      </c>
    </row>
    <row r="1332" spans="1:4" x14ac:dyDescent="0.2">
      <c r="A1332" s="5">
        <v>1271</v>
      </c>
      <c r="B1332" s="1832">
        <f>'Expenditures 15-22'!K174</f>
        <v>29569</v>
      </c>
      <c r="C1332" s="2" t="s">
        <v>569</v>
      </c>
      <c r="D1332" s="2" t="str">
        <f t="shared" si="19"/>
        <v>Error?</v>
      </c>
    </row>
    <row r="1333" spans="1:4" x14ac:dyDescent="0.2">
      <c r="A1333" s="5">
        <v>1272</v>
      </c>
      <c r="B1333" s="1832">
        <f>'Expenditures 15-22'!K175</f>
        <v>-29569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4920811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5533421</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28956</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1796494</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2911667</v>
      </c>
      <c r="D2011" s="2" t="str">
        <f t="shared" si="30"/>
        <v>Error?</v>
      </c>
    </row>
    <row r="2012" spans="1:4" x14ac:dyDescent="0.2">
      <c r="A2012" s="5">
        <v>1951</v>
      </c>
      <c r="B2012" s="1832">
        <f>'Cap Outlay Deprec 26'!C13</f>
        <v>154736</v>
      </c>
      <c r="D2012" s="2" t="str">
        <f t="shared" si="30"/>
        <v>Error?</v>
      </c>
    </row>
    <row r="2013" spans="1:4" x14ac:dyDescent="0.2">
      <c r="A2013" s="5">
        <v>1952</v>
      </c>
      <c r="B2013" s="1832">
        <f>'Cap Outlay Deprec 26'!C16</f>
        <v>4862897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382992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106907</v>
      </c>
      <c r="D2017" s="2" t="str">
        <f t="shared" si="30"/>
        <v>Error?</v>
      </c>
    </row>
    <row r="2018" spans="1:4" x14ac:dyDescent="0.2">
      <c r="A2018" s="5">
        <v>1957</v>
      </c>
      <c r="B2018" s="1832">
        <f>'Cap Outlay Deprec 26'!D13</f>
        <v>31950</v>
      </c>
      <c r="D2018" s="2" t="str">
        <f t="shared" si="30"/>
        <v>Error?</v>
      </c>
    </row>
    <row r="2019" spans="1:4" x14ac:dyDescent="0.2">
      <c r="A2019" s="5">
        <v>1958</v>
      </c>
      <c r="B2019" s="1832">
        <f>'Cap Outlay Deprec 26'!D16</f>
        <v>521849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73507</v>
      </c>
      <c r="D2023" s="2" t="str">
        <f t="shared" si="30"/>
        <v>Error?</v>
      </c>
    </row>
    <row r="2024" spans="1:4" x14ac:dyDescent="0.2">
      <c r="A2024" s="5">
        <v>1963</v>
      </c>
      <c r="B2024" s="1832">
        <f>'Cap Outlay Deprec 26'!E13</f>
        <v>21968</v>
      </c>
      <c r="D2024" s="2" t="str">
        <f t="shared" si="30"/>
        <v>Error?</v>
      </c>
    </row>
    <row r="2025" spans="1:4" x14ac:dyDescent="0.2">
      <c r="A2025" s="5">
        <v>1964</v>
      </c>
      <c r="B2025" s="1832">
        <f>'Cap Outlay Deprec 26'!E16</f>
        <v>95475</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2179486</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2945067</v>
      </c>
      <c r="C2029" s="2" t="s">
        <v>569</v>
      </c>
      <c r="D2029" s="2" t="str">
        <f t="shared" si="30"/>
        <v>Error?</v>
      </c>
    </row>
    <row r="2030" spans="1:4" x14ac:dyDescent="0.2">
      <c r="A2030" s="5">
        <v>1969</v>
      </c>
      <c r="B2030" s="1832">
        <f>'Cap Outlay Deprec 26'!F13</f>
        <v>164718</v>
      </c>
      <c r="C2030" s="2" t="s">
        <v>569</v>
      </c>
      <c r="D2030" s="2" t="str">
        <f t="shared" si="30"/>
        <v>Error?</v>
      </c>
    </row>
    <row r="2031" spans="1:4" x14ac:dyDescent="0.2">
      <c r="A2031" s="5">
        <v>1970</v>
      </c>
      <c r="B2031" s="1832">
        <f>'Cap Outlay Deprec 26'!F16</f>
        <v>5289271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610808</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2289598</v>
      </c>
      <c r="D2035" s="2" t="str">
        <f t="shared" si="30"/>
        <v>Error?</v>
      </c>
    </row>
    <row r="2036" spans="1:4" x14ac:dyDescent="0.2">
      <c r="A2036" s="5">
        <v>1975</v>
      </c>
      <c r="B2036" s="1832">
        <f>'Cap Outlay Deprec 26'!H13</f>
        <v>75878</v>
      </c>
      <c r="D2036" s="2" t="str">
        <f t="shared" si="30"/>
        <v>Error?</v>
      </c>
    </row>
    <row r="2037" spans="1:4" x14ac:dyDescent="0.2">
      <c r="A2037" s="5">
        <v>1976</v>
      </c>
      <c r="B2037" s="1832">
        <f>'Cap Outlay Deprec 26'!H16</f>
        <v>2976284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43590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107328</v>
      </c>
      <c r="D2041" s="2" t="str">
        <f t="shared" si="30"/>
        <v>Error?</v>
      </c>
    </row>
    <row r="2042" spans="1:4" x14ac:dyDescent="0.2">
      <c r="A2042" s="5">
        <v>1981</v>
      </c>
      <c r="B2042" s="1832">
        <f>'Cap Outlay Deprec 26'!I13</f>
        <v>25213</v>
      </c>
      <c r="D2042" s="2" t="str">
        <f t="shared" si="30"/>
        <v>Error?</v>
      </c>
    </row>
    <row r="2043" spans="1:4" x14ac:dyDescent="0.2">
      <c r="A2043" s="5">
        <v>1982</v>
      </c>
      <c r="B2043" s="1832">
        <f>'Cap Outlay Deprec 26'!I16</f>
        <v>176131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70538</v>
      </c>
      <c r="D2047" s="2" t="str">
        <f t="shared" ref="D2047:D2110" si="31">IF(ISBLANK(B2047),"OK",IF(A2047-B2047=0,"OK","Error?"))</f>
        <v>Error?</v>
      </c>
    </row>
    <row r="2048" spans="1:4" x14ac:dyDescent="0.2">
      <c r="A2048" s="5">
        <v>1987</v>
      </c>
      <c r="B2048" s="1832">
        <f>'Cap Outlay Deprec 26'!J13</f>
        <v>21968</v>
      </c>
      <c r="D2048" s="2" t="str">
        <f t="shared" si="31"/>
        <v>Error?</v>
      </c>
    </row>
    <row r="2049" spans="1:4" x14ac:dyDescent="0.2">
      <c r="A2049" s="5">
        <v>1988</v>
      </c>
      <c r="B2049" s="1832">
        <f>'Cap Outlay Deprec 26'!J16</f>
        <v>92506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654398</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2326388</v>
      </c>
      <c r="C2053" s="2" t="s">
        <v>569</v>
      </c>
      <c r="D2053" s="2" t="str">
        <f t="shared" si="31"/>
        <v>Error?</v>
      </c>
    </row>
    <row r="2054" spans="1:4" x14ac:dyDescent="0.2">
      <c r="A2054" s="5">
        <v>1993</v>
      </c>
      <c r="B2054" s="1832">
        <f>'Cap Outlay Deprec 26'!K13</f>
        <v>79123</v>
      </c>
      <c r="C2054" s="2" t="s">
        <v>569</v>
      </c>
      <c r="D2054" s="2" t="str">
        <f t="shared" si="31"/>
        <v>Error?</v>
      </c>
    </row>
    <row r="2055" spans="1:4" x14ac:dyDescent="0.2">
      <c r="A2055" s="5">
        <v>1994</v>
      </c>
      <c r="B2055" s="1832">
        <f>'Cap Outlay Deprec 26'!K16</f>
        <v>3059909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1525088</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618679</v>
      </c>
      <c r="C2059" s="2" t="s">
        <v>569</v>
      </c>
      <c r="D2059" s="2" t="str">
        <f t="shared" si="31"/>
        <v>Error?</v>
      </c>
    </row>
    <row r="2060" spans="1:4" x14ac:dyDescent="0.2">
      <c r="A2060" s="5">
        <v>1999</v>
      </c>
      <c r="B2060" s="1832">
        <f>'Cap Outlay Deprec 26'!L13</f>
        <v>85595</v>
      </c>
      <c r="C2060" s="2" t="s">
        <v>569</v>
      </c>
      <c r="D2060" s="2" t="str">
        <f t="shared" si="31"/>
        <v>Error?</v>
      </c>
    </row>
    <row r="2061" spans="1:4" x14ac:dyDescent="0.2">
      <c r="A2061" s="5">
        <v>2000</v>
      </c>
      <c r="B2061" s="1832">
        <f>'Cap Outlay Deprec 26'!L16</f>
        <v>2229362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1910098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1910098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6064094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4588894</v>
      </c>
      <c r="C2553" s="2" t="s">
        <v>569</v>
      </c>
      <c r="D2553" s="2" t="str">
        <f t="shared" si="38"/>
        <v>Error?</v>
      </c>
    </row>
    <row r="2554" spans="1:4" x14ac:dyDescent="0.2">
      <c r="A2554" s="5">
        <v>2493</v>
      </c>
      <c r="B2554" s="1832">
        <f>'Acct Summary 7-8'!C7</f>
        <v>8392568</v>
      </c>
      <c r="C2554" s="2" t="s">
        <v>569</v>
      </c>
      <c r="D2554" s="2" t="str">
        <f t="shared" si="38"/>
        <v>Error?</v>
      </c>
    </row>
    <row r="2555" spans="1:4" x14ac:dyDescent="0.2">
      <c r="A2555" s="5">
        <v>2494</v>
      </c>
      <c r="B2555" s="1832">
        <f>'Acct Summary 7-8'!C8</f>
        <v>19045556</v>
      </c>
      <c r="C2555" s="2" t="s">
        <v>569</v>
      </c>
      <c r="D2555" s="2" t="str">
        <f t="shared" si="38"/>
        <v>Error?</v>
      </c>
    </row>
    <row r="2556" spans="1:4" x14ac:dyDescent="0.2">
      <c r="A2556" s="5">
        <v>2495</v>
      </c>
      <c r="B2556" s="1832">
        <f>'Acct Summary 7-8'!C12</f>
        <v>8492893</v>
      </c>
      <c r="C2556" s="2" t="s">
        <v>569</v>
      </c>
      <c r="D2556" s="2" t="str">
        <f t="shared" si="38"/>
        <v>Error?</v>
      </c>
    </row>
    <row r="2557" spans="1:4" x14ac:dyDescent="0.2">
      <c r="A2557" s="5">
        <v>2496</v>
      </c>
      <c r="B2557" s="1832">
        <f>'Acct Summary 7-8'!C13</f>
        <v>7724878</v>
      </c>
      <c r="C2557" s="2" t="s">
        <v>569</v>
      </c>
      <c r="D2557" s="2" t="str">
        <f t="shared" si="38"/>
        <v>Error?</v>
      </c>
    </row>
    <row r="2558" spans="1:4" x14ac:dyDescent="0.2">
      <c r="A2558" s="5">
        <v>2497</v>
      </c>
      <c r="B2558" s="1832">
        <f>'Acct Summary 7-8'!C14</f>
        <v>154888</v>
      </c>
      <c r="C2558" s="2" t="s">
        <v>569</v>
      </c>
      <c r="D2558" s="2" t="str">
        <f t="shared" si="38"/>
        <v>Error?</v>
      </c>
    </row>
    <row r="2559" spans="1:4" x14ac:dyDescent="0.2">
      <c r="A2559" s="5">
        <v>2498</v>
      </c>
      <c r="B2559" s="1832">
        <f>'Acct Summary 7-8'!C15</f>
        <v>2030718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18403377</v>
      </c>
      <c r="C2561" s="2" t="s">
        <v>569</v>
      </c>
      <c r="D2561" s="2" t="str">
        <f t="shared" si="39"/>
        <v>Error?</v>
      </c>
    </row>
    <row r="2562" spans="1:4" x14ac:dyDescent="0.2">
      <c r="A2562" s="5">
        <v>2501</v>
      </c>
      <c r="B2562" s="1832">
        <f>'Acct Summary 7-8'!C20</f>
        <v>642179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29569</v>
      </c>
      <c r="C2634" s="2" t="s">
        <v>569</v>
      </c>
      <c r="D2634" s="2" t="str">
        <f t="shared" si="40"/>
        <v>Error?</v>
      </c>
    </row>
    <row r="2635" spans="1:4" x14ac:dyDescent="0.2">
      <c r="A2635" s="5">
        <v>2574</v>
      </c>
      <c r="B2635" s="1832">
        <f>'Acct Summary 7-8'!E17</f>
        <v>29569</v>
      </c>
      <c r="C2635" s="2" t="s">
        <v>569</v>
      </c>
      <c r="D2635" s="2" t="str">
        <f t="shared" si="40"/>
        <v>Error?</v>
      </c>
    </row>
    <row r="2636" spans="1:4" x14ac:dyDescent="0.2">
      <c r="A2636" s="5">
        <v>2575</v>
      </c>
      <c r="B2636" s="1832">
        <f>'Acct Summary 7-8'!E20</f>
        <v>-29569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617542</v>
      </c>
      <c r="D2718" s="2" t="str">
        <f t="shared" si="41"/>
        <v>Error?</v>
      </c>
    </row>
    <row r="2719" spans="1:4" x14ac:dyDescent="0.2">
      <c r="A2719" s="5">
        <v>2658</v>
      </c>
      <c r="B2719" s="1832">
        <f>'Expenditures 15-22'!D51</f>
        <v>93377</v>
      </c>
      <c r="D2719" s="2" t="str">
        <f t="shared" si="41"/>
        <v>Error?</v>
      </c>
    </row>
    <row r="2720" spans="1:4" x14ac:dyDescent="0.2">
      <c r="A2720" s="5">
        <v>2659</v>
      </c>
      <c r="B2720" s="1832">
        <f>'Expenditures 15-22'!E51</f>
        <v>152436</v>
      </c>
      <c r="D2720" s="2" t="str">
        <f t="shared" si="41"/>
        <v>Error?</v>
      </c>
    </row>
    <row r="2721" spans="1:4" x14ac:dyDescent="0.2">
      <c r="A2721" s="5">
        <v>2660</v>
      </c>
      <c r="B2721" s="1832">
        <f>'Expenditures 15-22'!F51</f>
        <v>3181</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866536</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88241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88241</v>
      </c>
      <c r="D2914" s="2" t="str">
        <f t="shared" si="44"/>
        <v>Error?</v>
      </c>
    </row>
    <row r="2915" spans="1:4" x14ac:dyDescent="0.2">
      <c r="A2915" s="10">
        <v>2854</v>
      </c>
      <c r="B2915" s="1832"/>
      <c r="D2915" s="2" t="str">
        <f t="shared" si="44"/>
        <v>OK</v>
      </c>
    </row>
    <row r="2916" spans="1:4" x14ac:dyDescent="0.2">
      <c r="A2916" s="5">
        <v>2855</v>
      </c>
      <c r="B2916" s="1832">
        <f>'Assets-Liab 5-6'!L34</f>
        <v>88241</v>
      </c>
      <c r="C2916" s="2" t="s">
        <v>569</v>
      </c>
      <c r="D2916" s="2" t="str">
        <f t="shared" si="44"/>
        <v>Error?</v>
      </c>
    </row>
    <row r="2917" spans="1:4" x14ac:dyDescent="0.2">
      <c r="A2917" s="5">
        <v>2856</v>
      </c>
      <c r="B2917" s="1832">
        <f>'Assets-Liab 5-6'!L41</f>
        <v>88241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783029</v>
      </c>
      <c r="D2955" s="2" t="str">
        <f t="shared" si="45"/>
        <v>Error?</v>
      </c>
    </row>
    <row r="2956" spans="1:4" x14ac:dyDescent="0.2">
      <c r="A2956" s="5">
        <v>2895</v>
      </c>
      <c r="B2956" s="1832">
        <f>'Expenditures 15-22'!H79</f>
        <v>1127069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783029</v>
      </c>
      <c r="C2973" s="2" t="s">
        <v>569</v>
      </c>
      <c r="D2973" s="2" t="str">
        <f t="shared" si="45"/>
        <v>Error?</v>
      </c>
    </row>
    <row r="2974" spans="1:4" x14ac:dyDescent="0.2">
      <c r="A2974" s="5">
        <v>2913</v>
      </c>
      <c r="B2974" s="1832">
        <f>'Expenditures 15-22'!K79</f>
        <v>1127069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29569</v>
      </c>
      <c r="D3230" s="2" t="str">
        <f t="shared" si="49"/>
        <v>Error?</v>
      </c>
    </row>
    <row r="3231" spans="1:4" x14ac:dyDescent="0.2">
      <c r="A3231" s="5">
        <v>3170</v>
      </c>
      <c r="B3231" s="1832">
        <f>'Acct Summary 7-8'!C76</f>
        <v>29569</v>
      </c>
      <c r="C3231" s="2" t="s">
        <v>569</v>
      </c>
      <c r="D3231" s="2" t="str">
        <f t="shared" si="49"/>
        <v>Error?</v>
      </c>
    </row>
    <row r="3232" spans="1:4" x14ac:dyDescent="0.2">
      <c r="A3232" s="5">
        <v>3171</v>
      </c>
      <c r="B3232" s="1832">
        <f>'Acct Summary 7-8'!C77</f>
        <v>-29569</v>
      </c>
      <c r="C3232" s="2" t="s">
        <v>569</v>
      </c>
      <c r="D3232" s="2" t="str">
        <f t="shared" si="49"/>
        <v>Error?</v>
      </c>
    </row>
    <row r="3233" spans="1:4" x14ac:dyDescent="0.2">
      <c r="A3233" s="5">
        <v>3172</v>
      </c>
      <c r="B3233" s="1832">
        <f>'Acct Summary 7-8'!C78</f>
        <v>612610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29569</v>
      </c>
      <c r="D3273" s="2" t="str">
        <f t="shared" si="50"/>
        <v>Error?</v>
      </c>
    </row>
    <row r="3274" spans="1:4" x14ac:dyDescent="0.2">
      <c r="A3274" s="5">
        <v>3213</v>
      </c>
      <c r="B3274" s="1832">
        <f>'Acct Summary 7-8'!E44</f>
        <v>29569</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29569</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5382834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1228564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227257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69173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3000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6910828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1320953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88241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4535646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23581202</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4535646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22939023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29569</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28956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5533421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31023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123328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259246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5995269</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5995269</v>
      </c>
      <c r="C5087" s="2" t="s">
        <v>569</v>
      </c>
      <c r="D5087" s="2" t="str">
        <f t="shared" si="78"/>
        <v>Error?</v>
      </c>
    </row>
    <row r="5088" spans="1:4" x14ac:dyDescent="0.2">
      <c r="A5088" s="5">
        <v>5027</v>
      </c>
      <c r="B5088" s="1832">
        <f>'Revenues 9-14'!C65</f>
        <v>1518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1518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16800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50507</v>
      </c>
      <c r="D5119" s="2" t="str">
        <f t="shared" ref="D5119:D5182" si="79">IF(ISBLANK(B5119),"OK",IF(A5119-B5119=0,"OK","Error?"))</f>
        <v>Error?</v>
      </c>
    </row>
    <row r="5120" spans="1:4" x14ac:dyDescent="0.2">
      <c r="A5120" s="5">
        <v>5059</v>
      </c>
      <c r="B5120" s="1832">
        <f>'Revenues 9-14'!C108</f>
        <v>67307</v>
      </c>
      <c r="C5120" s="2" t="s">
        <v>569</v>
      </c>
      <c r="D5120" s="2" t="str">
        <f t="shared" si="79"/>
        <v>Error?</v>
      </c>
    </row>
    <row r="5121" spans="1:4" x14ac:dyDescent="0.2">
      <c r="A5121" s="5">
        <v>5060</v>
      </c>
      <c r="B5121" s="1832">
        <f>'Revenues 9-14'!C109</f>
        <v>6064094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1195596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1195596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2533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113719</v>
      </c>
      <c r="D5177" s="2" t="str">
        <f t="shared" si="79"/>
        <v>Error?</v>
      </c>
    </row>
    <row r="5178" spans="1:4" x14ac:dyDescent="0.2">
      <c r="A5178" s="5">
        <v>5117</v>
      </c>
      <c r="B5178" s="1832">
        <f>'Revenues 9-14'!C155</f>
        <v>113719</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3277046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3393298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4588894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104178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50219</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154397</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357926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7466648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7824574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8392568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8392568</v>
      </c>
      <c r="C5326" s="2" t="s">
        <v>569</v>
      </c>
      <c r="D5326" s="2" t="str">
        <f t="shared" si="82"/>
        <v>Error?</v>
      </c>
    </row>
    <row r="5327" spans="1:5" x14ac:dyDescent="0.2">
      <c r="A5327" s="5">
        <v>5266</v>
      </c>
      <c r="B5327" s="1832">
        <f>'Revenues 9-14'!C268</f>
        <v>19045556</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11096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6057320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286796</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38965</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1524135</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612610</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0.11071089656832546</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1071641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1582065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120620</v>
      </c>
      <c r="D6998" s="2" t="str">
        <f t="shared" si="108"/>
        <v>Error?</v>
      </c>
    </row>
    <row r="6999" spans="1:4" x14ac:dyDescent="0.2">
      <c r="A6999">
        <v>6938</v>
      </c>
      <c r="B6999" s="1832">
        <f>'Expenditures 15-22'!K94</f>
        <v>120620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120620</v>
      </c>
      <c r="D7012" s="2" t="str">
        <f t="shared" si="108"/>
        <v>Error?</v>
      </c>
    </row>
    <row r="7013" spans="1:4" x14ac:dyDescent="0.2">
      <c r="A7013">
        <v>6952</v>
      </c>
      <c r="B7013" s="1832">
        <f>'Expenditures 15-22'!K100</f>
        <v>120620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211342</v>
      </c>
      <c r="D7246" s="2" t="str">
        <f t="shared" si="112"/>
        <v>Error?</v>
      </c>
    </row>
    <row r="7247" spans="1:4" x14ac:dyDescent="0.2">
      <c r="A7247">
        <f t="shared" si="113"/>
        <v>7186</v>
      </c>
      <c r="B7247" s="1832">
        <f>'Expenditures 15-22'!E7</f>
        <v>10953</v>
      </c>
      <c r="D7247" s="2" t="str">
        <f t="shared" si="112"/>
        <v>Error?</v>
      </c>
    </row>
    <row r="7248" spans="1:4" x14ac:dyDescent="0.2">
      <c r="A7248">
        <f t="shared" si="113"/>
        <v>7187</v>
      </c>
      <c r="B7248" s="1832">
        <f>'Expenditures 15-22'!F7</f>
        <v>256653</v>
      </c>
      <c r="D7248" s="2" t="str">
        <f t="shared" si="112"/>
        <v>Error?</v>
      </c>
    </row>
    <row r="7249" spans="1:4" x14ac:dyDescent="0.2">
      <c r="A7249">
        <f t="shared" si="113"/>
        <v>7188</v>
      </c>
      <c r="B7249" s="1832">
        <f>'Expenditures 15-22'!G7</f>
        <v>31476</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176131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117154</v>
      </c>
      <c r="D7759" s="2" t="str">
        <f t="shared" si="127"/>
        <v>Error?</v>
      </c>
      <c r="E7759" s="4" t="s">
        <v>1322</v>
      </c>
    </row>
    <row r="7760" spans="1:6" x14ac:dyDescent="0.2">
      <c r="A7760">
        <v>7699</v>
      </c>
      <c r="B7760" s="1832">
        <f>'Aud Quest 2'!J90</f>
        <v>117154</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192656</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18432946</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1550589</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142888</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4275000</v>
      </c>
      <c r="D7834" s="2" t="str">
        <f t="shared" si="129"/>
        <v>Error?</v>
      </c>
      <c r="E7834" s="4" t="s">
        <v>1995</v>
      </c>
    </row>
    <row r="7835" spans="1:5" x14ac:dyDescent="0.2">
      <c r="A7835">
        <v>7774</v>
      </c>
      <c r="B7835" s="1832">
        <f>'PCTC-OEPP 27-28'!F78</f>
        <v>14157946</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0</v>
      </c>
      <c r="D7838" s="2" t="str">
        <f t="shared" si="129"/>
        <v>Error?</v>
      </c>
      <c r="E7838" s="4" t="s">
        <v>1995</v>
      </c>
    </row>
    <row r="7839" spans="1:5" x14ac:dyDescent="0.2">
      <c r="A7839">
        <v>7778</v>
      </c>
      <c r="B7839" s="1832">
        <f>'PCTC-OEPP 27-28'!F102</f>
        <v>16800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113719</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154397</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7466648</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31023</v>
      </c>
      <c r="D7874" s="2" t="str">
        <f t="shared" si="129"/>
        <v>Error?</v>
      </c>
      <c r="E7874" s="4" t="s">
        <v>1995</v>
      </c>
    </row>
    <row r="7875" spans="1:5" x14ac:dyDescent="0.2">
      <c r="A7875">
        <v>7814</v>
      </c>
      <c r="B7875" s="1832">
        <f>'PCTC-OEPP 27-28'!F170</f>
        <v>123328</v>
      </c>
      <c r="D7875" s="2" t="str">
        <f t="shared" si="129"/>
        <v>Error?</v>
      </c>
      <c r="E7875" s="4" t="s">
        <v>1995</v>
      </c>
    </row>
    <row r="7876" spans="1:5" x14ac:dyDescent="0.2">
      <c r="A7876">
        <v>7815</v>
      </c>
      <c r="B7876" s="1832">
        <f>'PCTC-OEPP 27-28'!F171</f>
        <v>259246</v>
      </c>
      <c r="D7876" s="2" t="str">
        <f t="shared" si="129"/>
        <v>Error?</v>
      </c>
      <c r="E7876" s="4" t="s">
        <v>1995</v>
      </c>
    </row>
    <row r="7877" spans="1:5" x14ac:dyDescent="0.2">
      <c r="A7877">
        <v>7816</v>
      </c>
      <c r="B7877" s="1832">
        <f>'PCTC-OEPP 27-28'!F175</f>
        <v>8167694</v>
      </c>
      <c r="D7877" s="2" t="str">
        <f t="shared" si="129"/>
        <v>Error?</v>
      </c>
      <c r="E7877" s="4" t="s">
        <v>1995</v>
      </c>
    </row>
    <row r="7878" spans="1:5" x14ac:dyDescent="0.2">
      <c r="A7878">
        <v>7817</v>
      </c>
      <c r="B7878" s="1832">
        <f>'PCTC-OEPP 27-28'!F176</f>
        <v>5990252</v>
      </c>
      <c r="D7878" s="2" t="str">
        <f t="shared" si="129"/>
        <v>Error?</v>
      </c>
      <c r="E7878" s="4" t="s">
        <v>1995</v>
      </c>
    </row>
    <row r="7879" spans="1:5" x14ac:dyDescent="0.2">
      <c r="A7879">
        <v>7818</v>
      </c>
      <c r="B7879" s="1832">
        <f>'PCTC-OEPP 27-28'!F178</f>
        <v>6166383</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pageSetUpPr fitToPage="1"/>
  </sheetPr>
  <dimension ref="A1:AC59"/>
  <sheetViews>
    <sheetView showGridLines="0" showZeros="0" zoomScale="110" zoomScaleNormal="110" workbookViewId="0">
      <selection activeCell="A17" sqref="A17:F1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5" t="s">
        <v>1181</v>
      </c>
      <c r="B2" s="2525"/>
      <c r="C2" s="2525"/>
      <c r="D2" s="2525"/>
      <c r="E2" s="2525"/>
      <c r="F2" s="2525"/>
      <c r="G2" s="2525"/>
      <c r="H2" s="2525"/>
      <c r="I2" s="2525"/>
      <c r="J2" s="2525"/>
      <c r="K2" s="2525"/>
      <c r="L2" s="2525"/>
    </row>
    <row r="3" spans="1:29" ht="13.5" customHeight="1" x14ac:dyDescent="0.2">
      <c r="A3" s="2554" t="s">
        <v>1180</v>
      </c>
      <c r="B3" s="2554"/>
      <c r="C3" s="2554"/>
      <c r="D3" s="2554"/>
      <c r="E3" s="2554"/>
      <c r="F3" s="2554"/>
      <c r="G3" s="2554"/>
      <c r="H3" s="2554"/>
      <c r="I3" s="2554"/>
      <c r="J3" s="2554"/>
      <c r="K3" s="2554"/>
      <c r="L3" s="2554"/>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5" t="str">
        <f>COVER!A17</f>
        <v>EASTERN ILLINOIS AREA OF SPECIAL EDUCATION</v>
      </c>
      <c r="B7" s="2546"/>
      <c r="C7" s="2546"/>
      <c r="D7" s="2547"/>
      <c r="E7" s="2548" t="str">
        <f>COVER!A13</f>
        <v>11-015-8010-60</v>
      </c>
      <c r="F7" s="2549"/>
      <c r="G7" s="2555" t="str">
        <f>COVER!T23</f>
        <v>065-024852</v>
      </c>
      <c r="H7" s="2556"/>
      <c r="I7" s="2556"/>
      <c r="J7" s="2556"/>
      <c r="K7" s="2556"/>
      <c r="L7" s="255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8"/>
      <c r="B9" s="2559"/>
      <c r="C9" s="2559"/>
      <c r="D9" s="2559"/>
      <c r="E9" s="2559"/>
      <c r="F9" s="2560"/>
      <c r="G9" s="2531" t="str">
        <f>COVER!T13</f>
        <v>WEST &amp; COMPANY, LLC</v>
      </c>
      <c r="H9" s="2552"/>
      <c r="I9" s="2552"/>
      <c r="J9" s="2552"/>
      <c r="K9" s="2552"/>
      <c r="L9" s="2553"/>
    </row>
    <row r="10" spans="1:29" ht="13.5" customHeight="1" x14ac:dyDescent="0.2">
      <c r="A10" s="2534" t="str">
        <f>COVER!A38</f>
        <v>TONY REELEY</v>
      </c>
      <c r="B10" s="2535"/>
      <c r="C10" s="2535"/>
      <c r="D10" s="2535"/>
      <c r="E10" s="2535"/>
      <c r="F10" s="2536"/>
      <c r="G10" s="2531" t="str">
        <f>COVER!T17</f>
        <v>613 BROADWAY AVENUE</v>
      </c>
      <c r="H10" s="2532"/>
      <c r="I10" s="2532"/>
      <c r="J10" s="2532"/>
      <c r="K10" s="2532"/>
      <c r="L10" s="2533"/>
    </row>
    <row r="11" spans="1:29" ht="13.5" customHeight="1" x14ac:dyDescent="0.2">
      <c r="A11" s="963" t="s">
        <v>1502</v>
      </c>
      <c r="B11" s="964"/>
      <c r="C11" s="965"/>
      <c r="D11" s="970"/>
      <c r="E11" s="965"/>
      <c r="F11" s="969"/>
      <c r="G11" s="2531" t="str">
        <f>COVER!T19</f>
        <v>MATTOON</v>
      </c>
      <c r="H11" s="2532"/>
      <c r="I11" s="2532"/>
      <c r="J11" s="2532"/>
      <c r="K11" s="2532"/>
      <c r="L11" s="2533"/>
    </row>
    <row r="12" spans="1:29" ht="13.5" customHeight="1" x14ac:dyDescent="0.2">
      <c r="A12" s="2537" t="s">
        <v>1501</v>
      </c>
      <c r="B12" s="2538"/>
      <c r="C12" s="2538"/>
      <c r="D12" s="2538"/>
      <c r="E12" s="2538"/>
      <c r="F12" s="2539"/>
      <c r="G12" s="2531" t="s">
        <v>2146</v>
      </c>
      <c r="H12" s="2532"/>
      <c r="I12" s="2532"/>
      <c r="J12" s="2532"/>
      <c r="K12" s="2532"/>
      <c r="L12" s="2533"/>
    </row>
    <row r="13" spans="1:29" ht="13.5" customHeight="1" x14ac:dyDescent="0.2">
      <c r="A13" s="2531"/>
      <c r="B13" s="2532"/>
      <c r="C13" s="2532"/>
      <c r="D13" s="2532"/>
      <c r="E13" s="2532"/>
      <c r="F13" s="2533"/>
      <c r="G13" s="2526" t="s">
        <v>1503</v>
      </c>
      <c r="H13" s="2527"/>
      <c r="I13" s="2540" t="str">
        <f>COVER!T25</f>
        <v>DSMITH@WESTCPA.COM</v>
      </c>
      <c r="J13" s="2541"/>
      <c r="K13" s="2541"/>
      <c r="L13" s="2542"/>
    </row>
    <row r="14" spans="1:29" ht="13.5" customHeight="1" x14ac:dyDescent="0.2">
      <c r="A14" s="2531" t="str">
        <f>COVER!A19</f>
        <v>5837 PARK DRIVE</v>
      </c>
      <c r="B14" s="2532"/>
      <c r="C14" s="2532"/>
      <c r="D14" s="2532"/>
      <c r="E14" s="2532"/>
      <c r="F14" s="2533"/>
      <c r="G14" s="974" t="s">
        <v>1175</v>
      </c>
      <c r="H14" s="972"/>
      <c r="I14" s="972"/>
      <c r="J14" s="972"/>
      <c r="K14" s="972"/>
      <c r="L14" s="973"/>
    </row>
    <row r="15" spans="1:29" ht="13.5" customHeight="1" x14ac:dyDescent="0.2">
      <c r="A15" s="2531" t="str">
        <f>COVER!A21</f>
        <v>CHARLESTON</v>
      </c>
      <c r="B15" s="2532"/>
      <c r="C15" s="2532"/>
      <c r="D15" s="2532"/>
      <c r="E15" s="2532"/>
      <c r="F15" s="2533"/>
      <c r="G15" s="2528" t="str">
        <f>COVER!T15</f>
        <v>DIANA R. SMITH</v>
      </c>
      <c r="H15" s="2529"/>
      <c r="I15" s="2529"/>
      <c r="J15" s="2529"/>
      <c r="K15" s="2529"/>
      <c r="L15" s="2530"/>
    </row>
    <row r="16" spans="1:29" ht="12.2" customHeight="1" x14ac:dyDescent="0.2">
      <c r="A16" s="2551" t="s">
        <v>2156</v>
      </c>
      <c r="B16" s="2552"/>
      <c r="C16" s="2552"/>
      <c r="D16" s="2552"/>
      <c r="E16" s="2552"/>
      <c r="F16" s="2553"/>
      <c r="G16" s="2561"/>
      <c r="H16" s="2562"/>
      <c r="I16" s="2562"/>
      <c r="J16" s="2562"/>
      <c r="K16" s="2562"/>
      <c r="L16" s="2563"/>
    </row>
    <row r="17" spans="1:13" ht="12.2" customHeight="1" x14ac:dyDescent="0.2">
      <c r="A17" s="2564"/>
      <c r="B17" s="2565"/>
      <c r="C17" s="2565"/>
      <c r="D17" s="2565"/>
      <c r="E17" s="2565"/>
      <c r="F17" s="2566"/>
      <c r="G17" s="974" t="s">
        <v>1174</v>
      </c>
      <c r="H17" s="972"/>
      <c r="I17" s="972"/>
      <c r="J17" s="972"/>
      <c r="K17" s="976" t="s">
        <v>1173</v>
      </c>
      <c r="L17" s="969"/>
      <c r="M17" s="962"/>
    </row>
    <row r="18" spans="1:13" ht="12.2" customHeight="1" x14ac:dyDescent="0.2">
      <c r="A18" s="2534"/>
      <c r="B18" s="2535"/>
      <c r="C18" s="2535"/>
      <c r="D18" s="2535"/>
      <c r="E18" s="2535"/>
      <c r="F18" s="2536"/>
      <c r="G18" s="2545" t="str">
        <f>COVER!T21</f>
        <v>(217) 235-4747</v>
      </c>
      <c r="H18" s="2546"/>
      <c r="I18" s="2546"/>
      <c r="J18" s="2546"/>
      <c r="K18" s="2545" t="str">
        <f>COVER!X21</f>
        <v>(217) 235-4704</v>
      </c>
      <c r="L18" s="255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pageSetUpPr fitToPage="1"/>
  </sheetPr>
  <dimension ref="A1:K127"/>
  <sheetViews>
    <sheetView showGridLines="0" topLeftCell="A34" zoomScale="125" zoomScaleNormal="125" workbookViewId="0">
      <selection activeCell="A2" sqref="A2:E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7" t="str">
        <f>'Single Audit Cover'!A7</f>
        <v>EASTERN ILLINOIS AREA OF SPECIAL EDUCATION</v>
      </c>
      <c r="B1" s="2568"/>
      <c r="C1" s="2568"/>
      <c r="D1" s="2568"/>
    </row>
    <row r="2" spans="1:11" s="991" customFormat="1" ht="12.75" x14ac:dyDescent="0.2">
      <c r="A2" s="2569" t="str">
        <f>'Single Audit Cover'!E7</f>
        <v>11-015-8010-60</v>
      </c>
      <c r="B2" s="2570"/>
      <c r="C2" s="2570"/>
      <c r="D2" s="2570"/>
    </row>
    <row r="3" spans="1:11" s="991" customFormat="1" ht="12.75" x14ac:dyDescent="0.2">
      <c r="A3" s="2567" t="s">
        <v>1496</v>
      </c>
      <c r="B3" s="2568"/>
      <c r="C3" s="2568"/>
      <c r="D3" s="256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2" t="str">
        <f>'Single Audit Cover'!A7</f>
        <v>EASTERN ILLINOIS AREA OF SPECIAL EDUCATION</v>
      </c>
      <c r="B1" s="2572"/>
      <c r="C1" s="2572"/>
      <c r="D1" s="2572"/>
      <c r="E1" s="2572"/>
    </row>
    <row r="2" spans="1:5" x14ac:dyDescent="0.2">
      <c r="A2" s="2573" t="str">
        <f>'Single Audit Cover'!E7</f>
        <v>11-015-8010-60</v>
      </c>
      <c r="B2" s="2573"/>
      <c r="C2" s="2573"/>
      <c r="D2" s="2573"/>
      <c r="E2" s="2573"/>
    </row>
    <row r="3" spans="1:5" ht="4.5" customHeight="1" x14ac:dyDescent="0.2"/>
    <row r="4" spans="1:5" x14ac:dyDescent="0.2">
      <c r="A4" s="2572" t="s">
        <v>1234</v>
      </c>
      <c r="B4" s="2572"/>
      <c r="C4" s="2572"/>
      <c r="D4" s="2572"/>
      <c r="E4" s="2572"/>
    </row>
    <row r="5" spans="1:5" x14ac:dyDescent="0.2">
      <c r="A5" s="2575" t="str">
        <f>'Single Audit Cover'!A4</f>
        <v>Year Ending June 30, 2020</v>
      </c>
      <c r="B5" s="2575"/>
      <c r="C5" s="2575"/>
      <c r="D5" s="2575"/>
      <c r="E5" s="2575"/>
    </row>
    <row r="6" spans="1:5" x14ac:dyDescent="0.2">
      <c r="A6" s="2572" t="s">
        <v>1233</v>
      </c>
      <c r="B6" s="2572"/>
      <c r="C6" s="2572"/>
      <c r="D6" s="2572"/>
      <c r="E6" s="2572"/>
    </row>
    <row r="8" spans="1:5" x14ac:dyDescent="0.2">
      <c r="A8" s="1036" t="s">
        <v>1232</v>
      </c>
    </row>
    <row r="10" spans="1:5" x14ac:dyDescent="0.2">
      <c r="A10" s="1037" t="s">
        <v>1231</v>
      </c>
      <c r="B10" s="1038" t="s">
        <v>1230</v>
      </c>
      <c r="C10" s="1038"/>
      <c r="D10" s="1039">
        <f>SUM('Acct Summary 7-8'!C7:K7)</f>
        <v>8392568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11096</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-123328</v>
      </c>
    </row>
    <row r="19" spans="1:4" ht="13.5" thickBot="1" x14ac:dyDescent="0.25">
      <c r="A19" s="1041" t="s">
        <v>1224</v>
      </c>
      <c r="D19" s="1042">
        <f>SUM(D10:D17)</f>
        <v>8280336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4"/>
      <c r="B24" s="2574"/>
      <c r="D24" s="1044"/>
    </row>
    <row r="25" spans="1:4" x14ac:dyDescent="0.2">
      <c r="A25" s="2571"/>
      <c r="B25" s="2571"/>
      <c r="D25" s="1044"/>
    </row>
    <row r="26" spans="1:4" x14ac:dyDescent="0.2">
      <c r="A26" s="2571"/>
      <c r="B26" s="2571"/>
      <c r="D26" s="1044"/>
    </row>
    <row r="27" spans="1:4" x14ac:dyDescent="0.2">
      <c r="A27" s="2571"/>
      <c r="B27" s="2571"/>
      <c r="D27" s="1044"/>
    </row>
    <row r="28" spans="1:4" x14ac:dyDescent="0.2">
      <c r="A28" s="2571"/>
      <c r="B28" s="2571"/>
      <c r="D28" s="1044"/>
    </row>
    <row r="29" spans="1:4" x14ac:dyDescent="0.2">
      <c r="A29" s="2571"/>
      <c r="B29" s="2571"/>
      <c r="D29" s="1044"/>
    </row>
    <row r="30" spans="1:4" x14ac:dyDescent="0.2">
      <c r="A30" s="2571"/>
      <c r="B30" s="2571"/>
      <c r="D30" s="1044"/>
    </row>
    <row r="32" spans="1:4" x14ac:dyDescent="0.2">
      <c r="A32" s="1036" t="s">
        <v>1222</v>
      </c>
      <c r="D32" s="1039">
        <f>SUM(D19:D30)</f>
        <v>8280336</v>
      </c>
    </row>
    <row r="33" spans="1:4" x14ac:dyDescent="0.2">
      <c r="D33" s="1045"/>
    </row>
    <row r="34" spans="1:4" x14ac:dyDescent="0.2">
      <c r="A34" s="295" t="s">
        <v>1221</v>
      </c>
    </row>
    <row r="35" spans="1:4" x14ac:dyDescent="0.2">
      <c r="A35" s="295" t="s">
        <v>1220</v>
      </c>
      <c r="B35" s="1034" t="s">
        <v>1219</v>
      </c>
      <c r="D35" s="1046">
        <v>8280336</v>
      </c>
    </row>
    <row r="37" spans="1:4" x14ac:dyDescent="0.2">
      <c r="A37" s="1036" t="s">
        <v>1218</v>
      </c>
    </row>
    <row r="39" spans="1:4" ht="13.35" customHeight="1" x14ac:dyDescent="0.2">
      <c r="A39" s="1043" t="s">
        <v>1217</v>
      </c>
    </row>
    <row r="40" spans="1:4" x14ac:dyDescent="0.2">
      <c r="A40" s="2571"/>
      <c r="B40" s="2571"/>
      <c r="D40" s="1044"/>
    </row>
    <row r="41" spans="1:4" x14ac:dyDescent="0.2">
      <c r="A41" s="2571"/>
      <c r="B41" s="2571"/>
      <c r="D41" s="1047"/>
    </row>
    <row r="42" spans="1:4" x14ac:dyDescent="0.2">
      <c r="A42" s="2571"/>
      <c r="B42" s="2571"/>
      <c r="D42" s="1047"/>
    </row>
    <row r="43" spans="1:4" x14ac:dyDescent="0.2">
      <c r="A43" s="2571"/>
      <c r="B43" s="2571"/>
      <c r="D43" s="1047"/>
    </row>
    <row r="44" spans="1:4" x14ac:dyDescent="0.2">
      <c r="A44" s="2571"/>
      <c r="B44" s="2571"/>
      <c r="D44" s="1047"/>
    </row>
    <row r="45" spans="1:4" x14ac:dyDescent="0.2">
      <c r="A45" s="2571"/>
      <c r="B45" s="2571"/>
      <c r="D45" s="1047"/>
    </row>
    <row r="47" spans="1:4" x14ac:dyDescent="0.2">
      <c r="B47" s="1048" t="s">
        <v>1216</v>
      </c>
      <c r="C47" s="1048"/>
      <c r="D47" s="1049">
        <f>SUM(D35:D45)</f>
        <v>8280336</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sheetPr>
  <dimension ref="B1:N168"/>
  <sheetViews>
    <sheetView showGridLines="0" topLeftCell="A13" zoomScaleNormal="100" workbookViewId="0">
      <selection activeCell="B30" sqref="B30"/>
    </sheetView>
  </sheetViews>
  <sheetFormatPr defaultColWidth="33.5703125" defaultRowHeight="12.75" x14ac:dyDescent="0.2"/>
  <cols>
    <col min="1" max="1" width="0.140625" style="295" customWidth="1"/>
    <col min="2" max="2" width="47.57031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4" t="str">
        <f>'Single Audit Cover'!A7</f>
        <v>EASTERN ILLINOIS AREA OF SPECIAL EDUCATION</v>
      </c>
      <c r="C1" s="2576"/>
      <c r="D1" s="2576"/>
      <c r="E1" s="2576"/>
      <c r="F1" s="2576"/>
      <c r="G1" s="2576"/>
      <c r="H1" s="2576"/>
      <c r="I1" s="2576"/>
      <c r="J1" s="2576"/>
      <c r="K1" s="2576"/>
      <c r="L1" s="2576"/>
      <c r="M1" s="2576"/>
    </row>
    <row r="2" spans="2:14" ht="15" x14ac:dyDescent="0.2">
      <c r="B2" s="2577" t="str">
        <f>'Single Audit Cover'!E7</f>
        <v>11-015-8010-60</v>
      </c>
      <c r="C2" s="2577"/>
      <c r="D2" s="2577"/>
      <c r="E2" s="2577"/>
      <c r="F2" s="2577"/>
      <c r="G2" s="2577"/>
      <c r="H2" s="2577"/>
      <c r="I2" s="2577"/>
      <c r="J2" s="2577"/>
      <c r="K2" s="2577"/>
      <c r="L2" s="2577"/>
      <c r="M2" s="2577"/>
      <c r="N2" s="1078"/>
    </row>
    <row r="3" spans="2:14" ht="15" x14ac:dyDescent="0.2">
      <c r="B3" s="2578" t="s">
        <v>1208</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2083</v>
      </c>
      <c r="C11" s="1821"/>
      <c r="D11" s="1822"/>
      <c r="E11" s="1823"/>
      <c r="F11" s="1823"/>
      <c r="G11" s="1823"/>
      <c r="H11" s="1823"/>
      <c r="I11" s="1823"/>
      <c r="J11" s="1823"/>
      <c r="K11" s="1823"/>
      <c r="L11" s="1823"/>
      <c r="M11" s="1823"/>
    </row>
    <row r="12" spans="2:14" ht="20.100000000000001" customHeight="1" x14ac:dyDescent="0.2">
      <c r="B12" s="2039" t="s">
        <v>2084</v>
      </c>
      <c r="C12" s="1824"/>
      <c r="D12" s="1825"/>
      <c r="E12" s="1826"/>
      <c r="F12" s="1826"/>
      <c r="G12" s="1826"/>
      <c r="H12" s="1826"/>
      <c r="I12" s="1826"/>
      <c r="J12" s="1826"/>
      <c r="K12" s="1826"/>
      <c r="L12" s="1823"/>
      <c r="M12" s="1826"/>
    </row>
    <row r="13" spans="2:14" ht="20.100000000000001" customHeight="1" x14ac:dyDescent="0.2">
      <c r="B13" s="2040" t="s">
        <v>2085</v>
      </c>
      <c r="C13" s="1824"/>
      <c r="D13" s="1825"/>
      <c r="E13" s="1826"/>
      <c r="F13" s="1826"/>
      <c r="G13" s="1826"/>
      <c r="H13" s="1826"/>
      <c r="I13" s="1826"/>
      <c r="J13" s="1826"/>
      <c r="K13" s="1826"/>
      <c r="L13" s="1823"/>
      <c r="M13" s="1826"/>
    </row>
    <row r="14" spans="2:14" ht="20.100000000000001" customHeight="1" x14ac:dyDescent="0.2">
      <c r="B14" s="2041" t="s">
        <v>1049</v>
      </c>
      <c r="C14" s="1824">
        <v>10.555</v>
      </c>
      <c r="D14" s="1825" t="s">
        <v>2107</v>
      </c>
      <c r="E14" s="1826"/>
      <c r="F14" s="1826">
        <v>79440</v>
      </c>
      <c r="G14" s="1826"/>
      <c r="H14" s="1826"/>
      <c r="I14" s="1826">
        <v>79440</v>
      </c>
      <c r="J14" s="1826"/>
      <c r="K14" s="1826"/>
      <c r="L14" s="1823">
        <f t="shared" ref="L14:L42" si="0">+G14+I14+K14</f>
        <v>79440</v>
      </c>
      <c r="M14" s="1826"/>
    </row>
    <row r="15" spans="2:14" ht="20.100000000000001" customHeight="1" x14ac:dyDescent="0.2">
      <c r="B15" s="2041" t="s">
        <v>1049</v>
      </c>
      <c r="C15" s="1824">
        <v>10.555</v>
      </c>
      <c r="D15" s="1825" t="s">
        <v>2108</v>
      </c>
      <c r="E15" s="1826">
        <v>116844</v>
      </c>
      <c r="F15" s="1826">
        <v>24738</v>
      </c>
      <c r="G15" s="1826">
        <v>116844</v>
      </c>
      <c r="H15" s="1826"/>
      <c r="I15" s="1826">
        <v>24738</v>
      </c>
      <c r="J15" s="1826"/>
      <c r="K15" s="1826"/>
      <c r="L15" s="1823">
        <f t="shared" si="0"/>
        <v>141582</v>
      </c>
      <c r="M15" s="1826"/>
    </row>
    <row r="16" spans="2:14" ht="20.100000000000001" customHeight="1" x14ac:dyDescent="0.2">
      <c r="B16" s="2041" t="s">
        <v>1050</v>
      </c>
      <c r="C16" s="1824">
        <v>10.553000000000001</v>
      </c>
      <c r="D16" s="1825" t="s">
        <v>2109</v>
      </c>
      <c r="E16" s="1826"/>
      <c r="F16" s="1826">
        <v>38192</v>
      </c>
      <c r="G16" s="1826"/>
      <c r="H16" s="1826"/>
      <c r="I16" s="1826">
        <v>38192</v>
      </c>
      <c r="J16" s="1826"/>
      <c r="K16" s="1826"/>
      <c r="L16" s="1823">
        <f t="shared" si="0"/>
        <v>38192</v>
      </c>
      <c r="M16" s="1826"/>
    </row>
    <row r="17" spans="2:13" ht="20.100000000000001" customHeight="1" x14ac:dyDescent="0.2">
      <c r="B17" s="2041" t="s">
        <v>1050</v>
      </c>
      <c r="C17" s="1824">
        <v>10.553000000000001</v>
      </c>
      <c r="D17" s="1825" t="s">
        <v>2110</v>
      </c>
      <c r="E17" s="1826">
        <v>55073</v>
      </c>
      <c r="F17" s="1826">
        <v>12027</v>
      </c>
      <c r="G17" s="1826">
        <v>55073</v>
      </c>
      <c r="H17" s="1826"/>
      <c r="I17" s="1826">
        <v>12027</v>
      </c>
      <c r="J17" s="1826"/>
      <c r="K17" s="1826"/>
      <c r="L17" s="1823">
        <f t="shared" si="0"/>
        <v>67100</v>
      </c>
      <c r="M17" s="1826"/>
    </row>
    <row r="18" spans="2:13" ht="20.100000000000001" customHeight="1" x14ac:dyDescent="0.2">
      <c r="B18" s="2042" t="s">
        <v>2086</v>
      </c>
      <c r="C18" s="1824"/>
      <c r="D18" s="1825"/>
      <c r="E18" s="1826">
        <f>SUM(E14:E17)</f>
        <v>171917</v>
      </c>
      <c r="F18" s="1826">
        <f>SUM(F14:F17)</f>
        <v>154397</v>
      </c>
      <c r="G18" s="1826">
        <f>SUM(G14:G17)</f>
        <v>171917</v>
      </c>
      <c r="H18" s="1826"/>
      <c r="I18" s="1826">
        <f>SUM(I14:I17)</f>
        <v>154397</v>
      </c>
      <c r="J18" s="1826"/>
      <c r="K18" s="1826"/>
      <c r="L18" s="1823">
        <f t="shared" si="0"/>
        <v>326314</v>
      </c>
      <c r="M18" s="1826"/>
    </row>
    <row r="19" spans="2:13" ht="20.100000000000001" customHeight="1" x14ac:dyDescent="0.2">
      <c r="B19" s="2042" t="s">
        <v>2087</v>
      </c>
      <c r="C19" s="1824"/>
      <c r="D19" s="1825"/>
      <c r="E19" s="1826">
        <f>SUM(E14:E17)</f>
        <v>171917</v>
      </c>
      <c r="F19" s="1826">
        <f>SUM(F14:F17)</f>
        <v>154397</v>
      </c>
      <c r="G19" s="1826">
        <f>SUM(G15:G17)</f>
        <v>171917</v>
      </c>
      <c r="H19" s="1826"/>
      <c r="I19" s="1826">
        <f>SUM(I14:I17)</f>
        <v>154397</v>
      </c>
      <c r="J19" s="1826"/>
      <c r="K19" s="1826"/>
      <c r="L19" s="1823">
        <f>+G19+I19+K19</f>
        <v>326314</v>
      </c>
      <c r="M19" s="1826"/>
    </row>
    <row r="20" spans="2:13" ht="6.75" customHeight="1" x14ac:dyDescent="0.2">
      <c r="B20" s="1113"/>
      <c r="C20" s="1824"/>
      <c r="D20" s="1825"/>
      <c r="E20" s="1826"/>
      <c r="F20" s="1826"/>
      <c r="G20" s="1826"/>
      <c r="H20" s="1826"/>
      <c r="I20" s="1826"/>
      <c r="J20" s="1826"/>
      <c r="K20" s="1826"/>
      <c r="L20" s="1823"/>
      <c r="M20" s="1826"/>
    </row>
    <row r="21" spans="2:13" ht="20.100000000000001" customHeight="1" x14ac:dyDescent="0.2">
      <c r="B21" s="1113" t="s">
        <v>2088</v>
      </c>
      <c r="C21" s="1824"/>
      <c r="D21" s="1825"/>
      <c r="E21" s="1826"/>
      <c r="F21" s="1826"/>
      <c r="G21" s="1826"/>
      <c r="H21" s="1826"/>
      <c r="I21" s="1826"/>
      <c r="J21" s="1826"/>
      <c r="K21" s="1826"/>
      <c r="L21" s="1823"/>
      <c r="M21" s="1826"/>
    </row>
    <row r="22" spans="2:13" ht="20.100000000000001" customHeight="1" x14ac:dyDescent="0.2">
      <c r="B22" s="2039" t="s">
        <v>2084</v>
      </c>
      <c r="C22" s="1824"/>
      <c r="D22" s="1825"/>
      <c r="E22" s="1826"/>
      <c r="F22" s="1826"/>
      <c r="G22" s="1826"/>
      <c r="H22" s="1826"/>
      <c r="I22" s="1826"/>
      <c r="J22" s="1826"/>
      <c r="K22" s="1826"/>
      <c r="L22" s="1823"/>
      <c r="M22" s="1826"/>
    </row>
    <row r="23" spans="2:13" ht="20.100000000000001" customHeight="1" x14ac:dyDescent="0.2">
      <c r="B23" s="2040" t="s">
        <v>2089</v>
      </c>
      <c r="C23" s="1824"/>
      <c r="D23" s="1825"/>
      <c r="E23" s="1826"/>
      <c r="F23" s="1826"/>
      <c r="G23" s="1826"/>
      <c r="H23" s="1826"/>
      <c r="I23" s="1826"/>
      <c r="J23" s="1826"/>
      <c r="K23" s="1826"/>
      <c r="L23" s="1823"/>
      <c r="M23" s="1826"/>
    </row>
    <row r="24" spans="2:13" ht="20.100000000000001" customHeight="1" x14ac:dyDescent="0.2">
      <c r="B24" s="2041" t="s">
        <v>2090</v>
      </c>
      <c r="C24" s="1824" t="s">
        <v>2111</v>
      </c>
      <c r="D24" s="1825" t="s">
        <v>2113</v>
      </c>
      <c r="E24" s="1826"/>
      <c r="F24" s="1826">
        <v>7466648</v>
      </c>
      <c r="G24" s="1826"/>
      <c r="H24" s="1826"/>
      <c r="I24" s="1826">
        <v>7466648</v>
      </c>
      <c r="J24" s="1826">
        <v>1127069</v>
      </c>
      <c r="K24" s="1826"/>
      <c r="L24" s="1823">
        <f>G24+I24+K24</f>
        <v>7466648</v>
      </c>
      <c r="M24" s="1826"/>
    </row>
    <row r="25" spans="2:13" ht="20.100000000000001" customHeight="1" x14ac:dyDescent="0.2">
      <c r="B25" s="2041" t="s">
        <v>2091</v>
      </c>
      <c r="C25" s="1824" t="s">
        <v>2112</v>
      </c>
      <c r="D25" s="1825" t="s">
        <v>2114</v>
      </c>
      <c r="E25" s="1826"/>
      <c r="F25" s="1826">
        <v>357926</v>
      </c>
      <c r="G25" s="1826"/>
      <c r="H25" s="1826"/>
      <c r="I25" s="1826">
        <v>357926</v>
      </c>
      <c r="J25" s="1826"/>
      <c r="K25" s="1826"/>
      <c r="L25" s="1823">
        <f>G25+I25+K25</f>
        <v>357926</v>
      </c>
      <c r="M25" s="1826"/>
    </row>
    <row r="26" spans="2:13" ht="20.100000000000001" customHeight="1" x14ac:dyDescent="0.2">
      <c r="B26" s="2041" t="s">
        <v>2092</v>
      </c>
      <c r="C26" s="1824"/>
      <c r="D26" s="1825"/>
      <c r="E26" s="1826"/>
      <c r="F26" s="1826">
        <f>SUM(F24:F25)</f>
        <v>7824574</v>
      </c>
      <c r="G26" s="1826"/>
      <c r="H26" s="1826"/>
      <c r="I26" s="1826">
        <f>SUM(I24:I25)</f>
        <v>7824574</v>
      </c>
      <c r="J26" s="1826">
        <f>SUM(J24:J25)</f>
        <v>1127069</v>
      </c>
      <c r="K26" s="1826"/>
      <c r="L26" s="1823">
        <f>SUM(L24:L25)</f>
        <v>7824574</v>
      </c>
      <c r="M26" s="1826"/>
    </row>
    <row r="27" spans="2:13" ht="20.100000000000001" customHeight="1" x14ac:dyDescent="0.2">
      <c r="B27" s="2041" t="s">
        <v>2093</v>
      </c>
      <c r="C27" s="1824"/>
      <c r="D27" s="1825"/>
      <c r="E27" s="1826"/>
      <c r="F27" s="1826">
        <f>SUM(F24:F25)</f>
        <v>7824574</v>
      </c>
      <c r="G27" s="1826"/>
      <c r="H27" s="1826"/>
      <c r="I27" s="1826">
        <f>SUM(I24:I25)</f>
        <v>7824574</v>
      </c>
      <c r="J27" s="1826">
        <f>SUM(J24:J25)</f>
        <v>1127069</v>
      </c>
      <c r="K27" s="1826"/>
      <c r="L27" s="1823">
        <f>SUM(L24:L25)</f>
        <v>7824574</v>
      </c>
      <c r="M27" s="1826"/>
    </row>
    <row r="28" spans="2:13" ht="6.75" customHeight="1" x14ac:dyDescent="0.2">
      <c r="B28" s="1113"/>
      <c r="C28" s="1824"/>
      <c r="D28" s="1825"/>
      <c r="E28" s="1826"/>
      <c r="F28" s="1826"/>
      <c r="G28" s="1826"/>
      <c r="H28" s="1826"/>
      <c r="I28" s="1826"/>
      <c r="J28" s="1826"/>
      <c r="K28" s="1826"/>
      <c r="L28" s="1823"/>
      <c r="M28" s="1826"/>
    </row>
    <row r="29" spans="2:13" ht="20.100000000000001" customHeight="1" x14ac:dyDescent="0.2">
      <c r="B29" s="2039" t="s">
        <v>2094</v>
      </c>
      <c r="C29" s="1824"/>
      <c r="D29" s="1825"/>
      <c r="E29" s="1826"/>
      <c r="F29" s="1826"/>
      <c r="G29" s="1826"/>
      <c r="H29" s="1826"/>
      <c r="I29" s="1826"/>
      <c r="J29" s="1826"/>
      <c r="K29" s="1826"/>
      <c r="L29" s="1823"/>
      <c r="M29" s="1826"/>
    </row>
    <row r="30" spans="2:13" ht="20.100000000000001" customHeight="1" x14ac:dyDescent="0.2">
      <c r="B30" s="2041" t="s">
        <v>2095</v>
      </c>
      <c r="C30" s="1824">
        <v>84.126000000000005</v>
      </c>
      <c r="D30" s="1825" t="s">
        <v>2115</v>
      </c>
      <c r="E30" s="1826"/>
      <c r="F30" s="1826">
        <v>259246</v>
      </c>
      <c r="G30" s="1826"/>
      <c r="H30" s="1826"/>
      <c r="I30" s="1826">
        <v>259246</v>
      </c>
      <c r="J30" s="1826"/>
      <c r="K30" s="1826"/>
      <c r="L30" s="1823">
        <f>G30+I30+K30</f>
        <v>259246</v>
      </c>
      <c r="M30" s="1826"/>
    </row>
    <row r="31" spans="2:13" ht="20.100000000000001" customHeight="1" x14ac:dyDescent="0.2">
      <c r="B31" s="2041" t="s">
        <v>2097</v>
      </c>
      <c r="C31" s="1824"/>
      <c r="D31" s="1825"/>
      <c r="E31" s="1826"/>
      <c r="F31" s="1826">
        <f>SUM(F30)</f>
        <v>259246</v>
      </c>
      <c r="G31" s="1826"/>
      <c r="H31" s="1826"/>
      <c r="I31" s="1826">
        <f>SUM(I30)</f>
        <v>259246</v>
      </c>
      <c r="J31" s="1826"/>
      <c r="K31" s="1826"/>
      <c r="L31" s="1823">
        <f>L30</f>
        <v>259246</v>
      </c>
      <c r="M31" s="1826"/>
    </row>
    <row r="32" spans="2:13" ht="20.100000000000001" customHeight="1" x14ac:dyDescent="0.2">
      <c r="B32" s="2041" t="s">
        <v>2096</v>
      </c>
      <c r="C32" s="1824"/>
      <c r="D32" s="1825"/>
      <c r="E32" s="1826"/>
      <c r="F32" s="1826">
        <f>F31+F27</f>
        <v>8083820</v>
      </c>
      <c r="G32" s="1826"/>
      <c r="H32" s="1826"/>
      <c r="I32" s="1826">
        <f>I27+I31</f>
        <v>8083820</v>
      </c>
      <c r="J32" s="1826">
        <f>J31+J27</f>
        <v>1127069</v>
      </c>
      <c r="K32" s="1826"/>
      <c r="L32" s="1823">
        <f>L27+L31</f>
        <v>8083820</v>
      </c>
      <c r="M32" s="1826"/>
    </row>
    <row r="33" spans="2:14" ht="6.75" customHeight="1" x14ac:dyDescent="0.2">
      <c r="B33" s="1113"/>
      <c r="C33" s="1824"/>
      <c r="D33" s="1825"/>
      <c r="E33" s="1826"/>
      <c r="F33" s="1826"/>
      <c r="G33" s="1826"/>
      <c r="H33" s="1826"/>
      <c r="I33" s="1826"/>
      <c r="J33" s="1826"/>
      <c r="K33" s="1826"/>
      <c r="L33" s="1823"/>
      <c r="M33" s="1826"/>
    </row>
    <row r="34" spans="2:14" ht="20.100000000000001" customHeight="1" x14ac:dyDescent="0.2">
      <c r="B34" s="1113" t="s">
        <v>2098</v>
      </c>
      <c r="C34" s="1824"/>
      <c r="D34" s="1825"/>
      <c r="E34" s="1826"/>
      <c r="F34" s="1826"/>
      <c r="G34" s="1826"/>
      <c r="H34" s="1826"/>
      <c r="I34" s="1826"/>
      <c r="J34" s="1826"/>
      <c r="K34" s="1826"/>
      <c r="L34" s="1823"/>
      <c r="M34" s="1826"/>
    </row>
    <row r="35" spans="2:14" ht="20.100000000000001" customHeight="1" x14ac:dyDescent="0.2">
      <c r="B35" s="2039" t="s">
        <v>2099</v>
      </c>
      <c r="C35" s="1824"/>
      <c r="D35" s="1825"/>
      <c r="E35" s="1826"/>
      <c r="F35" s="1826"/>
      <c r="G35" s="1826"/>
      <c r="H35" s="1826"/>
      <c r="I35" s="1826"/>
      <c r="J35" s="1826"/>
      <c r="K35" s="1826"/>
      <c r="L35" s="1823"/>
      <c r="M35" s="1826"/>
    </row>
    <row r="36" spans="2:14" ht="20.100000000000001" customHeight="1" x14ac:dyDescent="0.2">
      <c r="B36" s="2040" t="s">
        <v>2100</v>
      </c>
      <c r="C36" s="1824"/>
      <c r="D36" s="1825"/>
      <c r="E36" s="1826"/>
      <c r="F36" s="1826"/>
      <c r="G36" s="1826"/>
      <c r="H36" s="1826"/>
      <c r="I36" s="1826"/>
      <c r="J36" s="1826"/>
      <c r="K36" s="1826"/>
      <c r="L36" s="1823"/>
      <c r="M36" s="1826"/>
    </row>
    <row r="37" spans="2:14" ht="20.100000000000001" customHeight="1" x14ac:dyDescent="0.2">
      <c r="B37" s="2041" t="s">
        <v>2101</v>
      </c>
      <c r="C37" s="1824">
        <v>93.778000000000006</v>
      </c>
      <c r="D37" s="1825"/>
      <c r="E37" s="1826"/>
      <c r="F37" s="1826">
        <v>31023</v>
      </c>
      <c r="G37" s="1826"/>
      <c r="H37" s="1826"/>
      <c r="I37" s="1826">
        <f>F37</f>
        <v>31023</v>
      </c>
      <c r="J37" s="1826"/>
      <c r="K37" s="1826"/>
      <c r="L37" s="1823">
        <f>G37+I37+K37</f>
        <v>31023</v>
      </c>
      <c r="M37" s="1826"/>
    </row>
    <row r="38" spans="2:14" ht="20.100000000000001" customHeight="1" x14ac:dyDescent="0.2">
      <c r="B38" s="2041" t="s">
        <v>2102</v>
      </c>
      <c r="C38" s="1824"/>
      <c r="D38" s="1825"/>
      <c r="E38" s="1826"/>
      <c r="F38" s="1826">
        <f>F37</f>
        <v>31023</v>
      </c>
      <c r="G38" s="1826"/>
      <c r="H38" s="1826"/>
      <c r="I38" s="1826">
        <f>F38</f>
        <v>31023</v>
      </c>
      <c r="J38" s="1826"/>
      <c r="K38" s="1826"/>
      <c r="L38" s="1823">
        <f>I38</f>
        <v>31023</v>
      </c>
      <c r="M38" s="1826"/>
    </row>
    <row r="39" spans="2:14" ht="20.100000000000001" customHeight="1" x14ac:dyDescent="0.2">
      <c r="B39" s="2041" t="s">
        <v>2103</v>
      </c>
      <c r="C39" s="1824"/>
      <c r="D39" s="1825"/>
      <c r="E39" s="1826"/>
      <c r="F39" s="1826">
        <f>F37</f>
        <v>31023</v>
      </c>
      <c r="G39" s="1826"/>
      <c r="H39" s="1826"/>
      <c r="I39" s="1826">
        <f>I37</f>
        <v>31023</v>
      </c>
      <c r="J39" s="1826"/>
      <c r="K39" s="1826"/>
      <c r="L39" s="1823">
        <f>L37</f>
        <v>31023</v>
      </c>
      <c r="M39" s="1826"/>
    </row>
    <row r="40" spans="2:14" ht="20.100000000000001" customHeight="1" x14ac:dyDescent="0.2">
      <c r="B40" s="1113"/>
      <c r="C40" s="1824"/>
      <c r="D40" s="1825"/>
      <c r="E40" s="1826"/>
      <c r="F40" s="1826"/>
      <c r="G40" s="1826"/>
      <c r="H40" s="1826"/>
      <c r="I40" s="1826"/>
      <c r="J40" s="1826"/>
      <c r="K40" s="1826"/>
      <c r="L40" s="1823"/>
      <c r="M40" s="1826"/>
    </row>
    <row r="41" spans="2:14" ht="20.100000000000001" customHeight="1" x14ac:dyDescent="0.2">
      <c r="B41" s="1113" t="s">
        <v>2104</v>
      </c>
      <c r="C41" s="1824"/>
      <c r="D41" s="1825"/>
      <c r="E41" s="1826"/>
      <c r="F41" s="1826"/>
      <c r="G41" s="1826"/>
      <c r="H41" s="1826"/>
      <c r="I41" s="1826"/>
      <c r="J41" s="1826"/>
      <c r="K41" s="1826"/>
      <c r="L41" s="1823"/>
      <c r="M41" s="1826"/>
    </row>
    <row r="42" spans="2:14" ht="20.100000000000001" customHeight="1" x14ac:dyDescent="0.2">
      <c r="B42" s="2039" t="s">
        <v>2105</v>
      </c>
      <c r="C42" s="1824">
        <v>10.555</v>
      </c>
      <c r="D42" s="1825"/>
      <c r="E42" s="1826"/>
      <c r="F42" s="1826">
        <v>11096</v>
      </c>
      <c r="G42" s="1826"/>
      <c r="H42" s="1826"/>
      <c r="I42" s="1826">
        <f>F42</f>
        <v>11096</v>
      </c>
      <c r="J42" s="1826"/>
      <c r="K42" s="1826"/>
      <c r="L42" s="1823">
        <f t="shared" si="0"/>
        <v>11096</v>
      </c>
      <c r="M42" s="1826"/>
    </row>
    <row r="43" spans="2:14" ht="20.100000000000001" customHeight="1" x14ac:dyDescent="0.2">
      <c r="B43" s="2040" t="s">
        <v>2106</v>
      </c>
      <c r="C43" s="1824"/>
      <c r="D43" s="1825"/>
      <c r="E43" s="1826">
        <f>E19</f>
        <v>171917</v>
      </c>
      <c r="F43" s="1826">
        <f>F19+F32+F39+F42</f>
        <v>8280336</v>
      </c>
      <c r="G43" s="1826">
        <f>G19</f>
        <v>171917</v>
      </c>
      <c r="H43" s="1826"/>
      <c r="I43" s="1826">
        <f>I19+I32+I39+I42</f>
        <v>8280336</v>
      </c>
      <c r="J43" s="1826">
        <f>J19+J32+J39+J42</f>
        <v>1127069</v>
      </c>
      <c r="K43" s="1826"/>
      <c r="L43" s="1823">
        <f>L19+L32+L39+L42</f>
        <v>8452253</v>
      </c>
      <c r="M43" s="1826"/>
      <c r="N43" s="1114"/>
    </row>
    <row r="44" spans="2:14" ht="12.75" customHeight="1" x14ac:dyDescent="0.2">
      <c r="B44" s="1115"/>
      <c r="C44" s="1116"/>
      <c r="D44" s="1117"/>
      <c r="E44" s="1118"/>
      <c r="F44" s="1118"/>
      <c r="G44" s="1118"/>
      <c r="H44" s="1118"/>
      <c r="I44" s="1118"/>
      <c r="J44" s="1118"/>
      <c r="K44" s="1118"/>
      <c r="L44" s="1118"/>
      <c r="M44" s="1118"/>
      <c r="N44" s="1114"/>
    </row>
    <row r="45" spans="2:14" x14ac:dyDescent="0.2">
      <c r="B45" s="1033"/>
      <c r="C45" s="1119"/>
      <c r="D45" s="1120"/>
      <c r="E45" s="1033"/>
      <c r="F45" s="1033"/>
      <c r="G45" s="1026"/>
      <c r="H45" s="1026"/>
      <c r="I45" s="1026"/>
      <c r="J45" s="1026"/>
      <c r="K45" s="1026"/>
      <c r="L45" s="1026"/>
      <c r="M45" s="1033"/>
      <c r="N45" s="1114"/>
    </row>
    <row r="46" spans="2:14" ht="13.5" customHeight="1" x14ac:dyDescent="0.2">
      <c r="B46" s="1058" t="s">
        <v>1711</v>
      </c>
      <c r="C46" s="1119"/>
      <c r="D46" s="1120"/>
      <c r="E46" s="1033"/>
      <c r="F46" s="1033"/>
      <c r="G46" s="1026"/>
      <c r="H46" s="1026"/>
      <c r="I46" s="1026"/>
      <c r="J46" s="1026"/>
      <c r="K46" s="1026"/>
      <c r="L46" s="1026"/>
      <c r="M46" s="1033"/>
      <c r="N46" s="1114"/>
    </row>
    <row r="47" spans="2:14" ht="8.25" customHeight="1" x14ac:dyDescent="0.2">
      <c r="B47" s="1058"/>
      <c r="C47" s="1119"/>
      <c r="D47" s="1120"/>
      <c r="E47" s="1033"/>
      <c r="F47" s="1033"/>
      <c r="G47" s="1026"/>
      <c r="H47" s="1026"/>
      <c r="I47" s="1026"/>
      <c r="J47" s="1026"/>
      <c r="K47" s="1026"/>
      <c r="L47" s="1026"/>
      <c r="M47" s="1033"/>
      <c r="N47" s="1114"/>
    </row>
    <row r="48" spans="2:14" x14ac:dyDescent="0.2">
      <c r="B48" s="1121" t="s">
        <v>1809</v>
      </c>
      <c r="C48" s="1122"/>
      <c r="D48" s="1123"/>
      <c r="E48" s="1124"/>
      <c r="F48" s="1124"/>
      <c r="G48" s="1124"/>
      <c r="H48" s="1124"/>
      <c r="I48" s="295"/>
      <c r="J48" s="295"/>
    </row>
    <row r="49" spans="2:13" x14ac:dyDescent="0.2">
      <c r="B49" s="1053"/>
      <c r="C49" s="1125"/>
      <c r="D49" s="1126"/>
      <c r="E49" s="1054"/>
      <c r="F49" s="1054"/>
      <c r="G49" s="295"/>
      <c r="H49" s="295"/>
      <c r="I49" s="295"/>
      <c r="J49" s="295"/>
    </row>
    <row r="50" spans="2:13" ht="13.5" customHeight="1" x14ac:dyDescent="0.2">
      <c r="B50" s="1052" t="s">
        <v>1235</v>
      </c>
      <c r="G50" s="295"/>
      <c r="H50" s="295"/>
      <c r="I50" s="295"/>
      <c r="J50" s="295"/>
    </row>
    <row r="51" spans="2:13" ht="13.5" customHeight="1" x14ac:dyDescent="0.2">
      <c r="B51" s="1129"/>
      <c r="C51" s="1130"/>
      <c r="D51" s="1131"/>
      <c r="E51" s="1073"/>
      <c r="F51" s="1073"/>
      <c r="G51" s="1073"/>
      <c r="H51" s="1073"/>
      <c r="I51" s="1073"/>
      <c r="J51" s="1073"/>
      <c r="K51" s="1132"/>
      <c r="L51" s="1132"/>
      <c r="M51" s="1073"/>
    </row>
    <row r="52" spans="2:13" ht="9.6" customHeight="1" x14ac:dyDescent="0.2">
      <c r="B52" s="1133"/>
      <c r="G52" s="295"/>
      <c r="H52" s="295"/>
      <c r="I52" s="295"/>
      <c r="J52" s="295"/>
    </row>
    <row r="53" spans="2:13" ht="11.25" customHeight="1" x14ac:dyDescent="0.2">
      <c r="B53" s="1134" t="s">
        <v>1712</v>
      </c>
      <c r="C53" s="1135"/>
      <c r="D53" s="1135"/>
      <c r="E53" s="1135"/>
      <c r="F53" s="1135"/>
      <c r="G53" s="1135"/>
      <c r="H53" s="1135"/>
      <c r="I53" s="1136"/>
      <c r="J53" s="1136"/>
      <c r="K53" s="1136"/>
      <c r="L53" s="1136"/>
      <c r="M53" s="1136"/>
    </row>
    <row r="54" spans="2:13" ht="11.25" customHeight="1" x14ac:dyDescent="0.2">
      <c r="B54" s="1137" t="s">
        <v>1567</v>
      </c>
      <c r="C54" s="1136"/>
      <c r="D54" s="1136"/>
      <c r="E54" s="1136"/>
      <c r="F54" s="1136"/>
      <c r="G54" s="1136"/>
      <c r="H54" s="1136"/>
      <c r="I54" s="1136"/>
      <c r="J54" s="1136"/>
      <c r="K54" s="1136"/>
      <c r="L54" s="1136"/>
      <c r="M54" s="1136"/>
    </row>
    <row r="55" spans="2:13" ht="3.95" customHeight="1" x14ac:dyDescent="0.2">
      <c r="B55" s="1137"/>
      <c r="C55" s="1136"/>
      <c r="D55" s="1136"/>
      <c r="E55" s="1136"/>
      <c r="F55" s="1136"/>
      <c r="G55" s="1136"/>
      <c r="H55" s="1136"/>
      <c r="I55" s="1136"/>
      <c r="J55" s="1136"/>
      <c r="K55" s="1136"/>
      <c r="L55" s="1136"/>
      <c r="M55" s="1136"/>
    </row>
    <row r="56" spans="2:13" ht="11.25" customHeight="1" x14ac:dyDescent="0.2">
      <c r="B56" s="1134" t="s">
        <v>1713</v>
      </c>
      <c r="C56" s="1136"/>
      <c r="D56" s="1136"/>
      <c r="E56" s="1136"/>
      <c r="F56" s="1136"/>
      <c r="G56" s="1136"/>
      <c r="H56" s="1136"/>
      <c r="I56" s="1136"/>
      <c r="J56" s="1136"/>
      <c r="K56" s="1136"/>
      <c r="L56" s="1136"/>
      <c r="M56" s="1136"/>
    </row>
    <row r="57" spans="2:13" ht="11.25" customHeight="1" x14ac:dyDescent="0.2">
      <c r="B57" s="1076" t="s">
        <v>1568</v>
      </c>
      <c r="C57" s="1138"/>
      <c r="D57" s="1139"/>
      <c r="E57" s="1076"/>
      <c r="F57" s="1076"/>
      <c r="G57" s="1076"/>
      <c r="H57" s="1076"/>
      <c r="I57" s="1076"/>
      <c r="J57" s="1076"/>
      <c r="K57" s="1140"/>
      <c r="L57" s="1140"/>
      <c r="M57" s="1076"/>
    </row>
    <row r="58" spans="2:13" ht="3.95" customHeight="1" x14ac:dyDescent="0.2">
      <c r="B58" s="1076"/>
      <c r="C58" s="1138"/>
      <c r="D58" s="1139"/>
      <c r="E58" s="1076"/>
      <c r="F58" s="1076"/>
      <c r="G58" s="1076"/>
      <c r="H58" s="1076"/>
      <c r="I58" s="1076"/>
      <c r="J58" s="1076"/>
      <c r="K58" s="1140"/>
      <c r="L58" s="1140"/>
      <c r="M58" s="1076"/>
    </row>
    <row r="59" spans="2:13" ht="11.25" customHeight="1" x14ac:dyDescent="0.2">
      <c r="B59" s="1141" t="s">
        <v>1714</v>
      </c>
      <c r="C59" s="1138"/>
      <c r="D59" s="1139"/>
      <c r="E59" s="1076"/>
      <c r="F59" s="1076"/>
      <c r="G59" s="1076"/>
      <c r="H59" s="1076"/>
      <c r="I59" s="1076"/>
      <c r="J59" s="1076"/>
      <c r="K59" s="1140"/>
      <c r="L59" s="1140"/>
      <c r="M59" s="1076"/>
    </row>
    <row r="60" spans="2:13" ht="3.95" customHeight="1" x14ac:dyDescent="0.2">
      <c r="B60" s="1141"/>
      <c r="C60" s="1138"/>
      <c r="D60" s="1139"/>
      <c r="E60" s="1076"/>
      <c r="F60" s="1076"/>
      <c r="G60" s="1076"/>
      <c r="H60" s="1076"/>
      <c r="I60" s="1076"/>
      <c r="J60" s="1076"/>
      <c r="K60" s="1140"/>
      <c r="L60" s="1140"/>
      <c r="M60" s="1076"/>
    </row>
    <row r="61" spans="2:13" ht="11.25" customHeight="1" x14ac:dyDescent="0.2">
      <c r="B61" s="1142" t="s">
        <v>1715</v>
      </c>
      <c r="C61" s="1138"/>
      <c r="D61" s="1139"/>
      <c r="E61" s="1076"/>
      <c r="F61" s="1076"/>
      <c r="G61" s="1076"/>
      <c r="H61" s="1076"/>
      <c r="I61" s="1076"/>
      <c r="J61" s="1076"/>
      <c r="K61" s="1140"/>
      <c r="L61" s="1140"/>
      <c r="M61" s="1076"/>
    </row>
    <row r="62" spans="2:13" ht="11.25" customHeight="1" x14ac:dyDescent="0.2">
      <c r="B62" s="1076" t="s">
        <v>1569</v>
      </c>
      <c r="G62" s="295"/>
      <c r="H62" s="295"/>
      <c r="I62" s="295"/>
      <c r="J62" s="295"/>
    </row>
    <row r="63" spans="2:13" ht="11.1" customHeight="1" x14ac:dyDescent="0.2">
      <c r="B63" s="1076"/>
      <c r="G63" s="295"/>
      <c r="H63" s="295"/>
      <c r="I63" s="295"/>
      <c r="J63" s="295"/>
    </row>
    <row r="64" spans="2:13" ht="11.1" customHeight="1" x14ac:dyDescent="0.2">
      <c r="B64" s="1076"/>
      <c r="G64" s="295"/>
      <c r="H64" s="295"/>
      <c r="I64" s="295"/>
      <c r="J64" s="295"/>
    </row>
    <row r="65" spans="7:13" ht="13.5" customHeight="1" x14ac:dyDescent="0.2">
      <c r="M65" s="1143"/>
    </row>
    <row r="66" spans="7:13" ht="13.5" customHeight="1" x14ac:dyDescent="0.2">
      <c r="M66" s="1143"/>
    </row>
    <row r="67" spans="7:13" ht="13.5" customHeight="1" x14ac:dyDescent="0.2">
      <c r="M67" s="1143"/>
    </row>
    <row r="68" spans="7:13" ht="13.5" customHeight="1" x14ac:dyDescent="0.2">
      <c r="G68" s="295"/>
      <c r="H68" s="295"/>
      <c r="I68" s="295"/>
      <c r="J68" s="295"/>
    </row>
    <row r="69" spans="7:13" ht="13.5" customHeight="1" x14ac:dyDescent="0.2">
      <c r="G69" s="295"/>
      <c r="H69" s="295"/>
      <c r="I69" s="295"/>
      <c r="J69" s="295"/>
    </row>
    <row r="70" spans="7:13" ht="13.5" customHeight="1" x14ac:dyDescent="0.2">
      <c r="G70" s="295"/>
      <c r="H70" s="295"/>
      <c r="I70" s="295"/>
      <c r="J70" s="295"/>
    </row>
    <row r="71" spans="7:13" ht="13.5" customHeight="1" x14ac:dyDescent="0.2">
      <c r="G71" s="295"/>
      <c r="H71" s="295"/>
      <c r="I71" s="295"/>
      <c r="J71" s="295"/>
    </row>
    <row r="72" spans="7:13" ht="13.5" customHeight="1" x14ac:dyDescent="0.2">
      <c r="G72" s="295"/>
      <c r="H72" s="295"/>
      <c r="I72" s="295"/>
      <c r="J72" s="295"/>
    </row>
    <row r="73" spans="7:13" ht="13.5" customHeight="1" x14ac:dyDescent="0.2">
      <c r="G73" s="295"/>
      <c r="H73" s="295"/>
      <c r="I73" s="295"/>
      <c r="J73" s="295"/>
    </row>
    <row r="74" spans="7:13" ht="13.5" customHeight="1" x14ac:dyDescent="0.2">
      <c r="G74" s="295"/>
      <c r="H74" s="295"/>
      <c r="I74" s="295"/>
      <c r="J74" s="295"/>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pageSetUpPr fitToPage="1"/>
  </sheetPr>
  <dimension ref="A1:G59"/>
  <sheetViews>
    <sheetView showGridLines="0" topLeftCell="A29" zoomScale="120" zoomScaleNormal="120" workbookViewId="0">
      <selection activeCell="A40" sqref="A40"/>
    </sheetView>
  </sheetViews>
  <sheetFormatPr defaultColWidth="8" defaultRowHeight="12.75" x14ac:dyDescent="0.2"/>
  <cols>
    <col min="1" max="1" width="1.42578125" style="295" customWidth="1"/>
    <col min="2" max="2" width="56.85546875" style="295" customWidth="1"/>
    <col min="3" max="3" width="14" style="1034" customWidth="1"/>
    <col min="4" max="4" width="16.7109375" style="1034" customWidth="1"/>
    <col min="5" max="5" width="7.5703125" style="295" customWidth="1"/>
    <col min="6" max="6" width="4" style="295" customWidth="1"/>
    <col min="7" max="7" width="3.28515625" style="295" customWidth="1"/>
    <col min="8" max="16384" width="8" style="295"/>
  </cols>
  <sheetData>
    <row r="1" spans="1:7" ht="13.5" customHeight="1" x14ac:dyDescent="0.2">
      <c r="A1" s="2589" t="str">
        <f>'Single Audit Cover'!A7</f>
        <v>EASTERN ILLINOIS AREA OF SPECIAL EDUCATION</v>
      </c>
      <c r="B1" s="2589"/>
      <c r="C1" s="2589"/>
      <c r="D1" s="2589"/>
      <c r="E1" s="2589"/>
      <c r="F1" s="2589"/>
    </row>
    <row r="2" spans="1:7" ht="13.5" customHeight="1" x14ac:dyDescent="0.2">
      <c r="A2" s="2577" t="str">
        <f>'Single Audit Cover'!E7</f>
        <v>11-015-8010-60</v>
      </c>
      <c r="B2" s="2577"/>
      <c r="C2" s="2577"/>
      <c r="D2" s="2577"/>
      <c r="E2" s="2577"/>
      <c r="F2" s="2577"/>
      <c r="G2" s="1051"/>
    </row>
    <row r="3" spans="1:7" ht="15.75" customHeight="1" x14ac:dyDescent="0.2">
      <c r="A3" s="2590" t="s">
        <v>1260</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52" t="s">
        <v>1705</v>
      </c>
      <c r="C6" s="295"/>
      <c r="D6" s="295"/>
    </row>
    <row r="7" spans="1:7" ht="60.95" customHeight="1" x14ac:dyDescent="0.2">
      <c r="A7" s="2588" t="s">
        <v>2116</v>
      </c>
      <c r="B7" s="2588"/>
      <c r="C7" s="2588"/>
      <c r="D7" s="2588"/>
      <c r="E7" s="2588"/>
      <c r="F7" s="258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8" t="s">
        <v>2160</v>
      </c>
      <c r="B13" s="2588"/>
      <c r="C13" s="2588"/>
      <c r="D13" s="2588"/>
      <c r="E13" s="2588"/>
      <c r="F13" s="2588"/>
    </row>
    <row r="14" spans="1:7" ht="9.75" customHeight="1" x14ac:dyDescent="0.2">
      <c r="C14" s="1036"/>
      <c r="D14" s="1036"/>
    </row>
    <row r="15" spans="1:7" ht="13.5" customHeight="1" x14ac:dyDescent="0.2">
      <c r="C15" s="1476" t="s">
        <v>1259</v>
      </c>
      <c r="D15" s="2586" t="s">
        <v>1258</v>
      </c>
      <c r="E15" s="2586"/>
      <c r="F15" s="2586"/>
    </row>
    <row r="16" spans="1:7" ht="13.5" customHeight="1" x14ac:dyDescent="0.2">
      <c r="A16" s="1058"/>
      <c r="B16" s="1052" t="s">
        <v>1257</v>
      </c>
      <c r="C16" s="1476" t="s">
        <v>1256</v>
      </c>
      <c r="D16" s="2587" t="s">
        <v>1571</v>
      </c>
      <c r="E16" s="2587"/>
      <c r="F16" s="2587"/>
    </row>
    <row r="17" spans="1:6" ht="20.45" customHeight="1" x14ac:dyDescent="0.2">
      <c r="A17" s="1059"/>
      <c r="B17" s="1060" t="s">
        <v>2126</v>
      </c>
      <c r="C17" s="1061" t="s">
        <v>2111</v>
      </c>
      <c r="D17" s="2581">
        <v>50000</v>
      </c>
      <c r="E17" s="2581"/>
      <c r="F17" s="2581"/>
    </row>
    <row r="18" spans="1:6" ht="20.65" customHeight="1" x14ac:dyDescent="0.2">
      <c r="A18" s="1059"/>
      <c r="B18" s="1060" t="s">
        <v>2127</v>
      </c>
      <c r="C18" s="1061" t="s">
        <v>2111</v>
      </c>
      <c r="D18" s="2581">
        <v>33000</v>
      </c>
      <c r="E18" s="2581"/>
      <c r="F18" s="2581"/>
    </row>
    <row r="19" spans="1:6" ht="20.65" customHeight="1" x14ac:dyDescent="0.2">
      <c r="A19" s="1059"/>
      <c r="B19" s="1060" t="s">
        <v>2128</v>
      </c>
      <c r="C19" s="1061" t="s">
        <v>2111</v>
      </c>
      <c r="D19" s="2581">
        <v>69000</v>
      </c>
      <c r="E19" s="2581"/>
      <c r="F19" s="2581"/>
    </row>
    <row r="20" spans="1:6" ht="20.65" customHeight="1" x14ac:dyDescent="0.2">
      <c r="A20" s="1059"/>
      <c r="B20" s="1060" t="s">
        <v>2129</v>
      </c>
      <c r="C20" s="1061" t="s">
        <v>2111</v>
      </c>
      <c r="D20" s="2581">
        <v>227000</v>
      </c>
      <c r="E20" s="2581"/>
      <c r="F20" s="2581"/>
    </row>
    <row r="21" spans="1:6" ht="20.65" customHeight="1" x14ac:dyDescent="0.2">
      <c r="A21" s="1059"/>
      <c r="B21" s="1060" t="s">
        <v>2130</v>
      </c>
      <c r="C21" s="1061" t="s">
        <v>2111</v>
      </c>
      <c r="D21" s="2581">
        <v>26602</v>
      </c>
      <c r="E21" s="2581"/>
      <c r="F21" s="2581"/>
    </row>
    <row r="22" spans="1:6" ht="20.65" customHeight="1" x14ac:dyDescent="0.2">
      <c r="A22" s="1059"/>
      <c r="B22" s="1060" t="s">
        <v>2131</v>
      </c>
      <c r="C22" s="1061" t="s">
        <v>2111</v>
      </c>
      <c r="D22" s="2581">
        <v>52000</v>
      </c>
      <c r="E22" s="2581"/>
      <c r="F22" s="2581"/>
    </row>
    <row r="23" spans="1:6" ht="20.65" customHeight="1" x14ac:dyDescent="0.2">
      <c r="A23" s="1059"/>
      <c r="B23" s="1060" t="s">
        <v>2132</v>
      </c>
      <c r="C23" s="1061" t="s">
        <v>2111</v>
      </c>
      <c r="D23" s="2581">
        <v>23000</v>
      </c>
      <c r="E23" s="2581"/>
      <c r="F23" s="2581"/>
    </row>
    <row r="24" spans="1:6" ht="20.65" customHeight="1" x14ac:dyDescent="0.2">
      <c r="A24" s="1059"/>
      <c r="B24" s="1060" t="s">
        <v>2133</v>
      </c>
      <c r="C24" s="1061" t="s">
        <v>2111</v>
      </c>
      <c r="D24" s="2581">
        <v>113291</v>
      </c>
      <c r="E24" s="2581"/>
      <c r="F24" s="2581"/>
    </row>
    <row r="25" spans="1:6" ht="20.65" customHeight="1" x14ac:dyDescent="0.2">
      <c r="A25" s="1059"/>
      <c r="B25" s="1060" t="s">
        <v>2134</v>
      </c>
      <c r="C25" s="1061" t="s">
        <v>2111</v>
      </c>
      <c r="D25" s="2581">
        <v>29077</v>
      </c>
      <c r="E25" s="2581"/>
      <c r="F25" s="2581"/>
    </row>
    <row r="26" spans="1:6" ht="20.65" customHeight="1" x14ac:dyDescent="0.2">
      <c r="A26" s="1059"/>
      <c r="B26" s="1060" t="s">
        <v>2135</v>
      </c>
      <c r="C26" s="1061" t="s">
        <v>2111</v>
      </c>
      <c r="D26" s="2581">
        <v>32000</v>
      </c>
      <c r="E26" s="2581"/>
      <c r="F26" s="2581"/>
    </row>
    <row r="27" spans="1:6" ht="20.65" customHeight="1" x14ac:dyDescent="0.2">
      <c r="A27" s="1059"/>
      <c r="B27" s="1060" t="s">
        <v>2136</v>
      </c>
      <c r="C27" s="1061" t="s">
        <v>2111</v>
      </c>
      <c r="D27" s="2581">
        <v>6456</v>
      </c>
      <c r="E27" s="2581"/>
      <c r="F27" s="2581"/>
    </row>
    <row r="28" spans="1:6" ht="20.65" customHeight="1" x14ac:dyDescent="0.2">
      <c r="A28" s="1059"/>
      <c r="B28" s="1060" t="s">
        <v>2137</v>
      </c>
      <c r="C28" s="1061" t="s">
        <v>2111</v>
      </c>
      <c r="D28" s="2581">
        <v>70000</v>
      </c>
      <c r="E28" s="2581"/>
      <c r="F28" s="2581"/>
    </row>
    <row r="29" spans="1:6" ht="20.65" customHeight="1" x14ac:dyDescent="0.2">
      <c r="A29" s="1059"/>
      <c r="B29" s="1060" t="s">
        <v>2138</v>
      </c>
      <c r="C29" s="1061" t="s">
        <v>2111</v>
      </c>
      <c r="D29" s="2581">
        <v>71365</v>
      </c>
      <c r="E29" s="2581"/>
      <c r="F29" s="2581"/>
    </row>
    <row r="30" spans="1:6" ht="20.65" customHeight="1" x14ac:dyDescent="0.2">
      <c r="A30" s="1059"/>
      <c r="B30" s="1060" t="s">
        <v>2139</v>
      </c>
      <c r="C30" s="1061" t="s">
        <v>2111</v>
      </c>
      <c r="D30" s="2581">
        <v>55000</v>
      </c>
      <c r="E30" s="2581"/>
      <c r="F30" s="2581"/>
    </row>
    <row r="31" spans="1:6" ht="20.65" customHeight="1" x14ac:dyDescent="0.2">
      <c r="A31" s="1059"/>
      <c r="B31" s="1060" t="s">
        <v>2140</v>
      </c>
      <c r="C31" s="1061" t="s">
        <v>2111</v>
      </c>
      <c r="D31" s="2581">
        <v>21000</v>
      </c>
      <c r="E31" s="2581"/>
      <c r="F31" s="2581"/>
    </row>
    <row r="32" spans="1:6" ht="20.65" customHeight="1" x14ac:dyDescent="0.2">
      <c r="A32" s="1059"/>
      <c r="B32" s="1060" t="s">
        <v>2141</v>
      </c>
      <c r="C32" s="1061" t="s">
        <v>2111</v>
      </c>
      <c r="D32" s="2581">
        <v>41499</v>
      </c>
      <c r="E32" s="2581"/>
      <c r="F32" s="2581"/>
    </row>
    <row r="33" spans="1:6" ht="20.65" customHeight="1" x14ac:dyDescent="0.2">
      <c r="A33" s="1059"/>
      <c r="B33" s="1060" t="s">
        <v>2142</v>
      </c>
      <c r="C33" s="1061" t="s">
        <v>2111</v>
      </c>
      <c r="D33" s="2581">
        <v>156000</v>
      </c>
      <c r="E33" s="2581"/>
      <c r="F33" s="2581"/>
    </row>
    <row r="34" spans="1:6" ht="20.65" customHeight="1" x14ac:dyDescent="0.2">
      <c r="A34" s="1059"/>
      <c r="B34" s="1060" t="s">
        <v>2143</v>
      </c>
      <c r="C34" s="1061" t="s">
        <v>2111</v>
      </c>
      <c r="D34" s="2581">
        <v>17279</v>
      </c>
      <c r="E34" s="2581"/>
      <c r="F34" s="2581"/>
    </row>
    <row r="35" spans="1:6" ht="20.65" customHeight="1" x14ac:dyDescent="0.2">
      <c r="A35" s="1059"/>
      <c r="B35" s="1060" t="s">
        <v>2144</v>
      </c>
      <c r="C35" s="1061" t="s">
        <v>2111</v>
      </c>
      <c r="D35" s="2581">
        <v>33500</v>
      </c>
      <c r="E35" s="2581"/>
      <c r="F35" s="2581"/>
    </row>
    <row r="36" spans="1:6" ht="20.65" customHeight="1" x14ac:dyDescent="0.2">
      <c r="A36" s="1059"/>
      <c r="B36" s="1060" t="s">
        <v>155</v>
      </c>
      <c r="C36" s="1061"/>
      <c r="D36" s="2581">
        <f>SUM(D17:F35)</f>
        <v>1127069</v>
      </c>
      <c r="E36" s="2581"/>
      <c r="F36" s="2581"/>
    </row>
    <row r="37" spans="1:6" ht="12" customHeight="1" x14ac:dyDescent="0.2">
      <c r="A37" s="306"/>
      <c r="B37" s="306"/>
      <c r="C37" s="1233"/>
      <c r="D37" s="1526"/>
      <c r="E37" s="1062"/>
    </row>
    <row r="38" spans="1:6" ht="12" customHeight="1" x14ac:dyDescent="0.2">
      <c r="A38" s="1063" t="s">
        <v>1532</v>
      </c>
      <c r="B38" s="306"/>
      <c r="C38" s="1233"/>
      <c r="D38" s="1526"/>
      <c r="E38" s="1062"/>
    </row>
    <row r="39" spans="1:6" ht="30" customHeight="1" x14ac:dyDescent="0.2">
      <c r="A39" s="2582" t="s">
        <v>2164</v>
      </c>
      <c r="B39" s="2582"/>
      <c r="C39" s="2582"/>
      <c r="D39" s="2582"/>
      <c r="E39" s="2582"/>
      <c r="F39" s="2582"/>
    </row>
    <row r="40" spans="1:6" ht="13.5" customHeight="1" x14ac:dyDescent="0.2">
      <c r="A40" s="306" t="s">
        <v>1417</v>
      </c>
      <c r="B40" s="306"/>
      <c r="C40" s="1064">
        <v>11096</v>
      </c>
      <c r="D40" s="1526"/>
      <c r="E40" s="1062"/>
    </row>
    <row r="41" spans="1:6" ht="13.5" customHeight="1" x14ac:dyDescent="0.2">
      <c r="A41" s="306" t="s">
        <v>1808</v>
      </c>
      <c r="B41" s="306"/>
      <c r="C41" s="1065">
        <v>0</v>
      </c>
      <c r="D41" s="1526" t="s">
        <v>1572</v>
      </c>
      <c r="E41" s="2583">
        <f>+C40+C41</f>
        <v>11096</v>
      </c>
      <c r="F41" s="2584"/>
    </row>
    <row r="42" spans="1:6" ht="12" customHeight="1" x14ac:dyDescent="0.2">
      <c r="A42" s="306"/>
      <c r="B42" s="306"/>
      <c r="C42" s="1527"/>
      <c r="D42" s="1526"/>
      <c r="E42" s="1066"/>
      <c r="F42" s="1067"/>
    </row>
    <row r="43" spans="1:6" ht="13.5" customHeight="1" x14ac:dyDescent="0.2">
      <c r="A43" s="1063" t="s">
        <v>1533</v>
      </c>
      <c r="B43" s="306"/>
      <c r="C43" s="1233"/>
      <c r="D43" s="1526"/>
      <c r="E43" s="1062"/>
    </row>
    <row r="44" spans="1:6" ht="14.25" customHeight="1" x14ac:dyDescent="0.2">
      <c r="A44" s="306" t="s">
        <v>1467</v>
      </c>
      <c r="B44" s="306"/>
      <c r="C44" s="1528"/>
      <c r="D44" s="1526"/>
      <c r="E44" s="1062"/>
    </row>
    <row r="45" spans="1:6" ht="14.25" customHeight="1" x14ac:dyDescent="0.2">
      <c r="A45" s="306"/>
      <c r="B45" s="306" t="s">
        <v>1418</v>
      </c>
      <c r="C45" s="1068"/>
      <c r="D45" s="1526"/>
      <c r="E45" s="1062"/>
    </row>
    <row r="46" spans="1:6" ht="14.25" customHeight="1" x14ac:dyDescent="0.2">
      <c r="A46" s="306"/>
      <c r="B46" s="306" t="s">
        <v>1419</v>
      </c>
      <c r="C46" s="1068"/>
      <c r="D46" s="1526"/>
      <c r="E46" s="1062"/>
    </row>
    <row r="47" spans="1:6" ht="14.25" customHeight="1" x14ac:dyDescent="0.2">
      <c r="A47" s="306"/>
      <c r="B47" s="306" t="s">
        <v>1420</v>
      </c>
      <c r="C47" s="1068"/>
      <c r="D47" s="1526"/>
      <c r="E47" s="1062"/>
    </row>
    <row r="48" spans="1:6" ht="14.25" customHeight="1" x14ac:dyDescent="0.2">
      <c r="A48" s="306"/>
      <c r="B48" s="306" t="s">
        <v>1421</v>
      </c>
      <c r="C48" s="1068"/>
      <c r="D48" s="1526"/>
      <c r="E48" s="1062"/>
    </row>
    <row r="49" spans="1:6" ht="14.25" customHeight="1" x14ac:dyDescent="0.2">
      <c r="A49" s="306" t="s">
        <v>1422</v>
      </c>
      <c r="B49" s="306"/>
      <c r="C49" s="1524"/>
      <c r="D49" s="1526"/>
      <c r="E49" s="1062"/>
    </row>
    <row r="50" spans="1:6" ht="14.25" customHeight="1" x14ac:dyDescent="0.2">
      <c r="A50" s="306" t="s">
        <v>1423</v>
      </c>
      <c r="B50" s="306"/>
      <c r="C50" s="1069" t="s">
        <v>568</v>
      </c>
      <c r="D50" s="1526"/>
      <c r="E50" s="1062"/>
    </row>
    <row r="51" spans="1:6" ht="14.25" customHeight="1" x14ac:dyDescent="0.2">
      <c r="A51" s="306"/>
      <c r="B51" s="306"/>
      <c r="C51" s="1528" t="s">
        <v>1424</v>
      </c>
      <c r="D51" s="1526"/>
      <c r="E51" s="1062"/>
    </row>
    <row r="52" spans="1:6" ht="13.5" customHeight="1" x14ac:dyDescent="0.2">
      <c r="B52" s="300"/>
      <c r="C52" s="1070"/>
      <c r="D52" s="1070"/>
    </row>
    <row r="53" spans="1:6" x14ac:dyDescent="0.2">
      <c r="A53" s="1071" t="s">
        <v>1707</v>
      </c>
      <c r="C53" s="295"/>
      <c r="D53" s="295"/>
    </row>
    <row r="54" spans="1:6" s="300" customFormat="1" ht="11.25" customHeight="1" x14ac:dyDescent="0.2">
      <c r="A54" s="1072"/>
      <c r="B54" s="1073"/>
      <c r="C54" s="1073"/>
      <c r="D54" s="1073"/>
      <c r="E54" s="1073"/>
      <c r="F54" s="1073"/>
    </row>
    <row r="55" spans="1:6" s="300" customFormat="1" ht="6" customHeight="1" x14ac:dyDescent="0.2">
      <c r="A55" s="1074"/>
    </row>
    <row r="56" spans="1:6" s="1076" customFormat="1" ht="23.25" customHeight="1" x14ac:dyDescent="0.2">
      <c r="A56" s="1075">
        <v>5</v>
      </c>
      <c r="B56" s="2585" t="s">
        <v>1573</v>
      </c>
      <c r="C56" s="2585"/>
      <c r="D56" s="2585"/>
      <c r="E56" s="1168"/>
    </row>
    <row r="57" spans="1:6" s="1076" customFormat="1" ht="3.75" customHeight="1" x14ac:dyDescent="0.2">
      <c r="A57" s="1075"/>
      <c r="B57" s="1475"/>
      <c r="C57" s="1475"/>
      <c r="D57" s="1475"/>
      <c r="E57" s="1168"/>
    </row>
    <row r="58" spans="1:6" s="1076" customFormat="1" ht="20.25" customHeight="1" x14ac:dyDescent="0.2">
      <c r="A58" s="1077">
        <v>6</v>
      </c>
      <c r="B58" s="2580" t="s">
        <v>1534</v>
      </c>
      <c r="C58" s="2580"/>
      <c r="D58" s="2580"/>
    </row>
    <row r="59" spans="1:6" ht="14.25" customHeight="1" x14ac:dyDescent="0.2">
      <c r="A59" s="1077"/>
      <c r="B59" s="2580"/>
      <c r="C59" s="2580"/>
      <c r="D59" s="2580"/>
    </row>
  </sheetData>
  <mergeCells count="33">
    <mergeCell ref="A13:F13"/>
    <mergeCell ref="A7:F7"/>
    <mergeCell ref="A1:F1"/>
    <mergeCell ref="A2:F2"/>
    <mergeCell ref="A3:F3"/>
    <mergeCell ref="A4:F4"/>
    <mergeCell ref="D15:F15"/>
    <mergeCell ref="D16:F16"/>
    <mergeCell ref="D17:F17"/>
    <mergeCell ref="D18:F18"/>
    <mergeCell ref="D19:F19"/>
    <mergeCell ref="D20:F20"/>
    <mergeCell ref="D26:F26"/>
    <mergeCell ref="D27:F27"/>
    <mergeCell ref="D31:F31"/>
    <mergeCell ref="D22:F22"/>
    <mergeCell ref="D23:F23"/>
    <mergeCell ref="D24:F24"/>
    <mergeCell ref="D25:F25"/>
    <mergeCell ref="D21:F21"/>
    <mergeCell ref="D28:F28"/>
    <mergeCell ref="D29:F29"/>
    <mergeCell ref="D30:F30"/>
    <mergeCell ref="B58:D58"/>
    <mergeCell ref="B59:D59"/>
    <mergeCell ref="D32:F32"/>
    <mergeCell ref="D33:F33"/>
    <mergeCell ref="D36:F36"/>
    <mergeCell ref="A39:F39"/>
    <mergeCell ref="E41:F41"/>
    <mergeCell ref="B56:D56"/>
    <mergeCell ref="D35:F35"/>
    <mergeCell ref="D34:F34"/>
  </mergeCells>
  <pageMargins left="0.9" right="0.27" top="0.43" bottom="0" header="0.26" footer="0.5"/>
  <pageSetup scale="76"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32" colorId="8" zoomScaleNormal="100" workbookViewId="0">
      <selection activeCell="E52" sqref="E5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7" t="s">
        <v>1158</v>
      </c>
      <c r="B2" s="2167"/>
      <c r="C2" s="2167"/>
      <c r="D2" s="2167"/>
      <c r="E2" s="2167"/>
      <c r="F2" s="2167"/>
      <c r="G2" s="2167"/>
      <c r="H2" s="2167"/>
      <c r="I2" s="2167"/>
      <c r="J2" s="216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2048</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1" t="s">
        <v>1616</v>
      </c>
      <c r="B35" s="2182"/>
      <c r="C35" s="2182"/>
      <c r="D35" s="2182"/>
      <c r="E35" s="2183"/>
      <c r="F35" s="2183"/>
      <c r="G35" s="2183"/>
      <c r="H35" s="2183"/>
      <c r="I35" s="218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1" t="s">
        <v>310</v>
      </c>
      <c r="B47" s="2184"/>
      <c r="C47" s="2184"/>
      <c r="D47" s="2184"/>
      <c r="E47" s="2185"/>
      <c r="F47" s="2185"/>
      <c r="G47" s="2185"/>
      <c r="H47" s="2185"/>
      <c r="I47" s="218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2048</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8" t="s">
        <v>2161</v>
      </c>
      <c r="C57" s="2189"/>
      <c r="D57" s="2189"/>
      <c r="E57" s="2189"/>
      <c r="F57" s="2189"/>
      <c r="G57" s="2189"/>
      <c r="H57" s="2189"/>
      <c r="I57" s="2189"/>
      <c r="J57" s="2190"/>
    </row>
    <row r="58" spans="1:10" s="176" customFormat="1" x14ac:dyDescent="0.2">
      <c r="A58" s="248"/>
      <c r="B58" s="2191"/>
      <c r="C58" s="2192"/>
      <c r="D58" s="2192"/>
      <c r="E58" s="2192"/>
      <c r="F58" s="2192"/>
      <c r="G58" s="2192"/>
      <c r="H58" s="2192"/>
      <c r="I58" s="2192"/>
      <c r="J58" s="2193"/>
    </row>
    <row r="59" spans="1:10" s="176" customFormat="1" x14ac:dyDescent="0.2">
      <c r="A59" s="248"/>
      <c r="B59" s="2191"/>
      <c r="C59" s="2192"/>
      <c r="D59" s="2192"/>
      <c r="E59" s="2192"/>
      <c r="F59" s="2192"/>
      <c r="G59" s="2192"/>
      <c r="H59" s="2192"/>
      <c r="I59" s="2192"/>
      <c r="J59" s="2193"/>
    </row>
    <row r="60" spans="1:10" s="176" customFormat="1" x14ac:dyDescent="0.2">
      <c r="A60" s="248"/>
      <c r="B60" s="2191"/>
      <c r="C60" s="2192"/>
      <c r="D60" s="2192"/>
      <c r="E60" s="2192"/>
      <c r="F60" s="2192"/>
      <c r="G60" s="2192"/>
      <c r="H60" s="2192"/>
      <c r="I60" s="2192"/>
      <c r="J60" s="2193"/>
    </row>
    <row r="61" spans="1:10" s="176" customFormat="1" x14ac:dyDescent="0.2">
      <c r="A61" s="248"/>
      <c r="B61" s="2191"/>
      <c r="C61" s="2192"/>
      <c r="D61" s="2192"/>
      <c r="E61" s="2192"/>
      <c r="F61" s="2192"/>
      <c r="G61" s="2192"/>
      <c r="H61" s="2192"/>
      <c r="I61" s="2192"/>
      <c r="J61" s="2193"/>
    </row>
    <row r="62" spans="1:10" s="176" customFormat="1" x14ac:dyDescent="0.2">
      <c r="A62" s="248"/>
      <c r="B62" s="2191"/>
      <c r="C62" s="2192"/>
      <c r="D62" s="2192"/>
      <c r="E62" s="2192"/>
      <c r="F62" s="2192"/>
      <c r="G62" s="2192"/>
      <c r="H62" s="2192"/>
      <c r="I62" s="2192"/>
      <c r="J62" s="2193"/>
    </row>
    <row r="63" spans="1:10" s="176" customFormat="1" x14ac:dyDescent="0.2">
      <c r="A63" s="248"/>
      <c r="B63" s="2191"/>
      <c r="C63" s="2192"/>
      <c r="D63" s="2192"/>
      <c r="E63" s="2192"/>
      <c r="F63" s="2192"/>
      <c r="G63" s="2192"/>
      <c r="H63" s="2192"/>
      <c r="I63" s="2192"/>
      <c r="J63" s="2193"/>
    </row>
    <row r="64" spans="1:10" s="176" customFormat="1" x14ac:dyDescent="0.2">
      <c r="A64" s="248"/>
      <c r="B64" s="2191"/>
      <c r="C64" s="2192"/>
      <c r="D64" s="2192"/>
      <c r="E64" s="2192"/>
      <c r="F64" s="2192"/>
      <c r="G64" s="2192"/>
      <c r="H64" s="2192"/>
      <c r="I64" s="2192"/>
      <c r="J64" s="2193"/>
    </row>
    <row r="65" spans="1:11" s="176" customFormat="1" x14ac:dyDescent="0.2">
      <c r="A65" s="248"/>
      <c r="B65" s="2191"/>
      <c r="C65" s="2192"/>
      <c r="D65" s="2192"/>
      <c r="E65" s="2192"/>
      <c r="F65" s="2192"/>
      <c r="G65" s="2192"/>
      <c r="H65" s="2192"/>
      <c r="I65" s="2192"/>
      <c r="J65" s="2193"/>
    </row>
    <row r="66" spans="1:11" s="176" customFormat="1" x14ac:dyDescent="0.2">
      <c r="A66" s="248"/>
      <c r="B66" s="2191"/>
      <c r="C66" s="2192"/>
      <c r="D66" s="2192"/>
      <c r="E66" s="2192"/>
      <c r="F66" s="2192"/>
      <c r="G66" s="2192"/>
      <c r="H66" s="2192"/>
      <c r="I66" s="2192"/>
      <c r="J66" s="2193"/>
    </row>
    <row r="67" spans="1:11" s="176" customFormat="1" ht="9" customHeight="1" x14ac:dyDescent="0.2">
      <c r="A67" s="249"/>
      <c r="B67" s="2194"/>
      <c r="C67" s="2195"/>
      <c r="D67" s="2195"/>
      <c r="E67" s="2195"/>
      <c r="F67" s="2195"/>
      <c r="G67" s="2195"/>
      <c r="H67" s="2195"/>
      <c r="I67" s="2195"/>
      <c r="J67" s="219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1" t="s">
        <v>1312</v>
      </c>
      <c r="B70" s="2184"/>
      <c r="C70" s="2184"/>
      <c r="D70" s="2184"/>
      <c r="E70" s="2185"/>
      <c r="F70" s="2185"/>
      <c r="G70" s="2185"/>
      <c r="H70" s="2185"/>
      <c r="I70" s="218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6" t="s">
        <v>1309</v>
      </c>
      <c r="B83" s="2186"/>
      <c r="C83" s="2186"/>
      <c r="D83" s="218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7" t="s">
        <v>1986</v>
      </c>
      <c r="B85" s="2197"/>
      <c r="C85" s="2197"/>
      <c r="D85" s="219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9" t="s">
        <v>1986</v>
      </c>
      <c r="B88" s="2200"/>
      <c r="C88" s="2200"/>
      <c r="D88" s="2201"/>
      <c r="E88" s="1544"/>
      <c r="F88" s="1544"/>
      <c r="G88" s="1544"/>
      <c r="H88" s="1544">
        <v>117154</v>
      </c>
      <c r="I88" s="1904"/>
      <c r="J88" s="1727">
        <f>SUM(E88:I88)</f>
        <v>117154</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117154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8"/>
      <c r="C102" s="2169"/>
      <c r="D102" s="2169"/>
      <c r="E102" s="2169"/>
      <c r="F102" s="2169"/>
      <c r="G102" s="2169"/>
      <c r="H102" s="2169"/>
      <c r="I102" s="2170"/>
    </row>
    <row r="103" spans="1:9" s="176" customFormat="1" ht="11.25" customHeight="1" x14ac:dyDescent="0.2">
      <c r="A103" s="294"/>
      <c r="B103" s="2171"/>
      <c r="C103" s="2172"/>
      <c r="D103" s="2172"/>
      <c r="E103" s="2172"/>
      <c r="F103" s="2172"/>
      <c r="G103" s="2172"/>
      <c r="H103" s="2172"/>
      <c r="I103" s="2173"/>
    </row>
    <row r="104" spans="1:9" s="176" customFormat="1" ht="11.25" customHeight="1" x14ac:dyDescent="0.2">
      <c r="A104" s="294"/>
      <c r="B104" s="2171"/>
      <c r="C104" s="2172"/>
      <c r="D104" s="2172"/>
      <c r="E104" s="2172"/>
      <c r="F104" s="2172"/>
      <c r="G104" s="2172"/>
      <c r="H104" s="2172"/>
      <c r="I104" s="2173"/>
    </row>
    <row r="105" spans="1:9" s="176" customFormat="1" x14ac:dyDescent="0.2">
      <c r="A105" s="294"/>
      <c r="B105" s="2171"/>
      <c r="C105" s="2172"/>
      <c r="D105" s="2172"/>
      <c r="E105" s="2172"/>
      <c r="F105" s="2172"/>
      <c r="G105" s="2172"/>
      <c r="H105" s="2172"/>
      <c r="I105" s="2173"/>
    </row>
    <row r="106" spans="1:9" s="176" customFormat="1" ht="11.25" customHeight="1" x14ac:dyDescent="0.2">
      <c r="A106" s="294"/>
      <c r="B106" s="2171"/>
      <c r="C106" s="2172"/>
      <c r="D106" s="2172"/>
      <c r="E106" s="2172"/>
      <c r="F106" s="2172"/>
      <c r="G106" s="2172"/>
      <c r="H106" s="2172"/>
      <c r="I106" s="2173"/>
    </row>
    <row r="107" spans="1:9" s="176" customFormat="1" ht="11.25" customHeight="1" x14ac:dyDescent="0.2">
      <c r="A107" s="294"/>
      <c r="B107" s="2171"/>
      <c r="C107" s="2172"/>
      <c r="D107" s="2172"/>
      <c r="E107" s="2172"/>
      <c r="F107" s="2172"/>
      <c r="G107" s="2172"/>
      <c r="H107" s="2172"/>
      <c r="I107" s="2173"/>
    </row>
    <row r="108" spans="1:9" s="176" customFormat="1" ht="11.25" customHeight="1" x14ac:dyDescent="0.2">
      <c r="A108" s="294"/>
      <c r="B108" s="2171"/>
      <c r="C108" s="2172"/>
      <c r="D108" s="2172"/>
      <c r="E108" s="2172"/>
      <c r="F108" s="2172"/>
      <c r="G108" s="2172"/>
      <c r="H108" s="2172"/>
      <c r="I108" s="2173"/>
    </row>
    <row r="109" spans="1:9" s="176" customFormat="1" ht="11.25" customHeight="1" x14ac:dyDescent="0.2">
      <c r="A109" s="294"/>
      <c r="B109" s="2171"/>
      <c r="C109" s="2172"/>
      <c r="D109" s="2172"/>
      <c r="E109" s="2172"/>
      <c r="F109" s="2172"/>
      <c r="G109" s="2172"/>
      <c r="H109" s="2172"/>
      <c r="I109" s="2173"/>
    </row>
    <row r="110" spans="1:9" s="176" customFormat="1" ht="11.25" customHeight="1" x14ac:dyDescent="0.2">
      <c r="A110" s="294"/>
      <c r="B110" s="2171"/>
      <c r="C110" s="2172"/>
      <c r="D110" s="2172"/>
      <c r="E110" s="2172"/>
      <c r="F110" s="2172"/>
      <c r="G110" s="2172"/>
      <c r="H110" s="2172"/>
      <c r="I110" s="2173"/>
    </row>
    <row r="111" spans="1:9" s="176" customFormat="1" ht="11.25" customHeight="1" x14ac:dyDescent="0.2">
      <c r="A111" s="294"/>
      <c r="B111" s="2171"/>
      <c r="C111" s="2172"/>
      <c r="D111" s="2172"/>
      <c r="E111" s="2172"/>
      <c r="F111" s="2172"/>
      <c r="G111" s="2172"/>
      <c r="H111" s="2172"/>
      <c r="I111" s="2173"/>
    </row>
    <row r="112" spans="1:9" s="176" customFormat="1" ht="11.25" customHeight="1" x14ac:dyDescent="0.2">
      <c r="A112" s="294"/>
      <c r="B112" s="2174"/>
      <c r="C112" s="2175"/>
      <c r="D112" s="2175"/>
      <c r="E112" s="2175"/>
      <c r="F112" s="2175"/>
      <c r="G112" s="2175"/>
      <c r="H112" s="2175"/>
      <c r="I112" s="217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7" t="s">
        <v>2082</v>
      </c>
      <c r="D114" s="217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8" t="s">
        <v>1319</v>
      </c>
      <c r="D117" s="2179"/>
      <c r="E117" s="2180"/>
      <c r="F117" s="2180"/>
      <c r="G117" s="2180"/>
      <c r="H117" s="218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sheetPr>
  <dimension ref="A1:J63"/>
  <sheetViews>
    <sheetView showGridLines="0" topLeftCell="A25" zoomScale="110" zoomScaleNormal="110" workbookViewId="0">
      <selection activeCell="G18" sqref="G18"/>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EASTERN ILLINOIS AREA OF SPECIAL EDUCATION</v>
      </c>
      <c r="C1" s="2604"/>
      <c r="D1" s="2604"/>
      <c r="E1" s="2604"/>
      <c r="F1" s="2604"/>
      <c r="G1" s="2604"/>
      <c r="H1" s="2604"/>
      <c r="I1" s="2604"/>
      <c r="J1" s="1178"/>
    </row>
    <row r="2" spans="2:10" s="295" customFormat="1" ht="12.75" customHeight="1" x14ac:dyDescent="0.2">
      <c r="B2" s="2605" t="str">
        <f>'Single Audit Cover'!E7</f>
        <v>11-015-8010-60</v>
      </c>
      <c r="C2" s="2606"/>
      <c r="D2" s="2606"/>
      <c r="E2" s="2606"/>
      <c r="F2" s="2606"/>
      <c r="G2" s="2606"/>
      <c r="H2" s="2606"/>
      <c r="I2" s="2606"/>
      <c r="J2" s="1178"/>
    </row>
    <row r="3" spans="2:10" s="295" customFormat="1" ht="12.75" customHeight="1" x14ac:dyDescent="0.2">
      <c r="B3" s="2607" t="s">
        <v>1274</v>
      </c>
      <c r="C3" s="2608"/>
      <c r="D3" s="2608"/>
      <c r="E3" s="2608"/>
      <c r="F3" s="2608"/>
      <c r="G3" s="2608"/>
      <c r="H3" s="2608"/>
      <c r="I3" s="2608"/>
      <c r="J3" s="1179"/>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7" t="s">
        <v>1273</v>
      </c>
      <c r="C7" s="2608"/>
      <c r="D7" s="2608"/>
      <c r="E7" s="2608"/>
      <c r="F7" s="2608"/>
      <c r="G7" s="2608"/>
      <c r="H7" s="2608"/>
      <c r="I7" s="260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9" t="s">
        <v>1154</v>
      </c>
      <c r="D11" s="260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2048</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2048</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t="s">
        <v>2048</v>
      </c>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0" t="s">
        <v>2117</v>
      </c>
      <c r="E29" s="2610"/>
      <c r="F29" s="2610"/>
      <c r="G29" s="2610"/>
      <c r="H29" s="2610"/>
      <c r="I29" s="2610"/>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11" t="s">
        <v>1725</v>
      </c>
      <c r="D37" s="2612"/>
      <c r="E37" s="2612"/>
      <c r="F37" s="2613"/>
      <c r="G37" s="2611" t="s">
        <v>1575</v>
      </c>
      <c r="H37" s="2612"/>
      <c r="I37" s="2613"/>
    </row>
    <row r="38" spans="2:9" ht="16.5" customHeight="1" x14ac:dyDescent="0.2">
      <c r="B38" s="1200"/>
      <c r="C38" s="2599" t="s">
        <v>2118</v>
      </c>
      <c r="D38" s="2600"/>
      <c r="E38" s="2600"/>
      <c r="F38" s="2601"/>
      <c r="G38" s="2614"/>
      <c r="H38" s="2615"/>
      <c r="I38" s="2616"/>
    </row>
    <row r="39" spans="2:9" ht="16.5" customHeight="1" x14ac:dyDescent="0.2">
      <c r="B39" s="1200" t="s">
        <v>2111</v>
      </c>
      <c r="C39" s="2599" t="s">
        <v>2119</v>
      </c>
      <c r="D39" s="2600"/>
      <c r="E39" s="2600"/>
      <c r="F39" s="2601"/>
      <c r="G39" s="2602">
        <v>7466648</v>
      </c>
      <c r="H39" s="2602"/>
      <c r="I39" s="2602"/>
    </row>
    <row r="40" spans="2:9" ht="16.5" customHeight="1" x14ac:dyDescent="0.2">
      <c r="B40" s="1200" t="s">
        <v>2112</v>
      </c>
      <c r="C40" s="2599" t="s">
        <v>2120</v>
      </c>
      <c r="D40" s="2600"/>
      <c r="E40" s="2600"/>
      <c r="F40" s="2601"/>
      <c r="G40" s="2602">
        <v>357926</v>
      </c>
      <c r="H40" s="2602"/>
      <c r="I40" s="2602"/>
    </row>
    <row r="41" spans="2:9" ht="16.5" customHeight="1" x14ac:dyDescent="0.2">
      <c r="B41" s="1200"/>
      <c r="C41" s="2599"/>
      <c r="D41" s="2600"/>
      <c r="E41" s="2600"/>
      <c r="F41" s="2601"/>
      <c r="G41" s="2602"/>
      <c r="H41" s="2602"/>
      <c r="I41" s="2602"/>
    </row>
    <row r="42" spans="2:9" ht="16.5" customHeight="1" x14ac:dyDescent="0.2">
      <c r="B42" s="1200"/>
      <c r="C42" s="2599"/>
      <c r="D42" s="2600"/>
      <c r="E42" s="2600"/>
      <c r="F42" s="2601"/>
      <c r="G42" s="2602"/>
      <c r="H42" s="2602"/>
      <c r="I42" s="2602"/>
    </row>
    <row r="43" spans="2:9" ht="16.5" customHeight="1" x14ac:dyDescent="0.2">
      <c r="B43" s="1200"/>
      <c r="C43" s="2592" t="s">
        <v>1576</v>
      </c>
      <c r="D43" s="2593"/>
      <c r="E43" s="2593"/>
      <c r="F43" s="2594"/>
      <c r="G43" s="2595">
        <f>SUM(G38:I42)</f>
        <v>7824574</v>
      </c>
      <c r="H43" s="2595"/>
      <c r="I43" s="2595"/>
    </row>
    <row r="44" spans="2:9" ht="12.75" customHeight="1" x14ac:dyDescent="0.2"/>
    <row r="45" spans="2:9" ht="12.75" customHeight="1" x14ac:dyDescent="0.2">
      <c r="B45" s="1917" t="str">
        <f>"Total Federal Expenditures for 7/1/"&amp;MID('AFR20'!E2,3,2)-1&amp;"-6/30/"&amp;MID('AFR20'!E2,3,2)</f>
        <v>Total Federal Expenditures for 7/1/19-6/30/20</v>
      </c>
      <c r="C45" s="1918"/>
      <c r="D45" s="2596">
        <v>8280336</v>
      </c>
      <c r="E45" s="2597"/>
    </row>
    <row r="46" spans="2:9" ht="5.25" customHeight="1" x14ac:dyDescent="0.2">
      <c r="B46" s="1201"/>
      <c r="D46" s="1202"/>
      <c r="E46" s="1203"/>
    </row>
    <row r="47" spans="2:9" ht="12.75" customHeight="1" x14ac:dyDescent="0.2">
      <c r="B47" s="1076" t="s">
        <v>1577</v>
      </c>
      <c r="C47" s="1076"/>
      <c r="D47" s="1204">
        <f>+G43/D45</f>
        <v>0.94495851376079421</v>
      </c>
      <c r="E47" s="1205"/>
      <c r="F47" s="1206"/>
      <c r="I47" s="1207"/>
    </row>
    <row r="48" spans="2:9" ht="9.9499999999999993" customHeight="1" x14ac:dyDescent="0.2"/>
    <row r="49" spans="1:9" x14ac:dyDescent="0.2">
      <c r="B49" s="1138" t="s">
        <v>1262</v>
      </c>
      <c r="C49" s="1058"/>
      <c r="D49" s="1058"/>
      <c r="E49" s="2598">
        <v>750000</v>
      </c>
      <c r="F49" s="2598"/>
      <c r="G49" s="2598"/>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EASTERN ILLINOIS AREA OF SPECIAL EDUCATION</v>
      </c>
      <c r="C1" s="2603"/>
      <c r="D1" s="2603"/>
      <c r="E1" s="2603"/>
      <c r="F1" s="2603"/>
      <c r="G1" s="2603"/>
      <c r="H1" s="2603"/>
      <c r="I1" s="2603"/>
      <c r="J1" s="2603"/>
      <c r="K1" s="2603"/>
      <c r="L1" s="1144"/>
      <c r="M1" s="1144"/>
    </row>
    <row r="2" spans="1:13" ht="12" customHeight="1" x14ac:dyDescent="0.2">
      <c r="B2" s="2605" t="str">
        <f>'Single Audit Cover'!E7</f>
        <v>11-015-8010-60</v>
      </c>
      <c r="C2" s="2605"/>
      <c r="D2" s="2605"/>
      <c r="E2" s="2605"/>
      <c r="F2" s="2605"/>
      <c r="G2" s="2605"/>
      <c r="H2" s="2605"/>
      <c r="I2" s="2605"/>
      <c r="J2" s="2605"/>
      <c r="K2" s="2605"/>
      <c r="L2" s="1145"/>
      <c r="M2" s="1146"/>
    </row>
    <row r="3" spans="1:13" ht="10.35" customHeight="1" x14ac:dyDescent="0.2">
      <c r="B3" s="2619" t="s">
        <v>1274</v>
      </c>
      <c r="C3" s="2619"/>
      <c r="D3" s="2619"/>
      <c r="E3" s="2619"/>
      <c r="F3" s="2619"/>
      <c r="G3" s="2619"/>
      <c r="H3" s="2619"/>
      <c r="I3" s="2619"/>
      <c r="J3" s="2619"/>
      <c r="K3" s="2619"/>
      <c r="L3" s="1147"/>
      <c r="M3" s="1147"/>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1285</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6.5" customHeight="1" x14ac:dyDescent="0.2">
      <c r="B14" s="2618" t="s">
        <v>2162</v>
      </c>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8" t="s">
        <v>2163</v>
      </c>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2" t="s">
        <v>2071</v>
      </c>
      <c r="C20" s="2622"/>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75" customHeight="1" x14ac:dyDescent="0.2">
      <c r="B23" s="2618" t="s">
        <v>2157</v>
      </c>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8" t="s">
        <v>2165</v>
      </c>
      <c r="C26" s="2618"/>
      <c r="D26" s="2618"/>
      <c r="E26" s="2618"/>
      <c r="F26" s="2618"/>
      <c r="G26" s="2618"/>
      <c r="H26" s="2618"/>
      <c r="I26" s="2618"/>
      <c r="J26" s="2618"/>
      <c r="K26" s="261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7" t="s">
        <v>2158</v>
      </c>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33" customHeight="1" x14ac:dyDescent="0.2">
      <c r="B32" s="2617" t="s">
        <v>2166</v>
      </c>
      <c r="C32" s="2617"/>
      <c r="D32" s="2618"/>
      <c r="E32" s="2618"/>
      <c r="F32" s="2618"/>
      <c r="G32" s="2618"/>
      <c r="H32" s="2618"/>
      <c r="I32" s="2618"/>
      <c r="J32" s="2618"/>
      <c r="K32" s="261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2"/>
  <sheetViews>
    <sheetView showGridLines="0" view="pageLayout" topLeftCell="A19" zoomScaleNormal="110" workbookViewId="0">
      <selection activeCell="B34" sqref="B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EASTERN ILLINOIS AREA OF SPECIAL EDUCATION</v>
      </c>
      <c r="C1" s="2603"/>
      <c r="D1" s="2603"/>
      <c r="E1" s="2603"/>
      <c r="F1" s="2603"/>
      <c r="G1" s="2603"/>
      <c r="H1" s="2603"/>
      <c r="I1" s="2603"/>
      <c r="J1" s="2603"/>
      <c r="K1" s="2603"/>
      <c r="L1" s="1144"/>
      <c r="M1" s="1144"/>
    </row>
    <row r="2" spans="1:13" ht="12" customHeight="1" x14ac:dyDescent="0.2">
      <c r="B2" s="2605" t="str">
        <f>'Single Audit Cover'!E7</f>
        <v>11-015-8010-60</v>
      </c>
      <c r="C2" s="2605"/>
      <c r="D2" s="2605"/>
      <c r="E2" s="2605"/>
      <c r="F2" s="2605"/>
      <c r="G2" s="2605"/>
      <c r="H2" s="2605"/>
      <c r="I2" s="2605"/>
      <c r="J2" s="2605"/>
      <c r="K2" s="2605"/>
      <c r="L2" s="1145"/>
      <c r="M2" s="1146"/>
    </row>
    <row r="3" spans="1:13" ht="10.35" customHeight="1" x14ac:dyDescent="0.2">
      <c r="B3" s="2619" t="s">
        <v>1274</v>
      </c>
      <c r="C3" s="2619"/>
      <c r="D3" s="2619"/>
      <c r="E3" s="2619"/>
      <c r="F3" s="2619"/>
      <c r="G3" s="2619"/>
      <c r="H3" s="2619"/>
      <c r="I3" s="2619"/>
      <c r="J3" s="2619"/>
      <c r="K3" s="2619"/>
      <c r="L3" s="2046"/>
      <c r="M3" s="2046"/>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1285</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2</v>
      </c>
      <c r="E10" s="300"/>
      <c r="F10" s="1156" t="s">
        <v>1284</v>
      </c>
      <c r="G10" s="1157" t="s">
        <v>2048</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66.75" customHeight="1" x14ac:dyDescent="0.2">
      <c r="B14" s="2618" t="s">
        <v>2147</v>
      </c>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90.75" customHeight="1" x14ac:dyDescent="0.2">
      <c r="B17" s="2618" t="s">
        <v>2148</v>
      </c>
      <c r="C17" s="2618"/>
      <c r="D17" s="2618"/>
      <c r="E17" s="2618"/>
      <c r="F17" s="2618"/>
      <c r="G17" s="2618"/>
      <c r="H17" s="2618"/>
      <c r="I17" s="2618"/>
      <c r="J17" s="2618"/>
      <c r="K17" s="2618"/>
      <c r="L17" s="1151"/>
    </row>
    <row r="18" spans="2:12" ht="12.75" customHeight="1" x14ac:dyDescent="0.2">
      <c r="B18" s="2623" t="s">
        <v>2149</v>
      </c>
      <c r="C18" s="2623"/>
      <c r="D18" s="2623"/>
      <c r="E18" s="2623"/>
      <c r="F18" s="2623"/>
      <c r="G18" s="2623"/>
      <c r="H18" s="2623"/>
      <c r="I18" s="2623"/>
      <c r="J18" s="2623"/>
      <c r="K18" s="2623"/>
      <c r="L18" s="1151"/>
    </row>
    <row r="19" spans="2:12" ht="4.5" customHeight="1" x14ac:dyDescent="0.2">
      <c r="B19" s="1167"/>
      <c r="C19" s="1167"/>
      <c r="L19" s="1151"/>
    </row>
    <row r="20" spans="2:12" s="1058" customFormat="1" ht="13.5" customHeight="1" x14ac:dyDescent="0.2">
      <c r="B20" s="1162" t="s">
        <v>1717</v>
      </c>
      <c r="C20" s="1162"/>
      <c r="D20" s="1163"/>
      <c r="E20" s="1163"/>
      <c r="F20" s="1163"/>
      <c r="G20" s="1164"/>
      <c r="H20" s="1163"/>
      <c r="I20" s="1164"/>
      <c r="J20" s="1163"/>
      <c r="K20" s="1163"/>
      <c r="L20" s="1165"/>
    </row>
    <row r="21" spans="2:12" ht="40.5" customHeight="1" x14ac:dyDescent="0.2">
      <c r="B21" s="2622" t="s">
        <v>2071</v>
      </c>
      <c r="C21" s="2622"/>
      <c r="D21" s="2618"/>
      <c r="E21" s="2618"/>
      <c r="F21" s="2618"/>
      <c r="G21" s="2618"/>
      <c r="H21" s="2618"/>
      <c r="I21" s="2618"/>
      <c r="J21" s="2618"/>
      <c r="K21" s="2618"/>
      <c r="L21" s="1151"/>
    </row>
    <row r="22" spans="2:12" ht="4.5" customHeight="1" x14ac:dyDescent="0.2">
      <c r="B22" s="1169"/>
      <c r="C22" s="1169"/>
      <c r="L22" s="1151"/>
    </row>
    <row r="23" spans="2:12" ht="13.5" customHeight="1" x14ac:dyDescent="0.2">
      <c r="B23" s="1162" t="s">
        <v>1278</v>
      </c>
      <c r="C23" s="1162"/>
      <c r="D23" s="1149"/>
      <c r="E23" s="1149"/>
      <c r="F23" s="1149"/>
      <c r="G23" s="1150"/>
      <c r="H23" s="1149"/>
      <c r="I23" s="1150"/>
      <c r="J23" s="1149"/>
      <c r="K23" s="1149"/>
      <c r="L23" s="1151"/>
    </row>
    <row r="24" spans="2:12" ht="39.75" customHeight="1" x14ac:dyDescent="0.2">
      <c r="B24" s="2618" t="s">
        <v>2150</v>
      </c>
      <c r="C24" s="2618"/>
      <c r="D24" s="2618"/>
      <c r="E24" s="2618"/>
      <c r="F24" s="2618"/>
      <c r="G24" s="2618"/>
      <c r="H24" s="2618"/>
      <c r="I24" s="2618"/>
      <c r="J24" s="2618"/>
      <c r="K24" s="2618"/>
      <c r="L24" s="1151"/>
    </row>
    <row r="25" spans="2:12" ht="4.5" customHeight="1" x14ac:dyDescent="0.2">
      <c r="B25" s="1167"/>
      <c r="C25" s="1167"/>
      <c r="L25" s="1151"/>
    </row>
    <row r="26" spans="2:12" ht="13.5" customHeight="1" x14ac:dyDescent="0.2">
      <c r="B26" s="1162" t="s">
        <v>1277</v>
      </c>
      <c r="C26" s="1162"/>
      <c r="D26" s="1149"/>
      <c r="E26" s="1149"/>
      <c r="F26" s="1149"/>
      <c r="G26" s="1150"/>
      <c r="H26" s="1149"/>
      <c r="I26" s="1150"/>
      <c r="J26" s="1149"/>
      <c r="K26" s="1149"/>
      <c r="L26" s="1151"/>
    </row>
    <row r="27" spans="2:12" ht="42" customHeight="1" x14ac:dyDescent="0.2">
      <c r="B27" s="2618" t="s">
        <v>2167</v>
      </c>
      <c r="C27" s="2618"/>
      <c r="D27" s="2618"/>
      <c r="E27" s="2618"/>
      <c r="F27" s="2618"/>
      <c r="G27" s="2618"/>
      <c r="H27" s="2618"/>
      <c r="I27" s="2618"/>
      <c r="J27" s="2618"/>
      <c r="K27" s="2618"/>
      <c r="L27" s="1151"/>
    </row>
    <row r="28" spans="2:12" ht="4.5" customHeight="1" x14ac:dyDescent="0.2">
      <c r="B28" s="1167"/>
      <c r="C28" s="1167"/>
      <c r="L28" s="1151"/>
    </row>
    <row r="29" spans="2:12" ht="13.5" customHeight="1" x14ac:dyDescent="0.2">
      <c r="B29" s="1170" t="s">
        <v>1276</v>
      </c>
      <c r="C29" s="1170"/>
      <c r="D29" s="1149"/>
      <c r="E29" s="1149"/>
      <c r="F29" s="1149"/>
      <c r="G29" s="1150"/>
      <c r="H29" s="1149"/>
      <c r="I29" s="1150"/>
      <c r="J29" s="1149"/>
      <c r="K29" s="1149"/>
      <c r="L29" s="1151"/>
    </row>
    <row r="30" spans="2:12" ht="66.75" customHeight="1" x14ac:dyDescent="0.2">
      <c r="B30" s="2617" t="s">
        <v>2151</v>
      </c>
      <c r="C30" s="2617"/>
      <c r="D30" s="2618"/>
      <c r="E30" s="2618"/>
      <c r="F30" s="2618"/>
      <c r="G30" s="2618"/>
      <c r="H30" s="2618"/>
      <c r="I30" s="2618"/>
      <c r="J30" s="2618"/>
      <c r="K30" s="2618"/>
      <c r="L30" s="1151"/>
    </row>
    <row r="31" spans="2:12" ht="4.5" customHeight="1" x14ac:dyDescent="0.2">
      <c r="B31" s="1171"/>
      <c r="C31" s="1171"/>
      <c r="D31" s="300"/>
      <c r="E31" s="300"/>
      <c r="F31" s="300"/>
      <c r="G31" s="1153"/>
      <c r="H31" s="300"/>
      <c r="I31" s="1153"/>
      <c r="J31" s="300"/>
      <c r="K31" s="300"/>
      <c r="L31" s="1151"/>
    </row>
    <row r="32" spans="2:12" s="300" customFormat="1" ht="13.5" customHeight="1" x14ac:dyDescent="0.2">
      <c r="B32" s="1172" t="s">
        <v>1718</v>
      </c>
      <c r="C32" s="1172"/>
      <c r="D32" s="1148"/>
      <c r="E32" s="1149"/>
      <c r="F32" s="1149"/>
      <c r="G32" s="1150"/>
      <c r="H32" s="1149"/>
      <c r="I32" s="1150"/>
      <c r="J32" s="1149"/>
      <c r="K32" s="1149"/>
      <c r="L32" s="1151"/>
    </row>
    <row r="33" spans="1:13" s="300" customFormat="1" ht="33" customHeight="1" x14ac:dyDescent="0.2">
      <c r="B33" s="2617" t="s">
        <v>2168</v>
      </c>
      <c r="C33" s="2617"/>
      <c r="D33" s="2618"/>
      <c r="E33" s="2618"/>
      <c r="F33" s="2618"/>
      <c r="G33" s="2618"/>
      <c r="H33" s="2618"/>
      <c r="I33" s="2618"/>
      <c r="J33" s="2618"/>
      <c r="K33" s="2618"/>
      <c r="L33" s="1151"/>
    </row>
    <row r="34" spans="1:13" s="300" customFormat="1" ht="4.5" customHeight="1" x14ac:dyDescent="0.2">
      <c r="B34" s="1171"/>
      <c r="C34" s="1171"/>
      <c r="G34" s="1153"/>
      <c r="I34" s="1153"/>
      <c r="L34" s="1151"/>
    </row>
    <row r="35" spans="1:13" s="300" customFormat="1" x14ac:dyDescent="0.2">
      <c r="A35" s="1073"/>
      <c r="B35" s="1173"/>
      <c r="C35" s="1173"/>
      <c r="D35" s="1173"/>
      <c r="E35" s="1173"/>
      <c r="F35" s="1173"/>
      <c r="G35" s="1174"/>
      <c r="H35" s="1173"/>
      <c r="I35" s="1174"/>
      <c r="J35" s="1173"/>
      <c r="K35" s="1173"/>
      <c r="L35" s="1151"/>
    </row>
    <row r="36" spans="1:13" ht="11.85" customHeight="1" x14ac:dyDescent="0.2">
      <c r="B36" s="1175" t="s">
        <v>1719</v>
      </c>
      <c r="C36" s="1175"/>
      <c r="D36" s="300"/>
      <c r="E36" s="300"/>
      <c r="F36" s="300"/>
      <c r="L36" s="1151"/>
    </row>
    <row r="37" spans="1:13" ht="9.6" customHeight="1" x14ac:dyDescent="0.2">
      <c r="B37" s="1076" t="s">
        <v>1810</v>
      </c>
      <c r="C37" s="1076"/>
      <c r="L37" s="1151"/>
    </row>
    <row r="38" spans="1:13" ht="9.6" customHeight="1" x14ac:dyDescent="0.2">
      <c r="B38" s="1076" t="s">
        <v>1811</v>
      </c>
      <c r="C38" s="1076"/>
    </row>
    <row r="39" spans="1:13" ht="11.85" customHeight="1" x14ac:dyDescent="0.2">
      <c r="B39" s="1176" t="s">
        <v>1720</v>
      </c>
      <c r="C39" s="1176"/>
    </row>
    <row r="40" spans="1:13" ht="9.6" customHeight="1" x14ac:dyDescent="0.2">
      <c r="B40" s="1076" t="s">
        <v>1275</v>
      </c>
      <c r="C40" s="1076"/>
      <c r="M40" s="1177"/>
    </row>
    <row r="41" spans="1:13" ht="12.6" customHeight="1" x14ac:dyDescent="0.2">
      <c r="B41" s="1176" t="s">
        <v>1721</v>
      </c>
      <c r="C41" s="1176"/>
      <c r="M41" s="1177"/>
    </row>
    <row r="42" spans="1:13" ht="9.6" customHeight="1" x14ac:dyDescent="0.2">
      <c r="B42" s="1076"/>
      <c r="C42" s="1076"/>
      <c r="M42" s="1177"/>
    </row>
  </sheetData>
  <mergeCells count="13">
    <mergeCell ref="B24:K24"/>
    <mergeCell ref="B27:K27"/>
    <mergeCell ref="B30:K30"/>
    <mergeCell ref="B33:K33"/>
    <mergeCell ref="B17:K17"/>
    <mergeCell ref="B18:K18"/>
    <mergeCell ref="B21:K21"/>
    <mergeCell ref="B14:K14"/>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Layout" topLeftCell="A23"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EASTERN ILLINOIS AREA OF SPECIAL EDUCATION</v>
      </c>
      <c r="C1" s="2603"/>
      <c r="D1" s="2603"/>
      <c r="E1" s="2603"/>
      <c r="F1" s="2603"/>
      <c r="G1" s="2603"/>
      <c r="H1" s="2603"/>
      <c r="I1" s="2603"/>
      <c r="J1" s="2603"/>
      <c r="K1" s="2603"/>
      <c r="L1" s="1144"/>
      <c r="M1" s="1144"/>
    </row>
    <row r="2" spans="1:13" ht="12" customHeight="1" x14ac:dyDescent="0.2">
      <c r="B2" s="2605" t="str">
        <f>'Single Audit Cover'!E7</f>
        <v>11-015-8010-60</v>
      </c>
      <c r="C2" s="2605"/>
      <c r="D2" s="2605"/>
      <c r="E2" s="2605"/>
      <c r="F2" s="2605"/>
      <c r="G2" s="2605"/>
      <c r="H2" s="2605"/>
      <c r="I2" s="2605"/>
      <c r="J2" s="2605"/>
      <c r="K2" s="2605"/>
      <c r="L2" s="1145"/>
      <c r="M2" s="1146"/>
    </row>
    <row r="3" spans="1:13" ht="10.35" customHeight="1" x14ac:dyDescent="0.2">
      <c r="B3" s="2619" t="s">
        <v>1274</v>
      </c>
      <c r="C3" s="2619"/>
      <c r="D3" s="2619"/>
      <c r="E3" s="2619"/>
      <c r="F3" s="2619"/>
      <c r="G3" s="2619"/>
      <c r="H3" s="2619"/>
      <c r="I3" s="2619"/>
      <c r="J3" s="2619"/>
      <c r="K3" s="2619"/>
      <c r="L3" s="2046"/>
      <c r="M3" s="2046"/>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1285</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3</v>
      </c>
      <c r="E10" s="300"/>
      <c r="F10" s="1156" t="s">
        <v>1284</v>
      </c>
      <c r="G10" s="1157" t="s">
        <v>2048</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3.25" customHeight="1" x14ac:dyDescent="0.2">
      <c r="B14" s="2618" t="s">
        <v>2159</v>
      </c>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 customHeight="1" x14ac:dyDescent="0.2">
      <c r="B17" s="2618" t="s">
        <v>2154</v>
      </c>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2" t="s">
        <v>2071</v>
      </c>
      <c r="C20" s="2622"/>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8" t="s">
        <v>2152</v>
      </c>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8" t="s">
        <v>2169</v>
      </c>
      <c r="C26" s="2618"/>
      <c r="D26" s="2618"/>
      <c r="E26" s="2618"/>
      <c r="F26" s="2618"/>
      <c r="G26" s="2618"/>
      <c r="H26" s="2618"/>
      <c r="I26" s="2618"/>
      <c r="J26" s="2618"/>
      <c r="K26" s="261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 customHeight="1" x14ac:dyDescent="0.2">
      <c r="B29" s="2617" t="s">
        <v>2153</v>
      </c>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7" t="s">
        <v>2170</v>
      </c>
      <c r="C32" s="2617"/>
      <c r="D32" s="2618"/>
      <c r="E32" s="2618"/>
      <c r="F32" s="2618"/>
      <c r="G32" s="2618"/>
      <c r="H32" s="2618"/>
      <c r="I32" s="2618"/>
      <c r="J32" s="2618"/>
      <c r="K32" s="261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7:K17"/>
    <mergeCell ref="B20:K20"/>
    <mergeCell ref="B23:K23"/>
    <mergeCell ref="B26:K26"/>
    <mergeCell ref="B29:K29"/>
    <mergeCell ref="B14:K14"/>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sheetPr>
  <dimension ref="A1:L48"/>
  <sheetViews>
    <sheetView showGridLines="0" zoomScale="110" zoomScaleNormal="110" workbookViewId="0">
      <selection activeCell="P29" sqref="P2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EASTERN ILLINOIS AREA OF SPECIAL EDUCATION</v>
      </c>
      <c r="C1" s="2627"/>
      <c r="D1" s="2627"/>
      <c r="E1" s="2627"/>
      <c r="F1" s="2627"/>
      <c r="G1" s="2627"/>
      <c r="H1" s="2627"/>
      <c r="I1" s="2627"/>
      <c r="J1" s="2627"/>
      <c r="K1" s="2627"/>
      <c r="L1" s="1221"/>
    </row>
    <row r="2" spans="1:12" ht="12.75" customHeight="1" x14ac:dyDescent="0.2">
      <c r="B2" s="2628" t="str">
        <f>'Single Audit Cover'!E7</f>
        <v>11-015-8010-60</v>
      </c>
      <c r="C2" s="2628"/>
      <c r="D2" s="2628"/>
      <c r="E2" s="2628"/>
      <c r="F2" s="2628"/>
      <c r="G2" s="2628"/>
      <c r="H2" s="2628"/>
      <c r="I2" s="2628"/>
      <c r="J2" s="2628"/>
      <c r="K2" s="2628"/>
      <c r="L2" s="1222"/>
    </row>
    <row r="3" spans="1:12" ht="12.75" customHeight="1" x14ac:dyDescent="0.2">
      <c r="B3" s="2619" t="s">
        <v>1274</v>
      </c>
      <c r="C3" s="2619"/>
      <c r="D3" s="2619"/>
      <c r="E3" s="2619"/>
      <c r="F3" s="2619"/>
      <c r="G3" s="2619"/>
      <c r="H3" s="2619"/>
      <c r="I3" s="2619"/>
      <c r="J3" s="2619"/>
      <c r="K3" s="2619"/>
      <c r="L3" s="1147"/>
    </row>
    <row r="4" spans="1:12" ht="12.75" customHeight="1" x14ac:dyDescent="0.2">
      <c r="B4" s="2619" t="str">
        <f>'Single Audit Cover'!A4</f>
        <v>Year Ending June 30, 2020</v>
      </c>
      <c r="C4" s="2619"/>
      <c r="D4" s="2619"/>
      <c r="E4" s="2619"/>
      <c r="F4" s="2619"/>
      <c r="G4" s="2619"/>
      <c r="H4" s="2619"/>
      <c r="I4" s="2619"/>
      <c r="J4" s="2619"/>
      <c r="K4" s="2619"/>
      <c r="L4" s="1147"/>
    </row>
    <row r="5" spans="1:12" ht="5.25" customHeight="1" x14ac:dyDescent="0.2">
      <c r="B5" s="1036" t="s">
        <v>1159</v>
      </c>
      <c r="C5" s="1036"/>
      <c r="L5" s="300"/>
    </row>
    <row r="6" spans="1:12" ht="30.75" customHeight="1" x14ac:dyDescent="0.2">
      <c r="A6" s="300"/>
      <c r="B6" s="2629" t="s">
        <v>1297</v>
      </c>
      <c r="C6" s="2629"/>
      <c r="D6" s="2629"/>
      <c r="E6" s="2629"/>
      <c r="F6" s="2629"/>
      <c r="G6" s="2629"/>
      <c r="H6" s="2629"/>
      <c r="I6" s="2629"/>
      <c r="J6" s="2629"/>
      <c r="K6" s="2629"/>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2071</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0"/>
      <c r="G12" s="2610"/>
      <c r="H12" s="2610"/>
      <c r="I12" s="2610"/>
      <c r="J12" s="2610"/>
      <c r="K12" s="261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4"/>
      <c r="E14" s="2624"/>
      <c r="F14" s="2624"/>
      <c r="H14" s="1230" t="s">
        <v>1292</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5"/>
      <c r="E16" s="2625"/>
      <c r="F16" s="2625"/>
      <c r="G16" s="2625"/>
      <c r="H16" s="2625"/>
      <c r="I16" s="2625"/>
      <c r="J16" s="2625"/>
      <c r="K16" s="2625"/>
      <c r="L16" s="300"/>
    </row>
    <row r="17" spans="2:12" ht="13.5" customHeight="1" x14ac:dyDescent="0.2">
      <c r="B17" s="1156" t="s">
        <v>1290</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8"/>
      <c r="C20" s="2618"/>
      <c r="D20" s="2618"/>
      <c r="E20" s="2618"/>
      <c r="F20" s="2618"/>
      <c r="G20" s="2618"/>
      <c r="H20" s="2618"/>
      <c r="I20" s="2618"/>
      <c r="J20" s="2618"/>
      <c r="K20" s="261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sheetPr>
  <dimension ref="B1:E73"/>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3" t="str">
        <f>'Single Audit Cover'!A7</f>
        <v>EASTERN ILLINOIS AREA OF SPECIAL EDUCATION</v>
      </c>
      <c r="C1" s="2603"/>
      <c r="D1" s="2603"/>
      <c r="E1" s="1240"/>
    </row>
    <row r="2" spans="2:5" s="1058" customFormat="1" ht="12.75" customHeight="1" x14ac:dyDescent="0.2">
      <c r="B2" s="2605" t="str">
        <f>'Single Audit Cover'!E7</f>
        <v>11-015-8010-60</v>
      </c>
      <c r="C2" s="2605"/>
      <c r="D2" s="2605"/>
      <c r="E2" s="1241"/>
    </row>
    <row r="3" spans="2:5" ht="12.75" customHeight="1" x14ac:dyDescent="0.2">
      <c r="B3" s="2619" t="s">
        <v>1740</v>
      </c>
      <c r="C3" s="2619"/>
      <c r="D3" s="2619"/>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2045" t="s">
        <v>2125</v>
      </c>
      <c r="C7" s="2044" t="s">
        <v>2121</v>
      </c>
      <c r="D7" s="2043" t="s">
        <v>2155</v>
      </c>
      <c r="E7" s="302"/>
    </row>
    <row r="8" spans="2:5" ht="13.5" customHeight="1" x14ac:dyDescent="0.2">
      <c r="B8" s="1245"/>
      <c r="C8" s="2044" t="s">
        <v>2122</v>
      </c>
      <c r="D8" s="302"/>
      <c r="E8" s="302"/>
    </row>
    <row r="9" spans="2:5" ht="13.5" customHeight="1" x14ac:dyDescent="0.2">
      <c r="B9" s="1246"/>
      <c r="C9" s="2044" t="s">
        <v>2123</v>
      </c>
      <c r="D9" s="301"/>
      <c r="E9" s="301"/>
    </row>
    <row r="10" spans="2:5" ht="13.5" customHeight="1" x14ac:dyDescent="0.2">
      <c r="B10" s="1245"/>
      <c r="C10" s="2044" t="s">
        <v>2124</v>
      </c>
      <c r="D10" s="301"/>
      <c r="E10" s="301"/>
    </row>
    <row r="11" spans="2:5" ht="13.5" customHeight="1" x14ac:dyDescent="0.2">
      <c r="B11" s="1245"/>
      <c r="C11" s="301"/>
      <c r="D11" s="301"/>
      <c r="E11" s="301"/>
    </row>
    <row r="12" spans="2:5" ht="13.5" customHeight="1" x14ac:dyDescent="0.2">
      <c r="B12" s="1245"/>
      <c r="D12" s="301"/>
      <c r="E12" s="301"/>
    </row>
    <row r="13" spans="2:5" ht="13.5" customHeight="1" x14ac:dyDescent="0.2">
      <c r="B13" s="1245"/>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colorId="8" zoomScaleNormal="110" workbookViewId="0">
      <selection activeCell="F67" sqref="F6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2" t="s">
        <v>383</v>
      </c>
      <c r="B1" s="2202"/>
      <c r="C1" s="2202"/>
      <c r="D1" s="2202"/>
      <c r="E1" s="2202"/>
      <c r="F1" s="2202"/>
      <c r="G1" s="2202"/>
      <c r="H1" s="2202"/>
      <c r="I1" s="2202"/>
      <c r="J1" s="2202"/>
      <c r="K1" s="2202"/>
      <c r="L1" s="2202"/>
      <c r="M1" s="220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12" t="str">
        <f>IF(SUM(J10)&lt;=0.0999999,"","Enter the Tax Rates by moving the decimal two places to the left.")</f>
        <v/>
      </c>
      <c r="E11" s="2213"/>
      <c r="F11" s="2213"/>
      <c r="G11" s="2213"/>
      <c r="H11" s="2213"/>
      <c r="I11" s="2213"/>
      <c r="J11" s="221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19045556</v>
      </c>
      <c r="E16" s="1547"/>
      <c r="F16" s="1546">
        <f>SUM('Acct Summary 7-8'!C17,'Acct Summary 7-8'!D17,'Acct Summary 7-8'!F17)</f>
        <v>18403377</v>
      </c>
      <c r="G16" s="1547"/>
      <c r="H16" s="1546">
        <f>SUM(D16-F16)</f>
        <v>642179</v>
      </c>
      <c r="I16" s="1548"/>
      <c r="J16" s="1546">
        <f>SUM('Acct Summary 7-8'!C81,'Acct Summary 7-8'!D81,'Acct Summary 7-8'!F81,'Acct Summary 7-8'!I81)</f>
        <v>5533421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3"/>
      <c r="C54" s="2204"/>
      <c r="D54" s="2204"/>
      <c r="E54" s="2204"/>
      <c r="F54" s="2204"/>
      <c r="G54" s="2204"/>
      <c r="H54" s="2204"/>
      <c r="I54" s="2204"/>
      <c r="J54" s="2204"/>
      <c r="K54" s="2204"/>
      <c r="L54" s="2205"/>
      <c r="M54" s="357"/>
    </row>
    <row r="55" spans="1:13" ht="12.75" customHeight="1" x14ac:dyDescent="0.2">
      <c r="B55" s="2206"/>
      <c r="C55" s="2207"/>
      <c r="D55" s="2207"/>
      <c r="E55" s="2207"/>
      <c r="F55" s="2207"/>
      <c r="G55" s="2207"/>
      <c r="H55" s="2207"/>
      <c r="I55" s="2207"/>
      <c r="J55" s="2207"/>
      <c r="K55" s="2207"/>
      <c r="L55" s="2208"/>
      <c r="M55" s="357"/>
    </row>
    <row r="56" spans="1:13" ht="12.75" customHeight="1" x14ac:dyDescent="0.2">
      <c r="B56" s="2206"/>
      <c r="C56" s="2207"/>
      <c r="D56" s="2207"/>
      <c r="E56" s="2207"/>
      <c r="F56" s="2207"/>
      <c r="G56" s="2207"/>
      <c r="H56" s="2207"/>
      <c r="I56" s="2207"/>
      <c r="J56" s="2207"/>
      <c r="K56" s="2207"/>
      <c r="L56" s="2208"/>
      <c r="M56" s="217"/>
    </row>
    <row r="57" spans="1:13" ht="12.75" customHeight="1" x14ac:dyDescent="0.2">
      <c r="B57" s="2206"/>
      <c r="C57" s="2207"/>
      <c r="D57" s="2207"/>
      <c r="E57" s="2207"/>
      <c r="F57" s="2207"/>
      <c r="G57" s="2207"/>
      <c r="H57" s="2207"/>
      <c r="I57" s="2207"/>
      <c r="J57" s="2207"/>
      <c r="K57" s="2207"/>
      <c r="L57" s="2208"/>
      <c r="M57" s="217"/>
    </row>
    <row r="58" spans="1:13" x14ac:dyDescent="0.2">
      <c r="B58" s="2209"/>
      <c r="C58" s="2210"/>
      <c r="D58" s="2210"/>
      <c r="E58" s="2210"/>
      <c r="F58" s="2210"/>
      <c r="G58" s="2210"/>
      <c r="H58" s="2210"/>
      <c r="I58" s="2210"/>
      <c r="J58" s="2210"/>
      <c r="K58" s="2210"/>
      <c r="L58" s="221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4"/>
      <c r="D61" s="221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27"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7"/>
      <c r="B1" s="2218"/>
      <c r="C1" s="2218"/>
      <c r="D1" s="361"/>
      <c r="E1" s="361"/>
      <c r="F1" s="361"/>
      <c r="G1" s="361"/>
      <c r="H1" s="361"/>
      <c r="I1" s="361"/>
      <c r="J1" s="361"/>
      <c r="K1" s="361"/>
      <c r="L1" s="361"/>
      <c r="M1" s="361"/>
      <c r="N1" s="361"/>
      <c r="O1" s="2217"/>
      <c r="P1" s="2218"/>
      <c r="Q1" s="2218"/>
    </row>
    <row r="2" spans="1:18" ht="15" x14ac:dyDescent="0.2">
      <c r="A2" s="2221" t="s">
        <v>552</v>
      </c>
      <c r="B2" s="2221"/>
      <c r="C2" s="2221"/>
      <c r="D2" s="2221"/>
      <c r="E2" s="2221"/>
      <c r="F2" s="2221"/>
      <c r="G2" s="2221"/>
      <c r="H2" s="2221"/>
      <c r="I2" s="2221"/>
      <c r="J2" s="2221"/>
      <c r="K2" s="2221"/>
      <c r="L2" s="2221"/>
      <c r="M2" s="2221"/>
      <c r="N2" s="2221"/>
      <c r="O2" s="2221"/>
      <c r="P2" s="2221"/>
      <c r="Q2" s="2221"/>
      <c r="R2" s="2221"/>
    </row>
    <row r="3" spans="1:18" ht="12.75" x14ac:dyDescent="0.2">
      <c r="A3" s="2222" t="s">
        <v>1396</v>
      </c>
      <c r="B3" s="2222"/>
      <c r="C3" s="2222"/>
      <c r="D3" s="2222"/>
      <c r="E3" s="2222"/>
      <c r="F3" s="2222"/>
      <c r="G3" s="2222"/>
      <c r="H3" s="2222"/>
      <c r="I3" s="2222"/>
      <c r="J3" s="2222"/>
      <c r="K3" s="2222"/>
      <c r="L3" s="2222"/>
      <c r="M3" s="2222"/>
      <c r="N3" s="2222"/>
      <c r="O3" s="2222"/>
      <c r="P3" s="2222"/>
      <c r="Q3" s="2222"/>
      <c r="R3" s="2222"/>
    </row>
    <row r="4" spans="1:18" x14ac:dyDescent="0.2">
      <c r="A4" s="2223" t="s">
        <v>1537</v>
      </c>
      <c r="B4" s="2223"/>
      <c r="C4" s="2223"/>
      <c r="D4" s="2223"/>
      <c r="E4" s="2223"/>
      <c r="F4" s="2223"/>
      <c r="G4" s="2223"/>
      <c r="H4" s="2223"/>
      <c r="I4" s="2223"/>
      <c r="J4" s="2223"/>
      <c r="K4" s="2223"/>
      <c r="L4" s="2223"/>
      <c r="M4" s="2223"/>
      <c r="N4" s="2223"/>
      <c r="O4" s="2223"/>
      <c r="P4" s="2223"/>
      <c r="Q4" s="2223"/>
      <c r="R4" s="222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EASTERN ILLINOIS AREA OF SPECIAL EDUCATION</v>
      </c>
      <c r="E7" s="368"/>
      <c r="G7" s="247"/>
      <c r="H7" s="364"/>
      <c r="I7" s="364"/>
      <c r="J7" s="364"/>
      <c r="K7" s="364"/>
      <c r="L7" s="307"/>
      <c r="M7" s="307"/>
      <c r="N7" s="307"/>
      <c r="O7" s="307"/>
      <c r="P7" s="307"/>
    </row>
    <row r="8" spans="1:18" ht="12.75" x14ac:dyDescent="0.2">
      <c r="A8" s="307"/>
      <c r="B8" s="307"/>
      <c r="C8" s="366" t="s">
        <v>1115</v>
      </c>
      <c r="D8" s="369" t="str">
        <f>COVER!A13</f>
        <v>11-015-8010-60</v>
      </c>
      <c r="E8" s="370"/>
      <c r="G8" s="307"/>
      <c r="H8" s="307"/>
      <c r="I8" s="307"/>
      <c r="J8" s="307"/>
      <c r="K8" s="307"/>
      <c r="L8" s="307"/>
      <c r="M8" s="307"/>
      <c r="N8" s="307"/>
      <c r="O8" s="307"/>
      <c r="P8" s="307"/>
    </row>
    <row r="9" spans="1:18" ht="12.75" x14ac:dyDescent="0.2">
      <c r="A9" s="307"/>
      <c r="B9" s="307"/>
      <c r="C9" s="366" t="s">
        <v>708</v>
      </c>
      <c r="D9" s="371" t="str">
        <f>COVER!A15</f>
        <v>COLES AND CUMBERLAND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5533421</v>
      </c>
      <c r="I12" s="380"/>
      <c r="J12" s="380"/>
      <c r="K12" s="1559">
        <f>TRUNC((H12/H13*100000),5)/100000</f>
        <v>0.29053607040000001</v>
      </c>
      <c r="L12" s="381"/>
      <c r="M12" s="337" t="s">
        <v>1134</v>
      </c>
      <c r="N12" s="337"/>
      <c r="O12" s="1562">
        <v>0.35</v>
      </c>
      <c r="P12" s="213"/>
      <c r="Q12" s="213"/>
    </row>
    <row r="13" spans="1:18" s="382" customFormat="1" ht="12.75" x14ac:dyDescent="0.2">
      <c r="A13" s="213"/>
      <c r="B13" s="377"/>
      <c r="C13" s="2219" t="s">
        <v>1313</v>
      </c>
      <c r="D13" s="2220"/>
      <c r="E13" s="213"/>
      <c r="F13" s="383" t="s">
        <v>788</v>
      </c>
      <c r="G13" s="378"/>
      <c r="H13" s="1551">
        <f>SUM('Acct Summary 7-8'!C8+'Acct Summary 7-8'!D8+'Acct Summary 7-8'!F8+'Acct Summary 7-8'!I8)+H14</f>
        <v>19045556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18403377</v>
      </c>
      <c r="I17" s="380"/>
      <c r="J17" s="389"/>
      <c r="K17" s="1559">
        <f>TRUNC((H17/H18*100000),5)/100000</f>
        <v>0.96628195040000009</v>
      </c>
      <c r="L17" s="381"/>
      <c r="M17" s="390" t="s">
        <v>1161</v>
      </c>
      <c r="O17" s="1565" t="str">
        <f>IF(AND(O16="2", J20 &gt; 2),"1",IF(AND(O16 = "1", J20 &gt; 2),"2",IF(AND(O16="1", J20 &gt;1),"1","0")))</f>
        <v>0</v>
      </c>
      <c r="P17" s="213"/>
    </row>
    <row r="18" spans="1:18" s="382" customFormat="1" ht="11.25" x14ac:dyDescent="0.2">
      <c r="A18" s="213"/>
      <c r="B18" s="377"/>
      <c r="C18" s="2219" t="s">
        <v>1306</v>
      </c>
      <c r="D18" s="2220"/>
      <c r="E18" s="213"/>
      <c r="F18" s="391" t="s">
        <v>789</v>
      </c>
      <c r="G18" s="378"/>
      <c r="H18" s="1551">
        <f>SUM('Acct Summary 7-8'!C8+'Acct Summary 7-8'!D8+'Acct Summary 7-8'!F8+'Acct Summary 7-8'!I8)+H19</f>
        <v>19045556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f>IF(K24&gt;=180,"4",IF(K24&gt;=90,"3",IF(K24&gt;=30,"2",1)))</f>
        <v>1</v>
      </c>
      <c r="P23" s="211"/>
      <c r="R23" s="361"/>
    </row>
    <row r="24" spans="1:18" s="382" customFormat="1" ht="11.25" x14ac:dyDescent="0.2">
      <c r="A24" s="213"/>
      <c r="B24" s="377"/>
      <c r="C24" s="2216" t="s">
        <v>1395</v>
      </c>
      <c r="D24" s="2216"/>
      <c r="E24" s="213"/>
      <c r="F24" s="213" t="s">
        <v>442</v>
      </c>
      <c r="G24" s="378"/>
      <c r="H24" s="1551">
        <f>SUM('Assets-Liab 5-6'!C4+'Assets-Liab 5-6'!D4+'Assets-Liab 5-6'!F4+'Assets-Liab 5-6'!I4+'Assets-Liab 5-6'!C5+'Assets-Liab 5-6'!D5+'Assets-Liab 5-6'!F5+'Assets-Liab 5-6'!I5)</f>
        <v>1325997</v>
      </c>
      <c r="I24" s="394"/>
      <c r="J24" s="394"/>
      <c r="K24" s="1555">
        <f>TRUNC(((H24/H25*100000)/100000),2)</f>
        <v>25.93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51120.491670000003</v>
      </c>
      <c r="I25" s="396"/>
      <c r="J25" s="396"/>
      <c r="K25" s="1558"/>
      <c r="L25" s="213"/>
      <c r="M25" s="337" t="s">
        <v>1135</v>
      </c>
      <c r="N25" s="337"/>
      <c r="O25" s="1563">
        <f>O23*O24</f>
        <v>0.1</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sheetPr>
  <dimension ref="A1:N44"/>
  <sheetViews>
    <sheetView showGridLines="0" defaultGridColor="0" view="pageLayout" topLeftCell="J1" colorId="8" zoomScaleNormal="110" workbookViewId="0">
      <selection activeCell="M20" sqref="M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6" t="s">
        <v>967</v>
      </c>
      <c r="B3" s="2227"/>
      <c r="C3" s="1306"/>
      <c r="D3" s="1307"/>
      <c r="E3" s="1307"/>
      <c r="F3" s="1307"/>
      <c r="G3" s="1307"/>
      <c r="H3" s="1307"/>
      <c r="I3" s="1307"/>
      <c r="J3" s="1307"/>
      <c r="K3" s="1307"/>
      <c r="L3" s="1307"/>
      <c r="M3" s="1308"/>
      <c r="N3" s="1309"/>
    </row>
    <row r="4" spans="1:14" ht="13.5" customHeight="1" x14ac:dyDescent="0.2">
      <c r="A4" s="427" t="s">
        <v>1632</v>
      </c>
      <c r="B4" s="428"/>
      <c r="C4" s="1572">
        <v>1320953</v>
      </c>
      <c r="D4" s="1573"/>
      <c r="E4" s="1573"/>
      <c r="F4" s="1573"/>
      <c r="G4" s="1573"/>
      <c r="H4" s="1573"/>
      <c r="I4" s="1573"/>
      <c r="J4" s="1574"/>
      <c r="K4" s="1573"/>
      <c r="L4" s="1573">
        <v>88241</v>
      </c>
      <c r="M4" s="1575"/>
      <c r="N4" s="1576"/>
    </row>
    <row r="5" spans="1:14" x14ac:dyDescent="0.2">
      <c r="A5" s="427" t="s">
        <v>985</v>
      </c>
      <c r="B5" s="429">
        <v>120</v>
      </c>
      <c r="C5" s="1572">
        <v>5044</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6057320</v>
      </c>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7383317</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88241</v>
      </c>
      <c r="M13" s="1575"/>
      <c r="N13" s="1576"/>
    </row>
    <row r="14" spans="1:14" ht="18" customHeight="1" thickTop="1" x14ac:dyDescent="0.2">
      <c r="A14" s="2228" t="s">
        <v>146</v>
      </c>
      <c r="B14" s="222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2179486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3109785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5289271</v>
      </c>
      <c r="N23" s="1594">
        <f>SUM(N21:N22)</f>
        <v>0</v>
      </c>
    </row>
    <row r="24" spans="1:14" ht="18" customHeight="1" thickTop="1" x14ac:dyDescent="0.2">
      <c r="A24" s="2230" t="s">
        <v>594</v>
      </c>
      <c r="B24" s="223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286796</v>
      </c>
      <c r="D26" s="1574"/>
      <c r="E26" s="1574"/>
      <c r="F26" s="1574"/>
      <c r="G26" s="1574"/>
      <c r="H26" s="1574"/>
      <c r="I26" s="1574"/>
      <c r="J26" s="1579"/>
      <c r="K26" s="1574"/>
      <c r="L26" s="1575"/>
      <c r="M26" s="1575"/>
      <c r="N26" s="1575"/>
    </row>
    <row r="27" spans="1:14" ht="13.5" customHeight="1" x14ac:dyDescent="0.2">
      <c r="A27" s="430" t="s">
        <v>642</v>
      </c>
      <c r="B27" s="429">
        <v>430</v>
      </c>
      <c r="C27" s="1574">
        <f>36486+2479</f>
        <v>38965</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1524135</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88241</v>
      </c>
      <c r="M33" s="1575"/>
      <c r="N33" s="1576"/>
    </row>
    <row r="34" spans="1:14" ht="13.5" customHeight="1" thickBot="1" x14ac:dyDescent="0.25">
      <c r="A34" s="1427" t="s">
        <v>649</v>
      </c>
      <c r="B34" s="1428"/>
      <c r="C34" s="1600">
        <f>SUM(C25:C33)</f>
        <v>1849896</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88241</v>
      </c>
      <c r="M34" s="1575"/>
      <c r="N34" s="1585"/>
    </row>
    <row r="35" spans="1:14" ht="18" customHeight="1" thickTop="1" x14ac:dyDescent="0.2">
      <c r="A35" s="2232" t="s">
        <v>526</v>
      </c>
      <c r="B35" s="223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5533421</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5289271</v>
      </c>
      <c r="N40" s="1604"/>
    </row>
    <row r="41" spans="1:14" ht="13.5" customHeight="1" thickBot="1" x14ac:dyDescent="0.25">
      <c r="A41" s="1426" t="s">
        <v>650</v>
      </c>
      <c r="B41" s="1405"/>
      <c r="C41" s="1594">
        <f>(SUM(C34,C37,C38,C39))</f>
        <v>7383317</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88241</v>
      </c>
      <c r="M41" s="1594">
        <f>SUM(M40)</f>
        <v>5289271</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sheetPr>
  <dimension ref="A1:M87"/>
  <sheetViews>
    <sheetView showGridLines="0" defaultGridColor="0" colorId="8" zoomScale="110" zoomScaleNormal="110" zoomScaleSheetLayoutView="100" workbookViewId="0">
      <pane ySplit="2" topLeftCell="A10" activePane="bottomLeft" state="frozen"/>
      <selection pane="bottomLeft" activeCell="G23" sqref="G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4" t="s">
        <v>1165</v>
      </c>
      <c r="B3" s="2255"/>
      <c r="C3" s="1311"/>
      <c r="D3" s="1312"/>
      <c r="E3" s="1312"/>
      <c r="F3" s="1312"/>
      <c r="G3" s="1312"/>
      <c r="H3" s="1312"/>
      <c r="I3" s="1312"/>
      <c r="J3" s="1312"/>
      <c r="K3" s="1313"/>
      <c r="L3" s="446"/>
    </row>
    <row r="4" spans="1:13" ht="15.75" customHeight="1" x14ac:dyDescent="0.2">
      <c r="A4" s="1537" t="s">
        <v>1482</v>
      </c>
      <c r="B4" s="1538">
        <v>1000</v>
      </c>
      <c r="C4" s="1606">
        <f>'Revenues 9-14'!C109</f>
        <v>6064094</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4588894</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8392568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19045556</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4535646</v>
      </c>
      <c r="D9" s="1613"/>
      <c r="E9" s="1586"/>
      <c r="F9" s="1586"/>
      <c r="G9" s="1614"/>
      <c r="H9" s="1586"/>
      <c r="I9" s="1609" t="s">
        <v>1159</v>
      </c>
      <c r="J9" s="1583"/>
      <c r="K9" s="1586"/>
      <c r="L9" s="325"/>
    </row>
    <row r="10" spans="1:13" s="452" customFormat="1" ht="13.5" thickBot="1" x14ac:dyDescent="0.25">
      <c r="A10" s="1426" t="s">
        <v>1163</v>
      </c>
      <c r="B10" s="1407"/>
      <c r="C10" s="1594">
        <f>SUM(C8:C9)</f>
        <v>23581202</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28" t="s">
        <v>1166</v>
      </c>
      <c r="B11" s="2229"/>
      <c r="C11" s="1602"/>
      <c r="D11" s="1603"/>
      <c r="E11" s="1603"/>
      <c r="F11" s="1603"/>
      <c r="G11" s="1603"/>
      <c r="H11" s="1603"/>
      <c r="I11" s="1603"/>
      <c r="J11" s="1603"/>
      <c r="K11" s="1615"/>
      <c r="L11" s="451"/>
    </row>
    <row r="12" spans="1:13" ht="15.75" customHeight="1" x14ac:dyDescent="0.2">
      <c r="A12" s="1314" t="s">
        <v>453</v>
      </c>
      <c r="B12" s="1316">
        <v>1000</v>
      </c>
      <c r="C12" s="1606">
        <f>'Expenditures 15-22'!K33</f>
        <v>8492893</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7724878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154888</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2030718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29569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18403377</v>
      </c>
      <c r="D17" s="1594">
        <f t="shared" si="2"/>
        <v>0</v>
      </c>
      <c r="E17" s="1594">
        <f t="shared" si="2"/>
        <v>29569</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4535646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22939023</v>
      </c>
      <c r="D19" s="1594">
        <f t="shared" si="4"/>
        <v>0</v>
      </c>
      <c r="E19" s="1594">
        <f t="shared" si="4"/>
        <v>29569</v>
      </c>
      <c r="F19" s="1594">
        <f t="shared" si="4"/>
        <v>0</v>
      </c>
      <c r="G19" s="1594">
        <f t="shared" si="4"/>
        <v>0</v>
      </c>
      <c r="H19" s="1594">
        <f t="shared" si="4"/>
        <v>0</v>
      </c>
      <c r="I19" s="1575"/>
      <c r="J19" s="1594">
        <f>SUM(J17:J18)</f>
        <v>0</v>
      </c>
      <c r="K19" s="1594">
        <f>SUM(K17:K18)</f>
        <v>0</v>
      </c>
      <c r="L19" s="325"/>
    </row>
    <row r="20" spans="1:12" ht="16.5" thickTop="1" thickBot="1" x14ac:dyDescent="0.25">
      <c r="A20" s="2244" t="s">
        <v>1636</v>
      </c>
      <c r="B20" s="2245"/>
      <c r="C20" s="1622">
        <f>C8-C17</f>
        <v>642179</v>
      </c>
      <c r="D20" s="1622">
        <f t="shared" ref="D20:K20" si="5">D8-D17</f>
        <v>0</v>
      </c>
      <c r="E20" s="1622">
        <f t="shared" si="5"/>
        <v>-29569</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56" t="s">
        <v>591</v>
      </c>
      <c r="B21" s="2257"/>
      <c r="C21" s="1602"/>
      <c r="D21" s="1603"/>
      <c r="E21" s="1603"/>
      <c r="F21" s="1603"/>
      <c r="G21" s="1603"/>
      <c r="H21" s="1603"/>
      <c r="I21" s="1603"/>
      <c r="J21" s="1603"/>
      <c r="K21" s="1615"/>
      <c r="L21" s="453"/>
    </row>
    <row r="22" spans="1:12" ht="15.75" customHeight="1" collapsed="1" x14ac:dyDescent="0.2">
      <c r="A22" s="2252" t="s">
        <v>592</v>
      </c>
      <c r="B22" s="2253"/>
      <c r="C22" s="1582"/>
      <c r="D22" s="1582"/>
      <c r="E22" s="1582"/>
      <c r="F22" s="1582"/>
      <c r="G22" s="1582"/>
      <c r="H22" s="1582"/>
      <c r="I22" s="1582"/>
      <c r="J22" s="1582"/>
      <c r="K22" s="1582"/>
      <c r="L22" s="325"/>
    </row>
    <row r="23" spans="1:12" s="433" customFormat="1" ht="15.75" customHeight="1" x14ac:dyDescent="0.2">
      <c r="A23" s="2248" t="s">
        <v>290</v>
      </c>
      <c r="B23" s="224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50" t="s">
        <v>974</v>
      </c>
      <c r="B32" s="225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29569</v>
      </c>
      <c r="F43" s="1574"/>
      <c r="G43" s="1574"/>
      <c r="H43" s="1574"/>
      <c r="I43" s="1574"/>
      <c r="J43" s="1574"/>
      <c r="K43" s="1574"/>
      <c r="L43" s="453"/>
    </row>
    <row r="44" spans="1:12" s="433" customFormat="1" ht="13.5" customHeight="1" thickBot="1" x14ac:dyDescent="0.25">
      <c r="A44" s="2258" t="s">
        <v>371</v>
      </c>
      <c r="B44" s="2259"/>
      <c r="C44" s="1624">
        <f>SUM(C24:C43)</f>
        <v>0</v>
      </c>
      <c r="D44" s="1624">
        <f t="shared" ref="D44:K44" si="6">SUM(D24:D43)</f>
        <v>0</v>
      </c>
      <c r="E44" s="1624">
        <f t="shared" si="6"/>
        <v>29569</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52" t="s">
        <v>108</v>
      </c>
      <c r="B45" s="2253"/>
      <c r="C45" s="1625"/>
      <c r="D45" s="1625"/>
      <c r="E45" s="1625"/>
      <c r="F45" s="1625"/>
      <c r="G45" s="1625"/>
      <c r="H45" s="1625"/>
      <c r="I45" s="1625"/>
      <c r="J45" s="1625"/>
      <c r="K45" s="1625"/>
      <c r="L45" s="325"/>
    </row>
    <row r="46" spans="1:12" s="433" customFormat="1" ht="15.75" customHeight="1" x14ac:dyDescent="0.2">
      <c r="A46" s="2260" t="s">
        <v>109</v>
      </c>
      <c r="B46" s="226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29569</v>
      </c>
      <c r="D75" s="1627"/>
      <c r="E75" s="1626"/>
      <c r="F75" s="1628"/>
      <c r="G75" s="1628"/>
      <c r="H75" s="1628"/>
      <c r="I75" s="1626"/>
      <c r="J75" s="1626"/>
      <c r="K75" s="1628"/>
      <c r="L75" s="453"/>
    </row>
    <row r="76" spans="1:12" s="433" customFormat="1" ht="14.25" thickTop="1" thickBot="1" x14ac:dyDescent="0.25">
      <c r="A76" s="2234" t="s">
        <v>437</v>
      </c>
      <c r="B76" s="2235"/>
      <c r="C76" s="1624">
        <f t="shared" ref="C76:K76" si="7">SUM(C47:C75)</f>
        <v>29569</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6" t="s">
        <v>1167</v>
      </c>
      <c r="B77" s="2237"/>
      <c r="C77" s="1624">
        <f t="shared" ref="C77:K77" si="8">C44-C76</f>
        <v>-29569</v>
      </c>
      <c r="D77" s="1624">
        <f t="shared" si="8"/>
        <v>0</v>
      </c>
      <c r="E77" s="1624">
        <f t="shared" si="8"/>
        <v>29569</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40" t="s">
        <v>593</v>
      </c>
      <c r="B78" s="2241"/>
      <c r="C78" s="1629">
        <f t="shared" ref="C78:K78" si="9">C20+C77</f>
        <v>612610</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4920811</v>
      </c>
      <c r="D79" s="1630"/>
      <c r="E79" s="1630"/>
      <c r="F79" s="1630"/>
      <c r="G79" s="1630"/>
      <c r="H79" s="1630"/>
      <c r="I79" s="1630"/>
      <c r="J79" s="1630"/>
      <c r="K79" s="1630"/>
      <c r="L79" s="325"/>
    </row>
    <row r="80" spans="1:12" x14ac:dyDescent="0.2">
      <c r="A80" s="2246" t="s">
        <v>1769</v>
      </c>
      <c r="B80" s="2247"/>
      <c r="C80" s="1574"/>
      <c r="D80" s="1574"/>
      <c r="E80" s="1574"/>
      <c r="F80" s="1574"/>
      <c r="G80" s="1574"/>
      <c r="H80" s="1574"/>
      <c r="I80" s="1574"/>
      <c r="J80" s="1574"/>
      <c r="K80" s="1574"/>
      <c r="L80" s="325"/>
    </row>
    <row r="81" spans="1:12" ht="13.5" thickBot="1" x14ac:dyDescent="0.25">
      <c r="A81" s="2238" t="str">
        <f>"Fund Balances - June 30, "&amp;'AFR20'!E2</f>
        <v>Fund Balances - June 30, 2020</v>
      </c>
      <c r="B81" s="2239"/>
      <c r="C81" s="1594">
        <f>(SUM(C78:C80))</f>
        <v>5533421</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612610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0.11071089656832546</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sheetPr>
  <dimension ref="A1:L279"/>
  <sheetViews>
    <sheetView showGridLines="0" defaultGridColor="0" colorId="8" zoomScale="110" zoomScaleNormal="110" zoomScaleSheetLayoutView="75" workbookViewId="0">
      <pane ySplit="2" topLeftCell="A144" activePane="bottomLeft" state="frozen"/>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2" t="s">
        <v>1776</v>
      </c>
      <c r="B1" s="416"/>
      <c r="C1" s="417" t="s">
        <v>422</v>
      </c>
      <c r="D1" s="417" t="s">
        <v>423</v>
      </c>
      <c r="E1" s="417" t="s">
        <v>424</v>
      </c>
      <c r="F1" s="417" t="s">
        <v>425</v>
      </c>
      <c r="G1" s="417" t="s">
        <v>426</v>
      </c>
      <c r="H1" s="417" t="s">
        <v>427</v>
      </c>
      <c r="I1" s="417" t="s">
        <v>428</v>
      </c>
      <c r="J1" s="417" t="s">
        <v>429</v>
      </c>
      <c r="K1" s="417" t="s">
        <v>751</v>
      </c>
    </row>
    <row r="2" spans="1:12" ht="36" x14ac:dyDescent="0.2">
      <c r="A2" s="224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5995269</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5995269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1518</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1518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16800</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50507</v>
      </c>
      <c r="D107" s="1573"/>
      <c r="E107" s="1573"/>
      <c r="F107" s="1573"/>
      <c r="G107" s="1573"/>
      <c r="H107" s="1573"/>
      <c r="I107" s="1573"/>
      <c r="J107" s="1574"/>
      <c r="K107" s="1573"/>
    </row>
    <row r="108" spans="1:12" ht="12.75" customHeight="1" thickBot="1" x14ac:dyDescent="0.25">
      <c r="A108" s="1406" t="s">
        <v>484</v>
      </c>
      <c r="B108" s="1408"/>
      <c r="C108" s="1633">
        <f>SUM(C95:C107)</f>
        <v>67307</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6064094</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1195596</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1195596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2533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v>113719</v>
      </c>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113719</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3277046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62" t="s">
        <v>395</v>
      </c>
      <c r="B169" s="2263"/>
      <c r="C169" s="1658">
        <f t="shared" ref="C169:K169" si="6">SUM(C132,C141,C145,C146:C150,C155,C156:C167,C168)</f>
        <v>3393298</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4588894</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4" t="s">
        <v>1475</v>
      </c>
      <c r="B172" s="226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8" t="s">
        <v>1646</v>
      </c>
      <c r="B175" s="226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2" t="s">
        <v>1645</v>
      </c>
      <c r="B176" s="227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70" t="s">
        <v>780</v>
      </c>
      <c r="B181" s="227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6" t="s">
        <v>1777</v>
      </c>
      <c r="B182" s="226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104178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50219</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154397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357926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7466648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7824574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31023</v>
      </c>
      <c r="D263" s="1651"/>
      <c r="E263" s="1575"/>
      <c r="F263" s="1651"/>
      <c r="G263" s="1651"/>
      <c r="H263" s="1575"/>
      <c r="I263" s="1575"/>
      <c r="J263" s="1575"/>
      <c r="K263" s="1575"/>
    </row>
    <row r="264" spans="1:11" ht="12.75" customHeight="1" thickTop="1" thickBot="1" x14ac:dyDescent="0.25">
      <c r="A264" s="427" t="s">
        <v>374</v>
      </c>
      <c r="B264" s="429">
        <v>4992</v>
      </c>
      <c r="C264" s="1650">
        <v>123328</v>
      </c>
      <c r="D264" s="1651"/>
      <c r="E264" s="1575"/>
      <c r="F264" s="1651"/>
      <c r="G264" s="1651"/>
      <c r="H264" s="1575"/>
      <c r="I264" s="1575"/>
      <c r="J264" s="1575"/>
      <c r="K264" s="1575"/>
    </row>
    <row r="265" spans="1:11" s="489" customFormat="1" ht="12.75" customHeight="1" thickTop="1" thickBot="1" x14ac:dyDescent="0.25">
      <c r="A265" s="479" t="s">
        <v>75</v>
      </c>
      <c r="B265" s="475">
        <v>4998</v>
      </c>
      <c r="C265" s="1650">
        <v>259246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8392568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8392568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19045556</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sheetPr>
  <dimension ref="A1:N368"/>
  <sheetViews>
    <sheetView showGridLines="0" defaultGridColor="0" colorId="8" zoomScale="110" zoomScaleNormal="110" workbookViewId="0">
      <pane ySplit="2" topLeftCell="A3" activePane="bottomLeft" state="frozen"/>
      <selection pane="bottomLeft" activeCell="L7" sqref="L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0" t="s">
        <v>294</v>
      </c>
      <c r="B3" s="228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v>1439761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1071641</v>
      </c>
      <c r="D7" s="1574">
        <v>211342</v>
      </c>
      <c r="E7" s="1574">
        <v>10953</v>
      </c>
      <c r="F7" s="1574">
        <v>256653</v>
      </c>
      <c r="G7" s="1574">
        <v>31476</v>
      </c>
      <c r="H7" s="1574"/>
      <c r="I7" s="1574"/>
      <c r="J7" s="1574"/>
      <c r="K7" s="1672">
        <f t="shared" ref="K7:K32" si="0">SUM(C7:J7)</f>
        <v>1582065</v>
      </c>
      <c r="L7" s="1573"/>
    </row>
    <row r="8" spans="1:14" x14ac:dyDescent="0.2">
      <c r="A8" s="1274" t="s">
        <v>163</v>
      </c>
      <c r="B8" s="503">
        <v>1200</v>
      </c>
      <c r="C8" s="1573">
        <v>5382834</v>
      </c>
      <c r="D8" s="1573">
        <v>1228564</v>
      </c>
      <c r="E8" s="1573">
        <v>227257</v>
      </c>
      <c r="F8" s="1573">
        <v>69173</v>
      </c>
      <c r="G8" s="1573">
        <v>3000</v>
      </c>
      <c r="H8" s="1573"/>
      <c r="I8" s="1574"/>
      <c r="J8" s="1574"/>
      <c r="K8" s="1672">
        <f t="shared" si="0"/>
        <v>6910828</v>
      </c>
      <c r="L8" s="1573">
        <v>6892402</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6454475</v>
      </c>
      <c r="D33" s="1674">
        <f t="shared" ref="D33:L33" si="1">SUM(D5:D32)</f>
        <v>1439906</v>
      </c>
      <c r="E33" s="1674">
        <f t="shared" si="1"/>
        <v>238210</v>
      </c>
      <c r="F33" s="1674">
        <f t="shared" si="1"/>
        <v>325826</v>
      </c>
      <c r="G33" s="1674">
        <f t="shared" si="1"/>
        <v>34476</v>
      </c>
      <c r="H33" s="1674">
        <f t="shared" si="1"/>
        <v>0</v>
      </c>
      <c r="I33" s="1674">
        <f t="shared" si="1"/>
        <v>0</v>
      </c>
      <c r="J33" s="1674">
        <f t="shared" si="1"/>
        <v>0</v>
      </c>
      <c r="K33" s="1674">
        <f t="shared" si="1"/>
        <v>8492893</v>
      </c>
      <c r="L33" s="1674">
        <f t="shared" si="1"/>
        <v>8332163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181403</v>
      </c>
      <c r="D36" s="1586">
        <v>13106</v>
      </c>
      <c r="E36" s="1586">
        <v>385</v>
      </c>
      <c r="F36" s="1586">
        <v>52</v>
      </c>
      <c r="G36" s="1586"/>
      <c r="H36" s="1586"/>
      <c r="I36" s="1574"/>
      <c r="J36" s="1574"/>
      <c r="K36" s="1672">
        <f t="shared" ref="K36:K41" si="2">SUM(C36:J36)</f>
        <v>194946</v>
      </c>
      <c r="L36" s="1573">
        <v>220579</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1438591</v>
      </c>
      <c r="D38" s="1573">
        <v>358036</v>
      </c>
      <c r="E38" s="1573">
        <v>109441</v>
      </c>
      <c r="F38" s="1573">
        <v>6697</v>
      </c>
      <c r="G38" s="1573"/>
      <c r="H38" s="1573"/>
      <c r="I38" s="1574"/>
      <c r="J38" s="1574"/>
      <c r="K38" s="1672">
        <f t="shared" si="2"/>
        <v>1912765</v>
      </c>
      <c r="L38" s="1573">
        <v>2090657</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542700</v>
      </c>
      <c r="D40" s="1573">
        <v>87297</v>
      </c>
      <c r="E40" s="1573">
        <v>39932</v>
      </c>
      <c r="F40" s="1573">
        <v>10126</v>
      </c>
      <c r="G40" s="1573">
        <v>30410</v>
      </c>
      <c r="H40" s="1573"/>
      <c r="I40" s="1574"/>
      <c r="J40" s="1574"/>
      <c r="K40" s="1672">
        <f t="shared" si="2"/>
        <v>710465</v>
      </c>
      <c r="L40" s="1573">
        <v>740358</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2162694</v>
      </c>
      <c r="D42" s="1674">
        <f t="shared" ref="D42:L42" si="3">SUM(D36:D41)</f>
        <v>458439</v>
      </c>
      <c r="E42" s="1674">
        <f t="shared" si="3"/>
        <v>149758</v>
      </c>
      <c r="F42" s="1674">
        <f t="shared" si="3"/>
        <v>16875</v>
      </c>
      <c r="G42" s="1674">
        <f t="shared" si="3"/>
        <v>30410</v>
      </c>
      <c r="H42" s="1674">
        <f t="shared" si="3"/>
        <v>0</v>
      </c>
      <c r="I42" s="1674">
        <f t="shared" si="3"/>
        <v>0</v>
      </c>
      <c r="J42" s="1674">
        <f t="shared" si="3"/>
        <v>0</v>
      </c>
      <c r="K42" s="1674">
        <f t="shared" si="3"/>
        <v>2818176</v>
      </c>
      <c r="L42" s="1674">
        <f t="shared" si="3"/>
        <v>3051594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636980</v>
      </c>
      <c r="D44" s="1586">
        <v>110138</v>
      </c>
      <c r="E44" s="1586">
        <v>169086</v>
      </c>
      <c r="F44" s="1586">
        <v>9552</v>
      </c>
      <c r="G44" s="1586">
        <v>4394</v>
      </c>
      <c r="H44" s="1586"/>
      <c r="I44" s="1574"/>
      <c r="J44" s="1574"/>
      <c r="K44" s="1678">
        <f>SUM(C44:J44)</f>
        <v>930150</v>
      </c>
      <c r="L44" s="1586">
        <v>953727</v>
      </c>
    </row>
    <row r="45" spans="1:14" x14ac:dyDescent="0.2">
      <c r="A45" s="1274" t="s">
        <v>810</v>
      </c>
      <c r="B45" s="503">
        <v>2220</v>
      </c>
      <c r="C45" s="1573">
        <v>137377</v>
      </c>
      <c r="D45" s="1573">
        <v>37013</v>
      </c>
      <c r="E45" s="1573">
        <v>55218</v>
      </c>
      <c r="F45" s="1573">
        <v>55797</v>
      </c>
      <c r="G45" s="1573">
        <v>5153</v>
      </c>
      <c r="H45" s="1573"/>
      <c r="I45" s="1574"/>
      <c r="J45" s="1574"/>
      <c r="K45" s="1678">
        <f>SUM(C45:J45)</f>
        <v>290558</v>
      </c>
      <c r="L45" s="1573">
        <v>321775</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774357</v>
      </c>
      <c r="D47" s="1674">
        <f t="shared" ref="D47:K47" si="4">SUM(D44:D46)</f>
        <v>147151</v>
      </c>
      <c r="E47" s="1674">
        <f t="shared" si="4"/>
        <v>224304</v>
      </c>
      <c r="F47" s="1674">
        <f t="shared" si="4"/>
        <v>65349</v>
      </c>
      <c r="G47" s="1674">
        <f t="shared" si="4"/>
        <v>9547</v>
      </c>
      <c r="H47" s="1674">
        <f t="shared" si="4"/>
        <v>0</v>
      </c>
      <c r="I47" s="1674">
        <f t="shared" si="4"/>
        <v>0</v>
      </c>
      <c r="J47" s="1674">
        <f t="shared" si="4"/>
        <v>0</v>
      </c>
      <c r="K47" s="1674">
        <f t="shared" si="4"/>
        <v>1220708</v>
      </c>
      <c r="L47" s="1674">
        <f>SUM(L44:L46)</f>
        <v>1275502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5000</v>
      </c>
      <c r="D49" s="1586">
        <v>383</v>
      </c>
      <c r="E49" s="1586"/>
      <c r="F49" s="1586"/>
      <c r="G49" s="1586"/>
      <c r="H49" s="1586"/>
      <c r="I49" s="1574"/>
      <c r="J49" s="1574"/>
      <c r="K49" s="1678">
        <f>SUM(C49:J49)</f>
        <v>5383</v>
      </c>
      <c r="L49" s="1586">
        <v>5167</v>
      </c>
    </row>
    <row r="50" spans="1:14" x14ac:dyDescent="0.2">
      <c r="A50" s="1274" t="s">
        <v>813</v>
      </c>
      <c r="B50" s="503">
        <v>2320</v>
      </c>
      <c r="C50" s="1573">
        <v>184033</v>
      </c>
      <c r="D50" s="1573">
        <v>17003</v>
      </c>
      <c r="E50" s="1573">
        <v>62969</v>
      </c>
      <c r="F50" s="1573">
        <v>2158</v>
      </c>
      <c r="G50" s="1573"/>
      <c r="H50" s="1573">
        <v>17972</v>
      </c>
      <c r="I50" s="1574"/>
      <c r="J50" s="1574"/>
      <c r="K50" s="1678">
        <f>SUM(C50:J50)</f>
        <v>284135</v>
      </c>
      <c r="L50" s="1573">
        <v>317977</v>
      </c>
    </row>
    <row r="51" spans="1:14" x14ac:dyDescent="0.2">
      <c r="A51" s="1274" t="s">
        <v>42</v>
      </c>
      <c r="B51" s="503">
        <v>2330</v>
      </c>
      <c r="C51" s="1573">
        <v>617542</v>
      </c>
      <c r="D51" s="1573">
        <v>93377</v>
      </c>
      <c r="E51" s="1573">
        <v>152436</v>
      </c>
      <c r="F51" s="1573">
        <v>3181</v>
      </c>
      <c r="G51" s="1573"/>
      <c r="H51" s="1573"/>
      <c r="I51" s="1574"/>
      <c r="J51" s="1574"/>
      <c r="K51" s="1678">
        <f>SUM(C51:J51)</f>
        <v>866536</v>
      </c>
      <c r="L51" s="1573">
        <v>841633</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806575</v>
      </c>
      <c r="D53" s="1674">
        <f t="shared" ref="D53:L53" si="5">SUM(D49:D52)</f>
        <v>110763</v>
      </c>
      <c r="E53" s="1674">
        <f t="shared" si="5"/>
        <v>215405</v>
      </c>
      <c r="F53" s="1674">
        <f t="shared" si="5"/>
        <v>5339</v>
      </c>
      <c r="G53" s="1674">
        <f t="shared" si="5"/>
        <v>0</v>
      </c>
      <c r="H53" s="1674">
        <f t="shared" si="5"/>
        <v>17972</v>
      </c>
      <c r="I53" s="1674">
        <f t="shared" si="5"/>
        <v>0</v>
      </c>
      <c r="J53" s="1674">
        <f t="shared" si="5"/>
        <v>0</v>
      </c>
      <c r="K53" s="1674">
        <f t="shared" si="5"/>
        <v>1156054</v>
      </c>
      <c r="L53" s="1674">
        <f t="shared" si="5"/>
        <v>1164777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180272</v>
      </c>
      <c r="D60" s="1573">
        <v>50327</v>
      </c>
      <c r="E60" s="1573">
        <v>22445</v>
      </c>
      <c r="F60" s="1573">
        <v>1050</v>
      </c>
      <c r="G60" s="1573"/>
      <c r="H60" s="1573"/>
      <c r="I60" s="1574"/>
      <c r="J60" s="1574"/>
      <c r="K60" s="1678">
        <f t="shared" si="7"/>
        <v>254094</v>
      </c>
      <c r="L60" s="1573">
        <v>249762</v>
      </c>
      <c r="M60" s="501"/>
      <c r="N60" s="501"/>
    </row>
    <row r="61" spans="1:14" s="321" customFormat="1" x14ac:dyDescent="0.2">
      <c r="A61" s="1274" t="s">
        <v>195</v>
      </c>
      <c r="B61" s="503">
        <v>2540</v>
      </c>
      <c r="C61" s="1573">
        <v>66867</v>
      </c>
      <c r="D61" s="1573">
        <v>24294</v>
      </c>
      <c r="E61" s="1573">
        <v>948379</v>
      </c>
      <c r="F61" s="1573">
        <v>169631</v>
      </c>
      <c r="G61" s="1573">
        <v>403466</v>
      </c>
      <c r="H61" s="1573"/>
      <c r="I61" s="1574"/>
      <c r="J61" s="1574"/>
      <c r="K61" s="1678">
        <f t="shared" si="7"/>
        <v>1612637</v>
      </c>
      <c r="L61" s="1573">
        <v>1648603</v>
      </c>
      <c r="M61" s="501"/>
      <c r="N61" s="501"/>
    </row>
    <row r="62" spans="1:14" s="321" customFormat="1" x14ac:dyDescent="0.2">
      <c r="A62" s="1274" t="s">
        <v>947</v>
      </c>
      <c r="B62" s="503">
        <v>2550</v>
      </c>
      <c r="C62" s="1573">
        <v>87091</v>
      </c>
      <c r="D62" s="1573">
        <v>21692</v>
      </c>
      <c r="E62" s="1573">
        <v>344002</v>
      </c>
      <c r="F62" s="1573">
        <v>7578</v>
      </c>
      <c r="G62" s="1573">
        <v>31950</v>
      </c>
      <c r="H62" s="1573"/>
      <c r="I62" s="1574"/>
      <c r="J62" s="1574"/>
      <c r="K62" s="1678">
        <f t="shared" si="7"/>
        <v>492313</v>
      </c>
      <c r="L62" s="1573">
        <v>751061</v>
      </c>
      <c r="M62" s="501"/>
      <c r="N62" s="501"/>
    </row>
    <row r="63" spans="1:14" s="501" customFormat="1" x14ac:dyDescent="0.2">
      <c r="A63" s="1274" t="s">
        <v>100</v>
      </c>
      <c r="B63" s="503">
        <v>2560</v>
      </c>
      <c r="C63" s="1573"/>
      <c r="D63" s="1573"/>
      <c r="E63" s="1573">
        <v>152345</v>
      </c>
      <c r="F63" s="1573">
        <v>18551</v>
      </c>
      <c r="G63" s="1573"/>
      <c r="H63" s="1573"/>
      <c r="I63" s="1574"/>
      <c r="J63" s="1574"/>
      <c r="K63" s="1678">
        <f t="shared" si="7"/>
        <v>170896</v>
      </c>
      <c r="L63" s="1573">
        <v>234880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334230</v>
      </c>
      <c r="D65" s="1674">
        <f t="shared" ref="D65:L65" si="8">SUM(D59:D64)</f>
        <v>96313</v>
      </c>
      <c r="E65" s="1674">
        <f t="shared" si="8"/>
        <v>1467171</v>
      </c>
      <c r="F65" s="1674">
        <f t="shared" si="8"/>
        <v>196810</v>
      </c>
      <c r="G65" s="1674">
        <f t="shared" si="8"/>
        <v>435416</v>
      </c>
      <c r="H65" s="1674">
        <f t="shared" si="8"/>
        <v>0</v>
      </c>
      <c r="I65" s="1674">
        <f t="shared" si="8"/>
        <v>0</v>
      </c>
      <c r="J65" s="1674">
        <f t="shared" si="8"/>
        <v>0</v>
      </c>
      <c r="K65" s="1674">
        <f t="shared" si="8"/>
        <v>2529940</v>
      </c>
      <c r="L65" s="1674">
        <f t="shared" si="8"/>
        <v>2884306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4077856</v>
      </c>
      <c r="D74" s="1681">
        <f t="shared" ref="D74:K74" si="10">SUM(D42,D47,D53,D57,D65,D72,D73)</f>
        <v>812666</v>
      </c>
      <c r="E74" s="1681">
        <f t="shared" si="10"/>
        <v>2056638</v>
      </c>
      <c r="F74" s="1681">
        <f t="shared" si="10"/>
        <v>284373</v>
      </c>
      <c r="G74" s="1681">
        <f t="shared" si="10"/>
        <v>475373</v>
      </c>
      <c r="H74" s="1681">
        <f t="shared" si="10"/>
        <v>17972</v>
      </c>
      <c r="I74" s="1681">
        <f t="shared" si="10"/>
        <v>0</v>
      </c>
      <c r="J74" s="1681">
        <f t="shared" si="10"/>
        <v>0</v>
      </c>
      <c r="K74" s="1681">
        <f t="shared" si="10"/>
        <v>7724878</v>
      </c>
      <c r="L74" s="1681">
        <f>SUM(L42,L47,L53,L57,L65,L72,L73)</f>
        <v>8376179</v>
      </c>
    </row>
    <row r="75" spans="1:14" s="254" customFormat="1" ht="15.75" customHeight="1" thickTop="1" thickBot="1" x14ac:dyDescent="0.25">
      <c r="A75" s="1348" t="s">
        <v>47</v>
      </c>
      <c r="B75" s="1349" t="s">
        <v>571</v>
      </c>
      <c r="C75" s="1649">
        <v>98055</v>
      </c>
      <c r="D75" s="1649">
        <v>9756</v>
      </c>
      <c r="E75" s="1649">
        <v>9592</v>
      </c>
      <c r="F75" s="1649">
        <v>25485</v>
      </c>
      <c r="G75" s="1649">
        <v>12000</v>
      </c>
      <c r="H75" s="1649"/>
      <c r="I75" s="1627"/>
      <c r="J75" s="1627"/>
      <c r="K75" s="1674">
        <f>SUM(C75:J75)</f>
        <v>154888</v>
      </c>
      <c r="L75" s="1651">
        <v>138240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783029</v>
      </c>
      <c r="I78" s="1582"/>
      <c r="J78" s="1582"/>
      <c r="K78" s="1672">
        <f t="shared" ref="K78:K83" si="11">SUM(C78:J78)</f>
        <v>783029</v>
      </c>
      <c r="L78" s="1586">
        <v>840014</v>
      </c>
    </row>
    <row r="79" spans="1:14" x14ac:dyDescent="0.2">
      <c r="A79" s="1274" t="s">
        <v>301</v>
      </c>
      <c r="B79" s="503">
        <v>4120</v>
      </c>
      <c r="C79" s="1673"/>
      <c r="D79" s="1673"/>
      <c r="E79" s="1573"/>
      <c r="F79" s="1673"/>
      <c r="G79" s="1673"/>
      <c r="H79" s="1573">
        <v>1127069</v>
      </c>
      <c r="I79" s="1582"/>
      <c r="J79" s="1582"/>
      <c r="K79" s="1672">
        <f t="shared" si="11"/>
        <v>1127069</v>
      </c>
      <c r="L79" s="1573">
        <v>1724591</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175000</v>
      </c>
    </row>
    <row r="84" spans="1:12" ht="13.5" thickBot="1" x14ac:dyDescent="0.25">
      <c r="A84" s="1380" t="s">
        <v>1468</v>
      </c>
      <c r="B84" s="1385">
        <v>4100</v>
      </c>
      <c r="C84" s="1673"/>
      <c r="D84" s="1673"/>
      <c r="E84" s="1674">
        <f>SUM(E78:E83)</f>
        <v>0</v>
      </c>
      <c r="F84" s="1673"/>
      <c r="G84" s="1673"/>
      <c r="H84" s="1674">
        <f>SUM(H78:H83)</f>
        <v>1910098</v>
      </c>
      <c r="I84" s="1582"/>
      <c r="J84" s="1582"/>
      <c r="K84" s="1674">
        <f>SUM(K78:K83)</f>
        <v>1910098</v>
      </c>
      <c r="L84" s="1674">
        <f>SUM(L78:L83)</f>
        <v>2739605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v>120620</v>
      </c>
      <c r="I94" s="1582"/>
      <c r="J94" s="1582"/>
      <c r="K94" s="1681">
        <f t="shared" si="12"/>
        <v>120620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120620</v>
      </c>
      <c r="I100" s="1582"/>
      <c r="J100" s="1582"/>
      <c r="K100" s="1681">
        <f>SUM(K93:K99)</f>
        <v>120620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2030718</v>
      </c>
      <c r="I102" s="1582"/>
      <c r="J102" s="1582"/>
      <c r="K102" s="1681">
        <f>SUM(K84,K92,K100,K101)</f>
        <v>2030718</v>
      </c>
      <c r="L102" s="1681">
        <f>SUM(L84,L92,L100,L101)</f>
        <v>2739605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10630386</v>
      </c>
      <c r="D114" s="1674">
        <f t="shared" ref="D114:K114" si="13">SUM(D33,D74,D75,D102,D112,D113)</f>
        <v>2262328</v>
      </c>
      <c r="E114" s="1674">
        <f t="shared" si="13"/>
        <v>2304440</v>
      </c>
      <c r="F114" s="1674">
        <f t="shared" si="13"/>
        <v>635684</v>
      </c>
      <c r="G114" s="1674">
        <f t="shared" si="13"/>
        <v>521849</v>
      </c>
      <c r="H114" s="1674">
        <f>SUM(H33,H74,H75,H102,H112,H113)</f>
        <v>2048690</v>
      </c>
      <c r="I114" s="1674">
        <f t="shared" si="13"/>
        <v>0</v>
      </c>
      <c r="J114" s="1674">
        <f t="shared" si="13"/>
        <v>0</v>
      </c>
      <c r="K114" s="1674">
        <f t="shared" si="13"/>
        <v>18403377</v>
      </c>
      <c r="L114" s="1674">
        <f>SUM(L33,L74,L75,L102,L112,L113)</f>
        <v>19586187</v>
      </c>
    </row>
    <row r="115" spans="1:14" ht="13.5" thickTop="1" x14ac:dyDescent="0.2">
      <c r="A115" s="2299" t="s">
        <v>989</v>
      </c>
      <c r="B115" s="2300"/>
      <c r="C115" s="1675"/>
      <c r="D115" s="1675"/>
      <c r="E115" s="1675"/>
      <c r="F115" s="1675"/>
      <c r="G115" s="1675"/>
      <c r="H115" s="1675"/>
      <c r="I115" s="1675"/>
      <c r="J115" s="1675"/>
      <c r="K115" s="1689">
        <f>'Revenues 9-14'!C268-'Expenditures 15-22'!K114</f>
        <v>642179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7" t="s">
        <v>293</v>
      </c>
      <c r="B117" s="227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9" t="s">
        <v>616</v>
      </c>
      <c r="B151" s="2271"/>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92" t="s">
        <v>1168</v>
      </c>
      <c r="B152" s="229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7" t="s">
        <v>617</v>
      </c>
      <c r="B154" s="227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613</v>
      </c>
      <c r="I169" s="1673"/>
      <c r="J169" s="1673"/>
      <c r="K169" s="1672">
        <f>SUM(C169:H169)</f>
        <v>613</v>
      </c>
      <c r="L169" s="1695"/>
    </row>
    <row r="170" spans="1:14" ht="33.75" customHeight="1" x14ac:dyDescent="0.2">
      <c r="A170" s="543" t="s">
        <v>1651</v>
      </c>
      <c r="B170" s="545" t="s">
        <v>31</v>
      </c>
      <c r="C170" s="1673"/>
      <c r="D170" s="1673"/>
      <c r="E170" s="1673"/>
      <c r="F170" s="1673"/>
      <c r="G170" s="1673"/>
      <c r="H170" s="1646">
        <v>28956</v>
      </c>
      <c r="I170" s="1673"/>
      <c r="J170" s="1673"/>
      <c r="K170" s="1672">
        <f>SUM(C170:J170)</f>
        <v>28956</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29569</v>
      </c>
      <c r="I172" s="1684"/>
      <c r="J172" s="1673"/>
      <c r="K172" s="1681">
        <f>SUM(K168,K169,K170,K171)</f>
        <v>29569</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29569</v>
      </c>
      <c r="I174" s="1684"/>
      <c r="J174" s="1673"/>
      <c r="K174" s="1681">
        <f>SUM(K160,K172,K173)</f>
        <v>29569</v>
      </c>
      <c r="L174" s="1681">
        <f>SUM(L160,L172,L173)</f>
        <v>0</v>
      </c>
    </row>
    <row r="175" spans="1:14" ht="13.5" thickTop="1" x14ac:dyDescent="0.2">
      <c r="A175" s="2299" t="s">
        <v>989</v>
      </c>
      <c r="B175" s="2300"/>
      <c r="C175" s="1673"/>
      <c r="D175" s="1673"/>
      <c r="E175" s="1673"/>
      <c r="F175" s="1673"/>
      <c r="G175" s="1673"/>
      <c r="H175" s="1675"/>
      <c r="I175" s="1673"/>
      <c r="J175" s="1673"/>
      <c r="K175" s="1689">
        <f>'Revenues 9-14'!E268-'Expenditures 15-22'!K174</f>
        <v>-29569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99" t="s">
        <v>989</v>
      </c>
      <c r="B211" s="2300"/>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4" t="s">
        <v>959</v>
      </c>
      <c r="B213" s="229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90" t="s">
        <v>502</v>
      </c>
      <c r="B295" s="229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99" t="s">
        <v>989</v>
      </c>
      <c r="B296" s="2300"/>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2" t="s">
        <v>142</v>
      </c>
      <c r="B298" s="227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7" t="s">
        <v>275</v>
      </c>
      <c r="B312" s="228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3" t="s">
        <v>989</v>
      </c>
      <c r="B313" s="228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6" t="s">
        <v>148</v>
      </c>
      <c r="B315" s="229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8" t="s">
        <v>892</v>
      </c>
      <c r="B317" s="229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5" t="s">
        <v>989</v>
      </c>
      <c r="B343" s="228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5" t="s">
        <v>960</v>
      </c>
      <c r="B345" s="227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9" t="s">
        <v>989</v>
      </c>
      <c r="B368" s="2300"/>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openxmlformats.org/package/2006/metadata/core-properties"/>
    <ds:schemaRef ds:uri="d21dc803-237d-4c68-8692-8d731fd29118"/>
    <ds:schemaRef ds:uri="4d435f69-8686-490b-bd6d-b153bf22ab50"/>
    <ds:schemaRef ds:uri="http://www.w3.org/XML/1998/namespace"/>
    <ds:schemaRef ds:uri="http://purl.org/dc/elements/1.1/"/>
    <ds:schemaRef ds:uri="http://schemas.microsoft.com/office/2006/documentManagement/types"/>
    <ds:schemaRef ds:uri="http://schemas.microsoft.com/office/infopath/2007/PartnerControls"/>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2021-01-20T02:14:11Z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