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BB817A4-2E4E-4DC7-B906-0CD14347E5CC}" xr6:coauthVersionLast="36" xr6:coauthVersionMax="36" xr10:uidLastSave="{00000000-0000-0000-0000-000000000000}"/>
  <bookViews>
    <workbookView xWindow="0" yWindow="0" windowWidth="21600" windowHeight="9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H13"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57" i="184"/>
  <c r="N68" i="184" s="1"/>
  <c r="E68" i="184"/>
  <c r="L16" i="11"/>
  <c r="B2061" i="106" s="1"/>
  <c r="D2061" i="106" s="1"/>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<sst xmlns="http://schemas.openxmlformats.org/spreadsheetml/2006/main" count="5126" uniqueCount="2068">
  <si>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</si>
  <si>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</si>
  <si>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</si>
  <si>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</si>
  <si>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</si>
  <si>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</si>
  <si>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</si>
  <si>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</si>
  <si>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</si>
  <si>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</si>
  <si>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</si>
  <si>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</si>
  <si>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</si>
  <si>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</si>
  <si>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</si>
  <si>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</si>
  <si>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</si>
  <si>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</si>
  <si>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</si>
  <si>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</si>
  <si>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</si>
  <si>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</si>
  <si>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</si>
  <si>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</si>
  <si>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</si>
  <si>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</si>
  <si>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</si>
  <si>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</si>
  <si>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</si>
  <si>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</si>
  <si>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</si>
  <si>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</si>
  <si>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</si>
  <si>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</si>
  <si>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</si>
  <si>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</si>
  <si>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</si>
  <si>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</si>
  <si>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</si>
  <si>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</si>
  <si>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</si>
  <si>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</si>
  <si>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</si>
  <si>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</si>
  <si>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</si>
  <si>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</si>
  <si>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</si>
  <si>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</si>
  <si>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</si>
  <si>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</si>
  <si>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</si>
  <si>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</si>
  <si>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</si>
  <si>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</si>
  <si>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</si>
  <si>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</si>
  <si>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</si>
  <si>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</si>
  <si>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</si>
  <si>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</si>
  <si>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</si>
  <si>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</si>
  <si>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</si>
  <si>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</si>
  <si>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</si>
  <si>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</si>
  <si>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</si>
  <si>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</si>
  <si>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</si>
  <si>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</si>
  <si>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</si>
  <si>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</si>
  <si>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</si>
  <si>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</si>
  <si>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</si>
  <si>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</si>
  <si>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</si>
  <si>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</si>
  <si>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</si>
  <si>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</si>
  <si>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</si>
  <si>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</si>
  <si>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</si>
  <si>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</si>
  <si>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</si>
  <si>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</si>
  <si>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</si>
  <si>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</si>
  <si>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</si>
  <si>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</si>
  <si>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</si>
  <si>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</si>
  <si>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</si>
  <si>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</si>
  <si>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</si>
  <si>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</si>
  <si>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</si>
  <si>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</si>
  <si>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</si>
  <si>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</si>
  <si>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</si>
  <si>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</si>
  <si>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</si>
  <si>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</si>
  <si>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</si>
  <si>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</si>
  <si>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</si>
  <si>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</si>
  <si>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</si>
  <si>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</si>
  <si>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</si>
  <si>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</si>
  <si>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</si>
  <si>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</si>
  <si>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</si>
  <si>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</si>
  <si>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</si>
  <si>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</si>
  <si>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</si>
  <si>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</si>
  <si>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</si>
  <si>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</si>
  <si>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</si>
  <si>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</si>
  <si>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</si>
  <si>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</si>
  <si>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</si>
  <si>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</si>
  <si>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</si>
  <si>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</si>
  <si>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</si>
  <si>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</si>
  <si>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</si>
  <si>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</si>
  <si>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</si>
  <si>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</si>
  <si>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</si>
  <si>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</si>
  <si>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</si>
  <si>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</si>
  <si>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</si>
  <si>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</si>
  <si>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</si>
  <si>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</si>
  <si>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</si>
  <si>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</si>
  <si>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</si>
  <si>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</si>
  <si>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</si>
  <si>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</si>
  <si>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</si>
  <si>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</si>
  <si>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</si>
  <si>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</si>
  <si>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</si>
  <si>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</si>
  <si>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</si>
  <si>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</si>
  <si>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</si>
  <si>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</si>
  <si>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</si>
  <si>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</si>
  <si>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</si>
  <si>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</si>
  <si>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</si>
  <si>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</si>
  <si>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</si>
  <si>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</si>
  <si>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</si>
  <si>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</si>
  <si>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</si>
  <si>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</si>
  <si>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</si>
  <si>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</si>
  <si>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</si>
  <si>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</si>
  <si>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</si>
  <si>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</si>
  <si>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</si>
  <si>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</si>
  <si>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</si>
  <si>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</si>
  <si>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</si>
  <si>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</si>
  <si>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</si>
  <si>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</si>
  <si>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</si>
  <si>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</si>
  <si>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</si>
  <si>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</si>
  <si>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</si>
  <si>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</si>
  <si>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</si>
  <si>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</si>
  <si>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</si>
  <si>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</si>
  <si>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</si>
  <si>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</si>
  <si>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</si>
  <si>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</si>
  <si>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</si>
  <si>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</si>
  <si>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</si>
  <si>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</si>
  <si>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</si>
  <si>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</si>
  <si>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</si>
  <si>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</si>
  <si>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</si>
  <si>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</si>
  <si>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</si>
  <si>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</si>
  <si>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</si>
  <si>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</si>
  <si>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</si>
  <si>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</si>
  <si>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</si>
  <si>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</si>
  <si>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</si>
  <si>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</si>
  <si>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</si>
  <si>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</si>
  <si>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</si>
  <si>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</si>
  <si>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</si>
  <si>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</si>
  <si>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</si>
  <si>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</si>
  <si>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</si>
  <si>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</si>
  <si>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</si>
  <si>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</si>
  <si>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</si>
  <si>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</si>
  <si>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</si>
  <si>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</si>
  <si>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</si>
  <si>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</si>
  <si>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</si>
  <si>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</si>
  <si>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</si>
  <si>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</si>
  <si>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</si>
  <si>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</si>
  <si>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</si>
  <si>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</si>
  <si>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</si>
  <si>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</si>
  <si>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</si>
  <si>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</si>
  <si>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</si>
  <si>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</si>
  <si>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</si>
  <si>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</si>
  <si>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</si>
  <si>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</si>
  <si>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</si>
  <si>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</si>
  <si>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</si>
  <si>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</si>
  <si>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</si>
  <si>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</si>
  <si>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</si>
  <si>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</si>
  <si>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</si>
  <si>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</si>
  <si>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</si>
  <si>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</si>
  <si>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</si>
  <si>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</si>
  <si>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</si>
  <si>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</si>
  <si>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</si>
  <si>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</si>
  <si>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</si>
  <si>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</si>
  <si>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</si>
  <si>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</si>
  <si>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</si>
  <si>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</si>
  <si>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</si>
  <si>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</si>
  <si>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</si>
  <si>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</si>
  <si>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</si>
  <si>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</si>
  <si>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</si>
  <si>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</si>
  <si>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</si>
  <si>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</si>
  <si>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</si>
  <si>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</si>
  <si>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</si>
  <si>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</si>
  <si>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</si>
  <si>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</si>
  <si>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</si>
  <si>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</si>
  <si>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</si>
  <si>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</si>
  <si>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</si>
  <si>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</si>
  <si>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</si>
  <si>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</si>
  <si>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</si>
  <si>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</si>
  <si>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</si>
  <si>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</si>
  <si>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</si>
  <si>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</si>
  <si>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</si>
  <si>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</si>
  <si>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</si>
  <si>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</si>
  <si>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</si>
  <si>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</si>
  <si>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</si>
  <si>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</si>
  <si>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</si>
  <si>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</si>
  <si>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</si>
  <si>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</si>
  <si>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</si>
  <si>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</si>
  <si>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</si>
  <si>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</si>
  <si>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</si>
  <si>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</si>
  <si>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</si>
  <si>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</si>
  <si>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</si>
  <si>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</si>
  <si>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</si>
  <si>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</si>
  <si>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</si>
  <si>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</si>
  <si>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</si>
  <si>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</si>
  <si>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</si>
  <si>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</si>
  <si>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</si>
  <si>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</si>
  <si>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</si>
  <si>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</si>
  <si>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</si>
  <si>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</si>
  <si>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</si>
  <si>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</si>
  <si>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</si>
  <si>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</si>
  <si>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</si>
  <si>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</si>
  <si>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</si>
  <si>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</si>
  <si>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</si>
  <si>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</si>
  <si>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</si>
  <si>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</si>
  <si>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</si>
  <si>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</si>
  <si>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</si>
  <si>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</si>
  <si>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</si>
  <si>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</si>
  <si>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</si>
  <si>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</si>
  <si>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</si>
  <si>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</si>
  <si>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</si>
  <si>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</si>
  <si>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</si>
  <si>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</si>
  <si>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</si>
  <si>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</si>
  <si>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</si>
  <si>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</si>
  <si>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</si>
  <si>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</si>
  <si>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</si>
  <si>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</si>
  <si>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</si>
  <si>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</si>
  <si>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</si>
  <si>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</si>
  <si>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</si>
  <si>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</si>
  <si>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</si>
  <si>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</si>
  <si>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</si>
  <si>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</si>
  <si>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</si>
  <si>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</si>
  <si>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</si>
  <si>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</si>
  <si>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</si>
  <si>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</si>
  <si>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</si>
  <si>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</si>
  <si>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</si>
  <si>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</si>
  <si>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</si>
  <si>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</si>
  <si>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</si>
  <si>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</si>
  <si>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</si>
  <si>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</si>
  <si>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</si>
  <si>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</si>
  <si>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</si>
  <si>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</si>
  <si>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</si>
  <si>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</si>
  <si>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</si>
  <si>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</si>
  <si>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</si>
  <si>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</si>
  <si>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</si>
  <si>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</si>
  <si>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</si>
  <si>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</si>
  <si>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</si>
  <si>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</si>
  <si>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</si>
  <si>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</si>
  <si>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</si>
  <si>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</si>
  <si>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</si>
  <si>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</si>
  <si>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</si>
  <si>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</si>
  <si>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</si>
  <si>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</si>
  <si>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</si>
  <si>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</si>
  <si>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</si>
  <si>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</si>
  <si>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</si>
  <si>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</si>
  <si>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</si>
  <si>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</si>
  <si>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</si>
  <si>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</si>
  <si>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</si>
  <si>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</si>
  <si>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</si>
  <si>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</si>
  <si>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</si>
  <si>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</si>
  <si>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</si>
  <si>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</si>
  <si>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</si>
  <si>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</si>
  <si>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</si>
  <si>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</si>
  <si>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</si>
  <si>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</si>
  <si>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</si>
  <si>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</si>
  <si>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</si>
  <si>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</si>
  <si>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</si>
  <si>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</si>
  <si>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</si>
  <si>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</si>
  <si>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</si>
  <si>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</si>
  <si>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</si>
  <si>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</si>
  <si>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</si>
  <si>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</si>
  <si>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</si>
  <si>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</si>
  <si>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</si>
  <si>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</si>
  <si>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</si>
  <si>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</si>
  <si>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</si>
  <si>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</si>
  <si>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</si>
  <si>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</si>
  <si>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</si>
  <si>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</si>
  <si>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</si>
  <si>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</si>
  <si>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</si>
  <si>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</si>
  <si>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</si>
  <si>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</si>
  <si>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</si>
  <si>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</si>
  <si>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</si>
  <si>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</si>
  <si>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</si>
  <si>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</si>
  <si>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</si>
  <si>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</si>
  <si>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</si>
  <si>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</si>
  <si>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</si>
  <si>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</si>
  <si>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</si>
  <si>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</si>
  <si>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</si>
  <si>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</si>
  <si>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</si>
  <si>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</si>
  <si>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</si>
  <si>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</si>
  <si>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</si>
  <si>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</si>
  <si>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</si>
  <si>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</si>
  <si>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</si>
  <si>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</si>
  <si>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</si>
  <si>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</si>
  <si>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</si>
  <si>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</si>
  <si>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</si>
  <si>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</si>
  <si>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</si>
  <si>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</si>
  <si>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</si>
  <si>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</si>
  <si>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</si>
  <si>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</si>
  <si>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</si>
  <si>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</si>
  <si>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</si>
  <si>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</si>
  <si>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</si>
  <si>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</si>
  <si>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</si>
  <si>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</si>
  <si>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</si>
  <si>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</si>
  <si>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</si>
  <si>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</si>
  <si>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</si>
  <si>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</si>
  <si>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</si>
  <si>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</si>
  <si>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</si>
  <si>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</si>
  <si>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</si>
  <si>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</si>
  <si>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</si>
  <si>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</si>
  <si>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</si>
  <si>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</si>
  <si>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</si>
  <si>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</si>
  <si>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</si>
  <si>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</si>
  <si>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</si>
  <si>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</si>
  <si>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</si>
  <si>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</si>
  <si>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</si>
  <si>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</si>
  <si>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</si>
  <si>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</si>
  <si>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</si>
  <si>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</si>
  <si>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</si>
  <si>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</si>
  <si>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</si>
  <si>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</si>
  <si>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</si>
  <si>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</si>
  <si>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</si>
  <si>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</si>
  <si>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</si>
  <si>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</si>
  <si>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</si>
  <si>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</si>
  <si>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</si>
  <si>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</si>
  <si>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</si>
  <si>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</si>
  <si>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</si>
  <si>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</si>
  <si>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</si>
  <si>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</si>
  <si>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</si>
  <si>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</si>
  <si>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</si>
  <si>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</si>
  <si>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</si>
  <si>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</si>
  <si>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</si>
  <si>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</si>
  <si>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</si>
  <si>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</si>
  <si>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</si>
  <si>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</si>
  <si>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</si>
  <si>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</si>
  <si>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</si>
  <si>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</si>
  <si>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</si>
  <si>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</si>
  <si>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</si>
  <si>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</si>
  <si>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</si>
  <si>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</si>
  <si>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</si>
  <si>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</si>
  <si>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</si>
  <si>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</si>
  <si>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</si>
  <si>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</si>
  <si>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</si>
  <si>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</si>
  <si>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</si>
  <si>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</si>
  <si>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</si>
  <si>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</si>
  <si>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</si>
  <si>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</si>
  <si>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</si>
  <si>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</si>
  <si>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</si>
  <si>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</si>
  <si>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</si>
  <si>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</si>
  <si>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</si>
  <si>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</si>
  <si>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</si>
  <si>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</si>
  <si>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</si>
  <si>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</si>
  <si>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</si>
  <si>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</si>
  <si>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</si>
  <si>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</si>
  <si>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</si>
  <si>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</si>
  <si>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</si>
  <si>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</si>
  <si>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</si>
  <si>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</si>
  <si>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</si>
  <si>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</si>
  <si>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</si>
  <si>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</si>
  <si>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</si>
  <si>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</si>
  <si>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</si>
  <si>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</si>
  <si>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</si>
  <si>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</si>
  <si>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</si>
  <si>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</si>
  <si>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</si>
  <si>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</si>
  <si>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</si>
  <si>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</si>
  <si>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</si>
  <si>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</si>
  <si>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</si>
  <si>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</si>
  <si>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</si>
  <si>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</si>
  <si>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</si>
  <si>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</si>
  <si>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</si>
  <si>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</si>
  <si>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</si>
  <si>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</si>
  <si>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</si>
  <si>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</si>
  <si>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</si>
  <si>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</si>
  <si>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</si>
  <si>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</si>
  <si>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</si>
  <si>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</si>
  <si>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</si>
  <si>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</si>
  <si>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</si>
  <si>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</si>
  <si>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</si>
  <si>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</si>
  <si>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</si>
  <si>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</si>
  <si>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</si>
  <si>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</si>
  <si>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</si>
  <si>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</si>
  <si>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</si>
  <si>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</si>
  <si>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</si>
  <si>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</si>
  <si>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</si>
  <si>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</si>
  <si>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</si>
  <si>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</si>
  <si>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</si>
  <si>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</si>
  <si>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</si>
  <si>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</si>
  <si>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</si>
  <si>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</si>
  <si>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</si>
  <si>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</si>
  <si>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</si>
  <si>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</si>
  <si>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</si>
  <si>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</si>
  <si>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</si>
  <si>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</si>
  <si>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</si>
  <si>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</si>
  <si>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</si>
  <si>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</si>
  <si>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</si>
  <si>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</si>
  <si>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</si>
  <si>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</si>
  <si>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</si>
  <si>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</si>
  <si>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</si>
  <si>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</si>
  <si>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</si>
  <si>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</si>
  <si>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</si>
  <si>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</si>
  <si>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</si>
  <si>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</si>
  <si>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</si>
  <si>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</si>
  <si>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</si>
  <si>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</si>
  <si>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</si>
  <si>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</si>
  <si>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</si>
  <si>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</si>
  <si>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</si>
  <si>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</si>
  <si>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</si>
  <si>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</si>
  <si>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</si>
  <si>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</si>
  <si>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</si>
  <si>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</si>
  <si>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</si>
  <si>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</si>
  <si>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</si>
  <si>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</si>
  <si>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</si>
  <si>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</si>
  <si>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</si>
  <si>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</si>
  <si>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</si>
  <si>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</si>
  <si>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</si>
  <si>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</si>
  <si>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</si>
  <si>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</si>
  <si>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</si>
  <si>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</si>
  <si>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</si>
  <si>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</si>
  <si>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</si>
  <si>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</si>
  <si>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</si>
  <si>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</si>
  <si>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</si>
  <si>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</si>
  <si>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</si>
  <si>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</si>
  <si>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</si>
  <si>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</si>
  <si>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</si>
  <si>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</si>
  <si>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</si>
  <si>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</si>
  <si>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</si>
  <si>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</si>
  <si>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</si>
  <si>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</si>
  <si>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</si>
  <si>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</si>
  <si>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</si>
  <si>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</si>
  <si>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</si>
  <si>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</si>
  <si>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</si>
  <si>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</si>
  <si>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</si>
  <si>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</si>
  <si>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</si>
  <si>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</si>
  <si>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</si>
  <si>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</si>
  <si>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</si>
  <si>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</si>
  <si>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</si>
  <si>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</si>
  <si>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</si>
  <si>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</si>
  <si>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</si>
  <si>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</si>
  <si>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</si>
  <si>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</si>
  <si>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</si>
  <si>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</si>
  <si>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</si>
  <si>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</si>
  <si>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</si>
  <si>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</si>
  <si>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</si>
  <si>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</si>
  <si>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</si>
  <si>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</si>
  <si>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</si>
  <si>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</si>
  <si>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</si>
  <si>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</si>
  <si>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</si>
  <si>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</si>
  <si>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</si>
  <si>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</si>
  <si>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</si>
  <si>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</si>
  <si>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</si>
  <si>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</si>
  <si>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</si>
  <si>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</si>
  <si>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</si>
  <si>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</si>
  <si>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</si>
  <si>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</si>
  <si>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</si>
  <si>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</si>
  <si>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</si>
  <si>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</si>
  <si>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</si>
  <si>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</si>
  <si>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</si>
  <si>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</si>
  <si>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</si>
  <si>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</si>
  <si>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</si>
  <si>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</si>
  <si>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</si>
  <si>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</si>
  <si>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</si>
  <si>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</si>
  <si>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</si>
  <si>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</si>
  <si>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</si>
  <si>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</si>
  <si>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</si>
  <si>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</si>
  <si>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</si>
  <si>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</si>
  <si>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</si>
  <si>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</si>
  <si>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</si>
  <si>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</si>
  <si>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</si>
  <si>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</si>
  <si>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</si>
  <si>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</si>
  <si>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</si>
  <si>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</si>
  <si>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</si>
  <si>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</si>
  <si>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</si>
  <si>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</si>
  <si>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</si>
  <si>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</si>
  <si>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</si>
  <si>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</si>
  <si>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</si>
  <si>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</si>
  <si>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</si>
  <si>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</si>
  <si>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</si>
  <si>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</si>
  <si>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</si>
  <si>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</si>
  <si>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</si>
  <si>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</si>
  <si>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</si>
  <si>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</si>
  <si>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</si>
  <si>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</si>
  <si>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</si>
  <si>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</si>
  <si>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</si>
  <si>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</si>
  <si>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</si>
  <si>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</si>
  <si>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</si>
  <si>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</si>
  <si>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</si>
  <si>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</si>
  <si>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</si>
  <si>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</si>
  <si>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</si>
  <si>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</si>
  <si>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</si>
  <si>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</si>
  <si>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</si>
  <si>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</si>
  <si>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</si>
  <si>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</si>
  <si>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</si>
  <si>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</si>
  <si>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</si>
  <si>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</si>
  <si>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</si>
  <si>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</si>
  <si>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</si>
  <si>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</si>
  <si>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</si>
  <si>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</si>
  <si>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</si>
  <si>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</si>
  <si>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</si>
  <si>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</si>
  <si>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</si>
  <si>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</si>
  <si>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</si>
  <si>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</si>
  <si>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</si>
  <si>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</si>
  <si>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</si>
  <si>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</si>
  <si>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</si>
  <si>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</si>
  <si>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</si>
  <si>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</si>
  <si>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</si>
  <si>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</si>
  <si>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</si>
  <si>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</si>
  <si>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</si>
  <si>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</si>
  <si>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</si>
  <si>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</si>
  <si>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</si>
  <si>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</si>
  <si>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</si>
  <si>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</si>
  <si>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</si>
  <si>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</si>
  <si>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</si>
  <si>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</si>
  <si>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</si>
  <si>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</si>
  <si>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</si>
  <si>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</si>
  <si>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</si>
  <si>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</si>
  <si>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</si>
  <si>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</si>
  <si>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</si>
  <si>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</si>
  <si>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</si>
  <si>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</si>
  <si>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</si>
  <si>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</si>
  <si>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</si>
  <si>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</si>
  <si>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</si>
  <si>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</si>
  <si>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</si>
  <si>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</si>
  <si>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</si>
  <si>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</si>
  <si>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</si>
  <si>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</si>
  <si>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</si>
  <si>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</si>
  <si>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</si>
  <si>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</si>
  <si>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</si>
  <si>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</si>
  <si>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</si>
  <si>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</si>
  <si>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</si>
  <si>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</si>
  <si>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</si>
  <si>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</si>
  <si>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</si>
  <si>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</si>
  <si>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</si>
  <si>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</si>
  <si>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</si>
  <si>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</si>
  <si>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</si>
  <si>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</si>
  <si>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</si>
  <si>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</si>
  <si>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</si>
  <si>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</si>
  <si>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</si>
  <si>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</si>
  <si>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</si>
  <si>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</si>
  <si>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</si>
  <si>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</si>
  <si>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</si>
  <si>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</si>
  <si>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</si>
  <si>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</si>
  <si>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</si>
  <si>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</si>
  <si>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</si>
  <si>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</si>
  <si>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</si>
  <si>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</si>
  <si>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</si>
  <si>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</si>
  <si>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</si>
  <si>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</si>
  <si>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</si>
  <si>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</si>
  <si>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</si>
  <si>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</si>
  <si>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</si>
  <si>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</si>
  <si>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</si>
  <si>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</si>
  <si>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</si>
  <si>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</si>
  <si>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</si>
  <si>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</si>
  <si>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</si>
  <si>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</si>
  <si>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</si>
  <si>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</si>
  <si>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</si>
  <si>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</si>
  <si>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</si>
  <si>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</si>
  <si>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</si>
  <si>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</si>
  <si>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</si>
  <si>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</si>
  <si>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</si>
  <si>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</si>
  <si>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</si>
  <si>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</si>
  <si>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</si>
  <si>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</si>
  <si>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</si>
  <si>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</si>
  <si>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</si>
  <si>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</si>
  <si>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</si>
  <si>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</si>
  <si>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</si>
  <si>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</si>
  <si>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</si>
  <si>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</si>
  <si>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</si>
  <si>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</si>
  <si>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</si>
  <si>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</si>
  <si>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</si>
  <si>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</si>
  <si>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</si>
  <si>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</si>
  <si>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</si>
  <si>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</si>
  <si>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</si>
  <si>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</si>
  <si>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</si>
  <si>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</si>
  <si>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</si>
  <si>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</si>
  <si>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</si>
  <si>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</si>
  <si>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</si>
  <si>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</si>
  <si>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</si>
  <si>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</si>
  <si>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</si>
  <si>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</si>
  <si>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</si>
  <si>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</si>
  <si>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</si>
  <si>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</si>
  <si>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</si>
  <si>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</si>
  <si>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</si>
  <si>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</si>
  <si>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</si>
  <si>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</si>
  <si>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</si>
  <si>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</si>
  <si>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</si>
  <si>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</si>
  <si>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</si>
  <si>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</si>
  <si>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</si>
  <si>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</si>
  <si>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</si>
  <si>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</si>
  <si>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</si>
  <si>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</si>
  <si>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</si>
  <si>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</si>
  <si>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</si>
  <si>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</si>
  <si>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</si>
  <si>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</si>
  <si>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</si>
  <si>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</si>
  <si>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</si>
  <si>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</si>
  <si>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</si>
  <si>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</si>
  <si>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</si>
  <si>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</si>
  <si>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</si>
  <si>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</si>
  <si>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</si>
  <si>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</si>
  <si>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</si>
  <si>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</si>
  <si>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</si>
  <si>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</si>
  <si>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</si>
  <si>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</si>
  <si>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</si>
  <si>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</si>
  <si>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</si>
  <si>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</si>
  <si>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</si>
  <si>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</si>
  <si>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</si>
  <si>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</si>
  <si>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</si>
  <si>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</si>
  <si>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</si>
  <si>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</si>
  <si>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</si>
  <si>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</si>
  <si>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</si>
  <si>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</si>
  <si>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</si>
  <si>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</si>
  <si>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</si>
  <si>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</si>
  <si>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</si>
  <si>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</si>
  <si>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</si>
  <si>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</si>
  <si>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</si>
  <si>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</si>
  <si>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</si>
  <si>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</si>
  <si>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</si>
  <si>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</si>
  <si>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</si>
  <si>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</si>
  <si>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</si>
  <si>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</si>
  <si>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</si>
  <si>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</si>
  <si>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</si>
  <si>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</si>
  <si>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</si>
  <si>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</si>
  <si>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</si>
  <si>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</si>
  <si>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</si>
  <si>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</si>
  <si>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</si>
  <si>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</si>
  <si>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</si>
  <si>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</si>
  <si>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</si>
  <si>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</si>
  <si>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</si>
  <si>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</si>
  <si>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</si>
  <si>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</si>
  <si>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</si>
  <si>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</si>
  <si>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</si>
  <si>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</si>
  <si>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</si>
  <si>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</si>
  <si>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</si>
  <si>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</si>
  <si>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</si>
  <si>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</si>
  <si>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</si>
  <si>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</si>
  <si>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</si>
  <si>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</si>
  <si>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</si>
  <si>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</si>
  <si>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</si>
  <si>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</si>
  <si>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</si>
  <si>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</si>
  <si>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</si>
  <si>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</si>
  <si>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</si>
  <si>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</si>
  <si>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</si>
  <si>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</si>
  <si>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</si>
  <si>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</si>
  <si>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</si>
  <si>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</si>
  <si>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</si>
  <si>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</si>
  <si>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</si>
  <si>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</si>
  <si>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</si>
  <si>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</si>
  <si>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</si>
  <si>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</si>
  <si>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</si>
  <si>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</si>
  <si>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</si>
  <si>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</si>
  <si>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</si>
  <si>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</si>
  <si>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</si>
  <si>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</si>
  <si>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</si>
  <si>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</si>
  <si>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</si>
  <si>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</si>
  <si>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</si>
  <si>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</si>
  <si>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</si>
  <si>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</si>
  <si>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</si>
  <si>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</si>
  <si>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</si>
  <si>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</si>
  <si>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</si>
  <si>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</si>
  <si>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</si>
  <si>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</si>
  <si>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</si>
  <si>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</si>
  <si>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</si>
  <si>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</si>
  <si>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</si>
  <si>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</si>
  <si>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</si>
  <si>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</si>
  <si>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</si>
  <si>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</si>
  <si>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</si>
  <si>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</si>
  <si>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</si>
  <si>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</si>
  <si>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</si>
  <si>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</si>
  <si>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</si>
  <si>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</si>
  <si>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</si>
  <si>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</si>
  <si>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</si>
  <si>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</si>
  <si>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</si>
  <si>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</si>
  <si>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</si>
  <si>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</si>
  <si>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</si>
  <si>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</si>
  <si>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</si>
  <si>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</si>
  <si>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</si>
  <si>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</si>
  <si>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</si>
  <si>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</si>
  <si>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</si>
  <si>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</si>
  <si>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</si>
  <si>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</si>
  <si>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</si>
  <si>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</si>
  <si>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</si>
  <si>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</si>
  <si>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</si>
  <si>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</si>
  <si>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</si>
  <si>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</si>
  <si>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</si>
  <si>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</si>
  <si>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</si>
  <si>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</si>
  <si>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</si>
  <si>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</si>
  <si>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</si>
  <si>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</si>
  <si>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</si>
  <si>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</si>
  <si>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</si>
  <si>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</si>
  <si>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</si>
  <si>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</si>
  <si>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</si>
  <si>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</si>
  <si>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</si>
  <si>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</si>
  <si>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</si>
  <si>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</si>
  <si>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</si>
  <si>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</si>
  <si>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</si>
  <si>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</si>
  <si>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</si>
  <si>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</si>
  <si>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</si>
  <si>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</si>
  <si>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</si>
  <si>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</si>
  <si>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</si>
  <si>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</si>
  <si>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</si>
  <si>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</si>
  <si>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</si>
  <si>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</si>
  <si>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</si>
  <si>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</si>
  <si>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</si>
  <si>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</si>
  <si>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</si>
  <si>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</si>
  <si>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</si>
  <si>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</si>
  <si>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</si>
  <si>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</si>
  <si>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</si>
  <si>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</si>
  <si>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</si>
  <si>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</si>
  <si>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</si>
  <si>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</si>
  <si>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</si>
  <si>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</si>
  <si>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</si>
  <si>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</si>
  <si>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</si>
  <si>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</si>
  <si>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</si>
  <si>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</si>
  <si>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</si>
  <si>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</si>
  <si>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</si>
  <si>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</si>
  <si>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</si>
  <si>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</si>
  <si>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</si>
  <si>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</si>
  <si>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</si>
  <si>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</si>
  <si>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</si>
  <si>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</si>
  <si>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</si>
  <si>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</si>
  <si>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</si>
  <si>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</si>
  <si>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</si>
  <si>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</si>
  <si>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</si>
  <si>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</si>
  <si>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</si>
  <si>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</si>
  <si>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</si>
  <si>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</si>
  <si>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</si>
  <si>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</si>
  <si>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</si>
  <si>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</si>
  <si>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</si>
  <si>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</si>
  <si>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</si>
  <si>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</si>
  <si>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</si>
  <si>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</si>
  <si>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</si>
  <si>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</si>
  <si>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</si>
  <si>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</si>
  <si>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</si>
  <si>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</si>
  <si>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</si>
  <si>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</si>
  <si>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</si>
  <si>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</si>
  <si>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</si>
  <si>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</si>
  <si>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</si>
  <si>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</si>
  <si>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</si>
  <si>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</si>
  <si>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</si>
  <si>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</si>
  <si>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</si>
  <si>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</si>
  <si>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</si>
  <si>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</si>
  <si>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</si>
  <si>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</si>
  <si>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</si>
  <si>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</si>
  <si>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</si>
  <si>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</si>
  <si>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</si>
  <si>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</si>
  <si>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</si>
  <si>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</si>
  <si>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</si>
  <si>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</si>
  <si>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</si>
  <si>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</si>
  <si>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</si>
  <si>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</si>
  <si>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</si>
  <si>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</si>
  <si>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</si>
  <si>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</si>
  <si>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</si>
  <si>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</si>
  <si>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</si>
  <si>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</si>
  <si>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</si>
  <si>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</si>
  <si>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</si>
  <si>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</si>
  <si>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</si>
  <si>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</si>
  <si>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</si>
  <si>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</si>
  <si>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</si>
  <si>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</si>
  <si>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</si>
  <si>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</si>
  <si>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</si>
  <si>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</si>
  <si>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</si>
  <si>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</si>
  <si>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</si>
  <si>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</si>
  <si>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</si>
  <si>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</si>
  <si>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</si>
  <si>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</si>
  <si>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</si>
  <si>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</si>
  <si>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</si>
  <si>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</si>
  <si>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</si>
  <si>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</si>
  <si>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</si>
  <si>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</si>
  <si>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</si>
  <si>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</si>
  <si>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</si>
  <si>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</si>
  <si>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</si>
  <si>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</si>
  <si>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</si>
  <si>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</si>
  <si>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</si>
  <si>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</si>
  <si>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</si>
  <si>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</si>
  <si>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</si>
  <si>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</si>
  <si>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</si>
  <si>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</si>
  <si>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</si>
  <si>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</si>
  <si>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</si>
  <si>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</si>
  <si>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</si>
  <si>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</si>
  <si>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</si>
  <si>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</si>
  <si>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</si>
  <si>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</si>
  <si>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</si>
  <si>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</si>
  <si>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</si>
  <si>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</si>
  <si>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</si>
  <si>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</si>
  <si>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</si>
  <si>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</si>
  <si>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</si>
  <si>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</si>
  <si>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</si>
  <si>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</si>
  <si>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</si>
  <si>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</si>
  <si>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</si>
  <si>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</si>
  <si>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</si>
  <si>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</si>
  <si>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</si>
  <si>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</si>
  <si>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</si>
  <si>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</si>
  <si>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</si>
  <si>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</si>
  <si>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</si>
  <si>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</si>
  <si>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</si>
  <si>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</si>
  <si>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</si>
  <si>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</si>
  <si>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</si>
  <si>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</si>
  <si>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</si>
  <si>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</si>
  <si>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</si>
  <si>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</si>
  <si>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</si>
  <si>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</si>
  <si>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</si>
  <si>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</si>
  <si>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</si>
  <si>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</si>
  <si>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</si>
  <si>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</si>
  <si>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</si>
  <si>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</si>
  <si>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</si>
  <si>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</si>
  <si>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</si>
  <si>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</si>
  <si>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</si>
  <si>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</si>
  <si>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</si>
  <si>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</si>
  <si>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</si>
  <si>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</si>
  <si>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</si>
  <si>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</si>
  <si>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</si>
  <si>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</si>
  <si>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</si>
  <si>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</si>
  <si>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</si>
  <si>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</si>
  <si>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</si>
  <si>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</si>
  <si>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</si>
  <si>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</si>
  <si>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</si>
  <si>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</si>
  <si>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</si>
  <si>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</si>
  <si>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</si>
  <si>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</si>
  <si>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</si>
  <si>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</si>
  <si>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</si>
  <si>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</si>
  <si>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</si>
  <si>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</si>
  <si>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</si>
  <si>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</si>
  <si>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</si>
  <si>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</si>
  <si>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</si>
  <si>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</si>
  <si>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</si>
  <si>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</si>
  <si>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</si>
  <si>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</si>
  <si>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</si>
  <si>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</si>
  <si>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</si>
  <si>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</si>
  <si>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</si>
  <si>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</si>
  <si>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</si>
  <si>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</si>
  <si>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</si>
  <si>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</si>
  <si>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</si>
  <si>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</si>
  <si>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</si>
  <si>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</si>
  <si>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</si>
  <si>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</si>
  <si>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</si>
  <si>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</si>
  <si>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</si>
  <si>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</si>
  <si>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</si>
  <si>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</si>
  <si>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</si>
  <si>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</si>
  <si>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</si>
  <si>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</si>
  <si>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</si>
  <si>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</si>
  <si>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</si>
  <si>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</si>
  <si>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</si>
  <si>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</si>
  <si>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</si>
  <si>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</si>
  <si>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</si>
  <si>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</si>
  <si>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</si>
  <si>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</si>
  <si>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</si>
  <si>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</si>
  <si>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</si>
  <si>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</si>
  <si>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</si>
  <si>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</si>
  <si>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</si>
  <si>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</si>
  <si>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</si>
  <si>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</si>
  <si>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</si>
  <si>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</si>
  <si>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</si>
  <si>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</si>
  <si>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</si>
  <si>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</si>
  <si>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</si>
  <si>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</si>
  <si>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</si>
  <si>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</si>
  <si>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</si>
  <si>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</si>
  <si>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</si>
  <si>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</si>
  <si>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</si>
  <si>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</si>
  <si>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</si>
  <si>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</si>
  <si>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</si>
  <si>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</si>
  <si>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</si>
  <si>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</si>
  <si>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</si>
  <si>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</si>
  <si>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</si>
  <si>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</si>
  <si>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</si>
  <si>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</si>
  <si>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</si>
  <si>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</si>
  <si>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</si>
  <si>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</si>
  <si>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</si>
  <si>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</si>
  <si>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</si>
  <si>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</si>
  <si>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</si>
  <si>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</si>
  <si>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</si>
  <si>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</si>
  <si>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</si>
  <si>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</si>
  <si>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</si>
  <si>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</si>
  <si>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</si>
  <si>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</si>
  <si>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</si>
  <si>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</si>
  <si>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</si>
  <si>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</si>
  <si>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</si>
  <si>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</si>
  <si>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</si>
  <si>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</si>
  <si>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</si>
  <si>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</si>
  <si>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</si>
  <si>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</si>
  <si>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</si>
  <si>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</si>
  <si>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</si>
  <si>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</si>
  <si>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</si>
  <si>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</si>
  <si>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</si>
  <si>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</si>
  <si>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</si>
  <si>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</si>
  <si>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</si>
  <si>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</si>
  <si>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</si>
  <si>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</si>
  <si>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</si>
  <si>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</si>
  <si>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</si>
  <si>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</si>
  <si>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</si>
  <si>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</si>
  <si>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</si>
  <si>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</si>
  <si>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</si>
  <si>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</si>
  <si>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</si>
  <si>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</si>
  <si>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</si>
  <si>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</si>
  <si>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</si>
  <si>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</si>
  <si>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</si>
  <si>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</si>
  <si>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</si>
  <si>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</si>
  <si>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</si>
  <si>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</si>
  <si>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</si>
  <si>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</si>
  <si>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</si>
  <si>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</si>
  <si>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</si>
  <si>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</si>
  <si>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</si>
  <si>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</si>
  <si>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</si>
  <si>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</si>
  <si>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</si>
  <si>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</si>
  <si>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</si>
  <si>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</si>
  <si>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</si>
  <si>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</si>
  <si>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</si>
  <si>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</si>
  <si>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</si>
  <si>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</si>
  <si>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</si>
  <si>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</si>
  <si>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</si>
  <si>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</si>
  <si>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</si>
  <si>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</si>
  <si>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</si>
  <si>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</si>
  <si>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</si>
  <si>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</si>
  <si>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</si>
  <si>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</si>
  <si>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</si>
  <si>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</si>
  <si>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</si>
  <si>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</si>
  <si>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</si>
  <si>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</si>
  <si>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</si>
  <si>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</si>
  <si>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</si>
  <si>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</si>
  <si>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</si>
  <si>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</si>
  <si>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</si>
  <si>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</si>
  <si>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</si>
  <si>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</si>
  <si>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</si>
  <si>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</si>
  <si>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</si>
  <si>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</si>
  <si>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</si>
  <si>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</si>
  <si>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</si>
  <si>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</si>
  <si>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</si>
  <si>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</si>
  <si>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</si>
  <si>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</si>
  <si>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</si>
  <si>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</si>
  <si>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</si>
  <si>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</si>
  <si>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</si>
  <si>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</si>
  <si>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</si>
  <si>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</si>
  <si>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</si>
  <si>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</si>
  <si>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</si>
  <si>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</si>
  <si>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</si>
  <si>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</si>
  <si>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</si>
  <si>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</si>
  <si>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</si>
  <si>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</si>
  <si>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</si>
  <si>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</si>
  <si>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</si>
  <si>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</si>
  <si>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</si>
  <si>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</si>
  <si>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</si>
  <si>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</si>
  <si>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</si>
  <si>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</si>
  <si>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</si>
  <si>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</si>
  <si>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</si>
  <si>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</si>
  <si>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</si>
  <si>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</si>
  <si>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</si>
  <si>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</si>
  <si>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</si>
  <si>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</si>
  <si>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</si>
  <si>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</si>
  <si>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</si>
  <si>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</si>
  <si>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</si>
  <si>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</si>
  <si>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</si>
  <si>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</si>
  <si>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</si>
  <si>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</si>
  <si>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</si>
  <si>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</si>
  <si>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</si>
  <si>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</si>
  <si>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</si>
  <si>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</si>
  <si>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</si>
  <si>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</si>
  <si>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</si>
  <si>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</si>
  <si>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</si>
  <si>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</si>
  <si>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</si>
  <si>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</si>
  <si>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</si>
  <si>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</si>
  <si>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</si>
  <si>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</si>
  <si>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</si>
  <si>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</si>
  <si>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</si>
  <si>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</si>
  <si>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</si>
  <si>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</si>
  <si>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</si>
  <si>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</si>
  <si>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</si>
  <si>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</si>
  <si>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</si>
  <si>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</si>
  <si>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</si>
  <si>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</si>
  <si>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</si>
  <si>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</si>
  <si>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</si>
  <si>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</si>
  <si>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</si>
  <si>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</si>
  <si>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</si>
  <si>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</si>
  <si>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</si>
  <si>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</si>
  <si>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</si>
  <si>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</si>
  <si>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</si>
  <si>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</si>
  <si>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</si>
  <si>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</si>
  <si>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</si>
  <si>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</si>
  <si>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</si>
  <si>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</si>
  <si>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</si>
  <si>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</si>
  <si>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</si>
  <si>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</si>
  <si>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</si>
  <si>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</si>
  <si>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</si>
  <si>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</si>
  <si>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</si>
  <si>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</si>
  <si>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</si>
  <si>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</si>
  <si>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</si>
  <si>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</si>
  <si>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</si>
  <si>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</si>
  <si>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</si>
  <si>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</si>
  <si>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</si>
  <si>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</si>
  <si>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</si>
  <si>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</si>
  <si>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</si>
  <si>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</si>
  <si>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</si>
  <si>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</si>
  <si>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</si>
  <si>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</si>
  <si>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</si>
  <si>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</si>
  <si>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</si>
  <si>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</si>
  <si>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</si>
  <si>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</si>
  <si>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</si>
  <si>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</si>
  <si>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</si>
  <si>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</si>
  <si>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</si>
  <si>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</si>
  <si>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</si>
  <si>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</si>
  <si>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</si>
  <si>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</si>
  <si>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</si>
  <si>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</si>
  <si>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</si>
  <si>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</si>
  <si>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</si>
  <si>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</si>
  <si>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</si>
  <si>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</si>
  <si>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</si>
  <si>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</si>
  <si>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</si>
  <si>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</si>
  <si>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</si>
  <si>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</si>
  <si>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</si>
  <si>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</si>
  <si>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</si>
  <si>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</si>
  <si>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</si>
  <si>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</si>
  <si>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</si>
  <si>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</si>
  <si>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</si>
  <si>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</si>
  <si>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</si>
  <si>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</si>
  <si>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</si>
  <si>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</si>
  <si>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</si>
  <si>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</si>
  <si>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</si>
  <si>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</si>
  <si>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</si>
  <si>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</si>
  <si>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</si>
  <si>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</si>
  <si>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</si>
  <si>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</si>
  <si>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</si>
  <si>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</si>
  <si>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</si>
  <si>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</si>
  <si>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</si>
  <si>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</si>
  <si>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</si>
  <si>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</si>
  <si>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</si>
  <si>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</si>
  <si>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</si>
  <si>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</si>
  <si>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</si>
  <si>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</si>
  <si>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</si>
  <si>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</si>
  <si>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</si>
  <si>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</si>
  <si>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</si>
  <si>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</si>
  <si>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</si>
  <si>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</si>
  <si>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</si>
  <si>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</si>
  <si>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</si>
  <si>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</si>
  <si>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</si>
  <si>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</si>
  <si>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</si>
  <si>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</si>
  <si>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</si>
  <si>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</si>
  <si>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</si>
  <si>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</si>
  <si>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</si>
  <si>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</si>
  <si>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</si>
  <si>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</si>
  <si>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</si>
  <si>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</si>
  <si>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</si>
  <si>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</si>
  <si>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</si>
  <si>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</si>
  <si>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</si>
  <si>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</si>
  <si>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</si>
  <si>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</si>
  <si>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</si>
  <si>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</si>
  <si>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</si>
  <si>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</si>
  <si>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</si>
  <si>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</si>
  <si>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</si>
  <si>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</si>
  <si>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</si>
  <si>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</si>
  <si>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</si>
  <si>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</si>
  <si>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</si>
  <si>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</si>
  <si>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</si>
  <si>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</si>
  <si>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</si>
  <si>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</si>
  <si>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</si>
  <si>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</si>
  <si>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</si>
  <si>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</si>
  <si>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</si>
  <si>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</si>
  <si>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</si>
  <si>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</si>
  <si>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</si>
  <si>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</si>
  <si>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</si>
  <si>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</si>
  <si>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</si>
  <si>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</si>
  <si>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</si>
  <si>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</si>
  <si>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</si>
  <si>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</si>
  <si>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</si>
  <si>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</si>
  <si>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</si>
  <si>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</si>
  <si>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</si>
  <si>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</si>
  <si>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JAMES D MOTLEY, CPA</t>
  </si>
  <si>
    <t>CLARK,COLES,CUMBERLAND,DOUGLAS,EDGAR,EFFINGHAM</t>
  </si>
  <si>
    <t>JAMES D MOTLEY</t>
  </si>
  <si>
    <t>1617 LAKELAND BLVD</t>
  </si>
  <si>
    <t>MATTOON</t>
  </si>
  <si>
    <t>KYLE THOMPSON</t>
  </si>
  <si>
    <t>217-348-0151</t>
  </si>
  <si>
    <t>P16, Educational Fund, Line 83, Professional Serivces $3,304, Reimb for Supplies and Equipment $180,961, Transits $381,797.</t>
  </si>
  <si>
    <t>PARIS</t>
  </si>
  <si>
    <t>IL</t>
  </si>
  <si>
    <t>121 E WASHINGTON STREET</t>
  </si>
  <si>
    <t>217-465-8406</t>
  </si>
  <si>
    <t>065-007373</t>
  </si>
  <si>
    <t>jdmotleycpa@gmail.com</t>
  </si>
  <si>
    <t>P13, Educational Fund, Line 220, CTE-Carle Perkins-Vocational Education, Perkins TitleIIC Secondary 222,260.</t>
  </si>
  <si>
    <t xml:space="preserve">   Eastern IL Ed for Employment 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</si>
</sst>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11015735045</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2053</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2067</v>
      </c>
      <c r="B17" s="2074"/>
      <c r="C17" s="2074"/>
      <c r="D17" s="2074"/>
      <c r="E17" s="2074"/>
      <c r="F17" s="2074"/>
      <c r="G17" s="2074"/>
      <c r="H17" s="2099"/>
      <c r="T17" s="2117" t="s">
        <v>2062</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2055</v>
      </c>
      <c r="B19" s="2059"/>
      <c r="C19" s="2059"/>
      <c r="D19" s="2059"/>
      <c r="E19" s="2059"/>
      <c r="F19" s="2059"/>
      <c r="G19" s="2059"/>
      <c r="H19" s="2039"/>
      <c r="I19" s="30"/>
      <c r="J19" s="96"/>
      <c r="K19" s="40"/>
      <c r="L19" s="38"/>
      <c r="M19" s="109" t="s">
        <v>312</v>
      </c>
      <c r="P19" s="27"/>
      <c r="Q19" s="27"/>
      <c r="R19" s="27"/>
      <c r="S19" s="31"/>
      <c r="T19" s="2103" t="s">
        <v>2060</v>
      </c>
      <c r="U19" s="2038"/>
      <c r="V19" s="2038"/>
      <c r="W19" s="2039"/>
      <c r="X19" s="2115" t="s">
        <v>2061</v>
      </c>
      <c r="Y19" s="2116"/>
      <c r="Z19" s="2113">
        <v>61944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2056</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v>2174658407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2064</v>
      </c>
      <c r="U23" s="2127"/>
      <c r="V23" s="2127"/>
      <c r="W23" s="2127"/>
      <c r="X23" s="2131">
        <v>44469</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61938</v>
      </c>
      <c r="B25" s="2038"/>
      <c r="C25" s="2038"/>
      <c r="D25" s="2038"/>
      <c r="E25" s="2038"/>
      <c r="F25" s="2038"/>
      <c r="G25" s="2038"/>
      <c r="H25" s="2039"/>
      <c r="I25" s="110"/>
      <c r="J25" s="2062"/>
      <c r="K25" s="2062"/>
      <c r="L25" s="2062"/>
      <c r="M25" s="2062"/>
      <c r="N25" s="2062"/>
      <c r="O25" s="2062"/>
      <c r="P25" s="2062"/>
      <c r="Q25" s="2062"/>
      <c r="R25" s="2062"/>
      <c r="S25" s="2063"/>
      <c r="T25" s="2124" t="s">
        <v>2065</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2057</v>
      </c>
      <c r="B38" s="2074"/>
      <c r="C38" s="2074"/>
      <c r="D38" s="2074"/>
      <c r="E38" s="2074"/>
      <c r="F38" s="2038"/>
      <c r="G38" s="2038"/>
      <c r="H38" s="2039"/>
      <c r="I38" s="2066"/>
      <c r="J38" s="2067"/>
      <c r="K38" s="2067"/>
      <c r="L38" s="2067"/>
      <c r="M38" s="2067"/>
      <c r="N38" s="2067"/>
      <c r="O38" s="2067"/>
      <c r="P38" s="2068"/>
      <c r="Q38" s="2068"/>
      <c r="R38" s="2068"/>
      <c r="S38" s="2069"/>
      <c r="T38" s="2110" t="s">
        <v>2057</v>
      </c>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2058</v>
      </c>
      <c r="B42" s="2057"/>
      <c r="C42" s="2058"/>
      <c r="D42" s="2056"/>
      <c r="E42" s="2057"/>
      <c r="F42" s="2057"/>
      <c r="G42" s="2057"/>
      <c r="H42" s="2058"/>
      <c r="I42" s="2040"/>
      <c r="J42" s="2041"/>
      <c r="K42" s="2041"/>
      <c r="L42" s="2041"/>
      <c r="M42" s="2041"/>
      <c r="N42" s="2041"/>
      <c r="O42" s="2042"/>
      <c r="P42" s="2075"/>
      <c r="Q42" s="2041"/>
      <c r="R42" s="2041"/>
      <c r="S42" s="2042"/>
      <c r="T42" s="2040" t="s">
        <v>2058</v>
      </c>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935117</v>
      </c>
      <c r="D12" s="1771">
        <v>2915</v>
      </c>
      <c r="E12" s="1771"/>
      <c r="F12" s="1765">
        <f>(C12+D12)-E12</f>
        <v>938032</v>
      </c>
      <c r="G12" s="681">
        <v>10</v>
      </c>
      <c r="H12" s="619">
        <v>521952</v>
      </c>
      <c r="I12" s="619">
        <v>93803</v>
      </c>
      <c r="J12" s="619"/>
      <c r="K12" s="1442">
        <f>(H12+I12)-J12</f>
        <v>615755</v>
      </c>
      <c r="L12" s="1442">
        <f>F12-K12</f>
        <v>322277</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935117</v>
      </c>
      <c r="D16" s="1765">
        <f>SUM(D3,D5:D6,D8:D10,D12:D15)</f>
        <v>2915</v>
      </c>
      <c r="E16" s="1765">
        <f>SUM(E3,E5:E6,E8:E10,E12:E15)</f>
        <v>0</v>
      </c>
      <c r="F16" s="1765">
        <f>SUM(F3,F5:F6,F8:F10,F12:F15)</f>
        <v>938032</v>
      </c>
      <c r="G16" s="681"/>
      <c r="H16" s="1435">
        <f>SUM(H3,H6,H8:H10,H12:H14,)</f>
        <v>521952</v>
      </c>
      <c r="I16" s="1435">
        <f>SUM(I3,I6,I8:I10,I12:I14,)</f>
        <v>93803</v>
      </c>
      <c r="J16" s="1435">
        <f>SUM(J3,J6,J8:J10,J12:J14,)</f>
        <v>0</v>
      </c>
      <c r="K16" s="1435">
        <f>(H16+I16)-J16</f>
        <v>615755</v>
      </c>
      <c r="L16" s="1435">
        <f>F16-K16</f>
        <v>322277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93803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1223927</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1223927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566062</v>
      </c>
      <c r="G53" s="701"/>
    </row>
    <row r="54" spans="1:7" x14ac:dyDescent="0.2">
      <c r="A54" s="705" t="s">
        <v>456</v>
      </c>
      <c r="B54" s="705" t="s">
        <v>1459</v>
      </c>
      <c r="C54" s="724" t="s">
        <v>975</v>
      </c>
      <c r="D54" s="720" t="s">
        <v>1086</v>
      </c>
      <c r="E54" s="704"/>
      <c r="F54" s="1782">
        <f>'Expenditures 15-22'!G114</f>
        <v>2915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568977</v>
      </c>
      <c r="G77" s="701"/>
    </row>
    <row r="78" spans="1:9" s="728" customFormat="1" ht="12" customHeight="1" thickTop="1" thickBot="1" x14ac:dyDescent="0.25">
      <c r="A78" s="1450"/>
      <c r="B78" s="1448"/>
      <c r="C78" s="1445"/>
      <c r="D78" s="1449" t="s">
        <v>2012</v>
      </c>
      <c r="E78" s="1447"/>
      <c r="F78" s="1788">
        <f>(F14-F77)</f>
        <v>654950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180376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740015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222260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1142651</v>
      </c>
    </row>
    <row r="176" spans="1:7" ht="12" customHeight="1" x14ac:dyDescent="0.2">
      <c r="A176" s="1443"/>
      <c r="B176" s="1453"/>
      <c r="C176" s="1454"/>
      <c r="D176" s="1455" t="s">
        <v>2014</v>
      </c>
      <c r="E176" s="1456"/>
      <c r="F176" s="1793">
        <f>'PCTC-OEPP 27-28'!F78-F175</f>
        <v>-487701</v>
      </c>
    </row>
    <row r="177" spans="1:9" ht="12" customHeight="1" x14ac:dyDescent="0.2">
      <c r="A177" s="1443"/>
      <c r="B177" s="1453"/>
      <c r="C177" s="1454"/>
      <c r="D177" s="1455" t="s">
        <v>1794</v>
      </c>
      <c r="E177" s="1456"/>
      <c r="F177" s="1793">
        <f>'Cap Outlay Deprec 26'!I18</f>
        <v>93803</v>
      </c>
    </row>
    <row r="178" spans="1:9" ht="12" customHeight="1" x14ac:dyDescent="0.2">
      <c r="A178" s="1443"/>
      <c r="B178" s="1453"/>
      <c r="C178" s="1454"/>
      <c r="D178" s="1455" t="s">
        <v>2015</v>
      </c>
      <c r="E178" s="1456"/>
      <c r="F178" s="1793">
        <f>F176+F177</f>
        <v>-393898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344363</v>
      </c>
      <c r="F19" s="1802"/>
      <c r="G19" s="1804">
        <f>'Expenditures 15-22'!K33-SUM('Expenditures 15-22'!G33,'Expenditures 15-22'!I33)+'Expenditures 15-22'!D229</f>
        <v>344363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38773</v>
      </c>
      <c r="F21" s="1805"/>
      <c r="G21" s="1808">
        <f>'Expenditures 15-22'!K42-SUM('Expenditures 15-22'!G42,'Expenditures 15-22'!I42)+'Expenditures 15-22'!K120-SUM('Expenditures 15-22'!G120,'Expenditures 15-22'!I120)+'Expenditures 15-22'!K180-SUM('Expenditures 15-22'!G180,'Expenditures 15-22'!I180)+'Expenditures 15-22'!D238</f>
        <v>38773</v>
      </c>
      <c r="H21" s="817"/>
      <c r="I21" s="157"/>
    </row>
    <row r="22" spans="1:9" s="542" customFormat="1" ht="12" customHeight="1" x14ac:dyDescent="0.2">
      <c r="A22" s="824" t="s">
        <v>560</v>
      </c>
      <c r="B22" s="825"/>
      <c r="C22" s="823">
        <v>2200</v>
      </c>
      <c r="D22" s="1805"/>
      <c r="E22" s="1807">
        <f>'Expenditures 15-22'!K47-SUM('Expenditures 15-22'!G47,'Expenditures 15-22'!I47)+'Expenditures 15-22'!D243</f>
        <v>151551</v>
      </c>
      <c r="F22" s="1805"/>
      <c r="G22" s="1808">
        <f>'Expenditures 15-22'!K47-SUM('Expenditures 15-22'!G47,'Expenditures 15-22'!I47)+'Expenditures 15-22'!D243</f>
        <v>151551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97299</v>
      </c>
      <c r="F23" s="1805"/>
      <c r="G23" s="1807">
        <f>'Expenditures 15-22'!K53-SUM('Expenditures 15-22'!G53,'Expenditures 15-22'!I53)+'Expenditures 15-22'!D257+'Expenditures 15-22'!K330-SUM('Expenditures 15-22'!G330,'Expenditures 15-22'!I330)</f>
        <v>97299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22964</v>
      </c>
      <c r="E27" s="1807">
        <f>E8</f>
        <v>0</v>
      </c>
      <c r="F27" s="1807">
        <f>'Expenditures 15-22'!K60-SUM('Expenditures 15-22'!G60,'Expenditures 15-22'!I60)+'Expenditures 15-22'!D264-E8</f>
        <v>22964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22964</v>
      </c>
      <c r="E41" s="1809">
        <f>SUM(E19:E40)</f>
        <v>631986</v>
      </c>
      <c r="F41" s="1809">
        <f>SUM(F19:F39)</f>
        <v>22964</v>
      </c>
      <c r="G41" s="1809">
        <f>SUM(G19:G40)</f>
        <v>631986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22964</v>
      </c>
      <c r="F43" s="1458" t="s">
        <v>470</v>
      </c>
      <c r="G43" s="1810">
        <f>F41</f>
        <v>22964</v>
      </c>
    </row>
    <row r="44" spans="1:7" ht="12" customHeight="1" x14ac:dyDescent="0.2">
      <c r="A44" s="817"/>
      <c r="B44" s="157"/>
      <c r="C44" s="831"/>
      <c r="D44" s="1458" t="s">
        <v>471</v>
      </c>
      <c r="E44" s="1810">
        <f>E41</f>
        <v>631986</v>
      </c>
      <c r="F44" s="1458" t="s">
        <v>471</v>
      </c>
      <c r="G44" s="1810">
        <f>G41</f>
        <v>631986</v>
      </c>
    </row>
    <row r="45" spans="1:7" ht="12" customHeight="1" x14ac:dyDescent="0.2">
      <c r="A45" s="817"/>
      <c r="B45" s="157"/>
      <c r="C45" s="157"/>
      <c r="D45" s="1459" t="s">
        <v>999</v>
      </c>
      <c r="E45" s="1811">
        <f>(E43/E44)</f>
        <v>3.6336247954859763E-2</v>
      </c>
      <c r="F45" s="1459" t="s">
        <v>999</v>
      </c>
      <c r="G45" s="1811">
        <f>(G43/G44)</f>
        <v>3.6336247954859763E-2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Eastern IL Ed for Employment Sys</v>
      </c>
      <c r="D6" s="2415"/>
      <c r="E6" s="2415"/>
      <c r="F6" s="1482"/>
      <c r="G6" s="1507"/>
      <c r="L6" s="1507"/>
      <c r="M6" s="1855"/>
      <c r="N6" s="1855"/>
      <c r="O6" s="1855"/>
    </row>
    <row r="7" spans="1:15" ht="11.25" customHeight="1" thickBot="1" x14ac:dyDescent="0.3">
      <c r="A7" s="1480"/>
      <c r="B7" s="1481"/>
      <c r="C7" s="2416">
        <f>COVER!A13</f>
        <v>11015735045</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 xml:space="preserve">   Eastern IL Ed for Employment Sys</v>
      </c>
      <c r="K6" s="2437"/>
      <c r="L6" s="2451"/>
      <c r="M6" s="838"/>
      <c r="N6" s="2000"/>
    </row>
    <row r="7" spans="1:14" x14ac:dyDescent="0.2">
      <c r="A7" s="2452" t="s">
        <v>864</v>
      </c>
      <c r="B7" s="2453"/>
      <c r="C7" s="2453"/>
      <c r="D7" s="2453"/>
      <c r="E7" s="2454"/>
      <c r="F7" s="839"/>
      <c r="G7" s="838"/>
      <c r="H7" s="838"/>
      <c r="I7" s="1926" t="s">
        <v>369</v>
      </c>
      <c r="J7" s="2439">
        <f>COVER!A13</f>
        <v>11015735045</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0</v>
      </c>
      <c r="F12" s="1944"/>
      <c r="G12" s="1970">
        <f>G68</f>
        <v>0</v>
      </c>
      <c r="H12" s="1946">
        <f t="shared" ref="H12:H18" si="0">SUM(E12:G12)</f>
        <v>0</v>
      </c>
      <c r="I12" s="1945"/>
      <c r="J12" s="1944"/>
      <c r="K12" s="1945"/>
      <c r="L12" s="1946">
        <f t="shared" ref="L12:L18" si="1">SUM(I12:K12)</f>
        <v>0</v>
      </c>
      <c r="M12" s="838"/>
      <c r="N12" s="2000"/>
    </row>
    <row r="13" spans="1:14" x14ac:dyDescent="0.2">
      <c r="A13" s="2005">
        <v>2</v>
      </c>
      <c r="B13" s="1942" t="s">
        <v>42</v>
      </c>
      <c r="C13" s="842"/>
      <c r="D13" s="1943">
        <v>2330</v>
      </c>
      <c r="E13" s="1946">
        <f>'Expenditures 15-22'!K51</f>
        <v>99699</v>
      </c>
      <c r="F13" s="1944"/>
      <c r="G13" s="1970">
        <f>H68</f>
        <v>0</v>
      </c>
      <c r="H13" s="1946">
        <f t="shared" si="0"/>
        <v>99699</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99699</v>
      </c>
      <c r="F19" s="1952">
        <f t="shared" si="2"/>
        <v>0</v>
      </c>
      <c r="G19" s="1952">
        <f t="shared" ref="G19" si="3">SUM(G12:G17)-G18</f>
        <v>0</v>
      </c>
      <c r="H19" s="1952">
        <f t="shared" si="2"/>
        <v>99699</v>
      </c>
      <c r="I19" s="1952">
        <f t="shared" si="2"/>
        <v>0</v>
      </c>
      <c r="J19" s="1952">
        <f t="shared" si="2"/>
        <v>0</v>
      </c>
      <c r="K19" s="1952">
        <f t="shared" si="2"/>
        <v>0</v>
      </c>
      <c r="L19" s="1952">
        <f t="shared" si="2"/>
        <v>0</v>
      </c>
      <c r="M19" s="838"/>
      <c r="N19" s="2000"/>
    </row>
    <row r="20" spans="1:14" ht="13.5" thickTop="1" x14ac:dyDescent="0.2">
      <c r="A20" s="2005">
        <v>9</v>
      </c>
      <c r="B20" s="2461" t="s">
        <v>2021</v>
      </c>
      <c r="C20" s="2461"/>
      <c r="D20" s="2462"/>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 xml:space="preserve">   Eastern IL Ed for Employment Sys</v>
      </c>
      <c r="M52" s="2437"/>
      <c r="N52" s="2438"/>
    </row>
    <row r="53" spans="1:14" x14ac:dyDescent="0.2">
      <c r="A53" s="1984"/>
      <c r="B53" s="1985"/>
      <c r="C53" s="1985"/>
      <c r="D53" s="1985"/>
      <c r="E53" s="1985"/>
      <c r="F53" s="1985"/>
      <c r="G53" s="1985"/>
      <c r="H53" s="1985"/>
      <c r="I53" s="1985"/>
      <c r="J53" s="1985"/>
      <c r="K53" s="1926" t="s">
        <v>369</v>
      </c>
      <c r="L53" s="2439">
        <f>J7</f>
        <v>11015735045</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19" t="s">
        <v>697</v>
      </c>
      <c r="B61" s="2420"/>
      <c r="C61" s="2420"/>
      <c r="D61" s="1969">
        <v>2365</v>
      </c>
      <c r="E61" s="1979">
        <f>'Expenditures 15-22'!K323</f>
        <v>0</v>
      </c>
      <c r="F61" s="1974"/>
      <c r="G61" s="2033"/>
      <c r="H61" s="2034"/>
      <c r="I61" s="2034"/>
      <c r="J61" s="2034"/>
      <c r="K61" s="2034"/>
      <c r="L61" s="2034"/>
      <c r="M61" s="2034"/>
      <c r="N61" s="1977">
        <f t="shared" si="4"/>
        <v>0</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0</v>
      </c>
      <c r="F63" s="1974"/>
      <c r="G63" s="2033"/>
      <c r="H63" s="2034"/>
      <c r="I63" s="2034"/>
      <c r="J63" s="2034"/>
      <c r="K63" s="2034"/>
      <c r="L63" s="2034"/>
      <c r="M63" s="2034"/>
      <c r="N63" s="1977">
        <f t="shared" si="4"/>
        <v>0</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0</v>
      </c>
      <c r="F65" s="1974"/>
      <c r="G65" s="2033"/>
      <c r="H65" s="2034"/>
      <c r="I65" s="2034"/>
      <c r="J65" s="2034"/>
      <c r="K65" s="2034"/>
      <c r="L65" s="2034"/>
      <c r="M65" s="2034"/>
      <c r="N65" s="1977">
        <f t="shared" si="4"/>
        <v>0</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2066</v>
      </c>
    </row>
    <row r="6" spans="1:2" x14ac:dyDescent="0.2">
      <c r="A6" s="847">
        <v>2</v>
      </c>
      <c r="B6" s="307" t="s">
        <v>2059</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Eastern IL Ed for Employment Sys</v>
      </c>
    </row>
    <row r="65" spans="2:2" x14ac:dyDescent="0.2">
      <c r="B65" s="849">
        <f>COVER!A13</f>
        <v>11015735045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Exch.Document.DC"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1295470</v>
      </c>
      <c r="C8" s="1813">
        <f>'Acct Summary 7-8'!D8</f>
        <v>0</v>
      </c>
      <c r="D8" s="1813">
        <f>'Acct Summary 7-8'!F8</f>
        <v>0</v>
      </c>
      <c r="E8" s="1813">
        <f>'Acct Summary 7-8'!I8</f>
        <v>0</v>
      </c>
      <c r="F8" s="1813">
        <f>SUM(B8:E8)</f>
        <v>1295470</v>
      </c>
    </row>
    <row r="9" spans="1:8" s="858" customFormat="1" ht="14.25" customHeight="1" thickBot="1" x14ac:dyDescent="0.25">
      <c r="A9" s="857" t="s">
        <v>1353</v>
      </c>
      <c r="B9" s="1814">
        <f>'Acct Summary 7-8'!C17</f>
        <v>1223927</v>
      </c>
      <c r="C9" s="1814">
        <f>'Acct Summary 7-8'!D17</f>
        <v>0</v>
      </c>
      <c r="D9" s="1814">
        <f>'Acct Summary 7-8'!F17</f>
        <v>0</v>
      </c>
      <c r="E9" s="1813"/>
      <c r="F9" s="1813">
        <f>SUM(B9:E9)</f>
        <v>1223927</v>
      </c>
    </row>
    <row r="10" spans="1:8" s="858" customFormat="1" ht="14.25" thickTop="1" thickBot="1" x14ac:dyDescent="0.25">
      <c r="A10" s="859" t="s">
        <v>1354</v>
      </c>
      <c r="B10" s="1815">
        <f>(B8-B9)</f>
        <v>71543</v>
      </c>
      <c r="C10" s="1815">
        <f>(C8-C9)</f>
        <v>0</v>
      </c>
      <c r="D10" s="1815">
        <f>(D8-D9)</f>
        <v>0</v>
      </c>
      <c r="E10" s="1814">
        <f>(E8-E9)</f>
        <v>0</v>
      </c>
      <c r="F10" s="1816">
        <f>SUM(F8-F9)</f>
        <v>71543</v>
      </c>
    </row>
    <row r="11" spans="1:8" s="858" customFormat="1" ht="14.25" thickTop="1" thickBot="1" x14ac:dyDescent="0.25">
      <c r="A11" s="860" t="s">
        <v>1903</v>
      </c>
      <c r="B11" s="1817">
        <f>'Acct Summary 7-8'!C81</f>
        <v>508763</v>
      </c>
      <c r="C11" s="1817">
        <f>'Acct Summary 7-8'!D81</f>
        <v>0</v>
      </c>
      <c r="D11" s="1817">
        <f>'Acct Summary 7-8'!F81</f>
        <v>0</v>
      </c>
      <c r="E11" s="1817">
        <f>'Acct Summary 7-8'!I81</f>
        <v>0</v>
      </c>
      <c r="F11" s="1818">
        <f>SUM(B11:E11)</f>
        <v>508763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ENTRY REQUIRED!</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11015735045</v>
      </c>
      <c r="E2" s="1542">
        <v>2020</v>
      </c>
      <c r="F2" s="1542">
        <v>1</v>
      </c>
      <c r="G2" s="1899">
        <v>101000300</v>
      </c>
    </row>
    <row r="3" spans="1:7" ht="15" x14ac:dyDescent="0.25">
      <c r="A3" t="s">
        <v>950</v>
      </c>
      <c r="B3" s="135" t="str">
        <f>COVER!A15</f>
        <v>CLARK,COLES,CUMBERLAND,DOUGLAS,EDGAR,EFFINGHAM</v>
      </c>
      <c r="E3" s="1830" t="s">
        <v>1971</v>
      </c>
      <c r="F3" s="1830" t="s">
        <v>1970</v>
      </c>
      <c r="G3" s="1899">
        <v>101000400</v>
      </c>
    </row>
    <row r="4" spans="1:7" ht="15" x14ac:dyDescent="0.25">
      <c r="A4" t="s">
        <v>1000</v>
      </c>
      <c r="B4" s="135" t="str">
        <f>COVER!A17</f>
        <v xml:space="preserve">   Eastern IL Ed for Employment Sys</v>
      </c>
      <c r="E4" s="1828">
        <v>44119</v>
      </c>
      <c r="F4" s="1829">
        <v>44151</v>
      </c>
      <c r="G4" s="1899">
        <v>101000600</v>
      </c>
    </row>
    <row r="5" spans="1:7" ht="15" x14ac:dyDescent="0.25">
      <c r="A5" t="s">
        <v>699</v>
      </c>
      <c r="B5" s="135" t="str">
        <f>COVER!A38</f>
        <v>KYLE THOMPSON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KYLE THOMPSON</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065-007373</v>
      </c>
      <c r="G15" s="1899">
        <v>402100400</v>
      </c>
    </row>
    <row r="16" spans="1:7" ht="15" x14ac:dyDescent="0.25">
      <c r="A16" t="s">
        <v>419</v>
      </c>
      <c r="B16" s="135" t="str">
        <f>COVER!T13</f>
        <v>JAMES D MOTLEY, CPA</v>
      </c>
      <c r="G16" s="1899">
        <v>402100600</v>
      </c>
    </row>
    <row r="17" spans="1:7" ht="15" x14ac:dyDescent="0.25">
      <c r="A17" t="s">
        <v>878</v>
      </c>
      <c r="B17" s="135" t="str">
        <f>COVER!T15</f>
        <v>JAMES D MOTLEY</v>
      </c>
      <c r="G17" s="1899">
        <v>402100800</v>
      </c>
    </row>
    <row r="18" spans="1:7" ht="15" x14ac:dyDescent="0.25">
      <c r="A18" t="s">
        <v>1140</v>
      </c>
      <c r="B18" s="135" t="str">
        <f>COVER!T17</f>
        <v>121 E WASHINGTON STREET</v>
      </c>
      <c r="G18" s="1899">
        <v>102200300</v>
      </c>
    </row>
    <row r="19" spans="1:7" ht="15" x14ac:dyDescent="0.25">
      <c r="A19" t="s">
        <v>880</v>
      </c>
      <c r="B19" s="135" t="str">
        <f>COVER!T25</f>
        <v>jdmotleycpa@gmail.com</v>
      </c>
      <c r="G19" s="1899">
        <v>102200400</v>
      </c>
    </row>
    <row r="20" spans="1:7" ht="15" x14ac:dyDescent="0.25">
      <c r="A20" t="s">
        <v>881</v>
      </c>
      <c r="B20" s="135" t="str">
        <f>COVER!T19</f>
        <v>PARIS</v>
      </c>
      <c r="G20" s="1899">
        <v>102200600</v>
      </c>
    </row>
    <row r="21" spans="1:7" ht="15" x14ac:dyDescent="0.25">
      <c r="A21" t="s">
        <v>476</v>
      </c>
      <c r="B21" s="135" t="str">
        <f>COVER!X19</f>
        <v>IL</v>
      </c>
      <c r="G21" s="1899">
        <v>102200800</v>
      </c>
    </row>
    <row r="22" spans="1:7" ht="15" x14ac:dyDescent="0.25">
      <c r="A22" t="s">
        <v>882</v>
      </c>
      <c r="B22" s="135">
        <f>COVER!Z19</f>
        <v>61944</v>
      </c>
      <c r="G22" s="1899">
        <v>102300300</v>
      </c>
    </row>
    <row r="23" spans="1:7" ht="15" x14ac:dyDescent="0.25">
      <c r="A23" t="s">
        <v>1142</v>
      </c>
      <c r="B23" s="135" t="str">
        <f>COVER!T21</f>
        <v>217-465-8406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508763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220613</v>
      </c>
      <c r="D92" s="2" t="str">
        <f t="shared" si="0"/>
        <v>Error?</v>
      </c>
      <c r="G92" s="1899">
        <v>102640600</v>
      </c>
    </row>
    <row r="93" spans="1:7" ht="15" x14ac:dyDescent="0.25">
      <c r="A93" s="5">
        <v>32</v>
      </c>
      <c r="B93" s="1832">
        <f>'Assets-Liab 5-6'!C41</f>
        <v>508763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938032</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938032</v>
      </c>
      <c r="C279" s="2" t="s">
        <v>569</v>
      </c>
      <c r="D279" s="2" t="str">
        <f t="shared" si="3"/>
        <v>Error?</v>
      </c>
    </row>
    <row r="280" spans="1:4" x14ac:dyDescent="0.2">
      <c r="A280" s="5">
        <v>219</v>
      </c>
      <c r="B280" s="1832">
        <f>'Assets-Liab 5-6'!M40</f>
        <v>938032</v>
      </c>
      <c r="D280" s="2" t="str">
        <f t="shared" si="3"/>
        <v>Error?</v>
      </c>
    </row>
    <row r="281" spans="1:4" x14ac:dyDescent="0.2">
      <c r="A281" s="5">
        <v>220</v>
      </c>
      <c r="B281" s="1832">
        <f>'Assets-Liab 5-6'!M41</f>
        <v>938032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287429</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287429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12222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12222</v>
      </c>
      <c r="C727" s="2" t="s">
        <v>569</v>
      </c>
      <c r="D727" s="2" t="str">
        <f t="shared" si="10"/>
        <v>Error?</v>
      </c>
    </row>
    <row r="728" spans="1:4" x14ac:dyDescent="0.2">
      <c r="A728" s="5">
        <v>667</v>
      </c>
      <c r="B728" s="1832">
        <f>'Expenditures 15-22'!C44</f>
        <v>79548</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79548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61743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18512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18512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172025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459454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8520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8520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2981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2981</v>
      </c>
      <c r="C785" s="2" t="s">
        <v>569</v>
      </c>
      <c r="D785" s="2" t="str">
        <f t="shared" si="11"/>
        <v>Error?</v>
      </c>
    </row>
    <row r="786" spans="1:4" x14ac:dyDescent="0.2">
      <c r="A786" s="5">
        <v>725</v>
      </c>
      <c r="B786" s="1832">
        <f>'Expenditures 15-22'!D44</f>
        <v>15528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15528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9840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3746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3746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32095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40615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34779</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34779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20674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20674</v>
      </c>
      <c r="C843" s="2" t="s">
        <v>569</v>
      </c>
      <c r="D843" s="2" t="str">
        <f t="shared" si="12"/>
        <v>Error?</v>
      </c>
    </row>
    <row r="844" spans="1:4" x14ac:dyDescent="0.2">
      <c r="A844" s="5">
        <v>783</v>
      </c>
      <c r="B844" s="1832">
        <f>'Expenditures 15-22'!E44</f>
        <v>41151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12971</v>
      </c>
      <c r="D846" s="2" t="str">
        <f t="shared" si="12"/>
        <v>Error?</v>
      </c>
    </row>
    <row r="847" spans="1:4" x14ac:dyDescent="0.2">
      <c r="A847" s="5">
        <v>786</v>
      </c>
      <c r="B847" s="1832">
        <f>'Expenditures 15-22'!E47</f>
        <v>54122</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23608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460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98864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136947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13635</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13635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2896</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2896</v>
      </c>
      <c r="C901" s="2" t="s">
        <v>569</v>
      </c>
      <c r="D901" s="2" t="str">
        <f t="shared" si="13"/>
        <v>Error?</v>
      </c>
    </row>
    <row r="902" spans="1:4" x14ac:dyDescent="0.2">
      <c r="A902" s="5">
        <v>841</v>
      </c>
      <c r="B902" s="1832">
        <f>'Expenditures 15-22'!F44</f>
        <v>2353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2353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2108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246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7603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21238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515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515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2400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2400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2915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562758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562758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344878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344878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38773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38773</v>
      </c>
      <c r="C1115" s="2" t="s">
        <v>569</v>
      </c>
      <c r="D1115" s="2" t="str">
        <f t="shared" si="16"/>
        <v>Error?</v>
      </c>
    </row>
    <row r="1116" spans="1:4" x14ac:dyDescent="0.2">
      <c r="A1116" s="5">
        <v>1055</v>
      </c>
      <c r="B1116" s="1832">
        <f>'Expenditures 15-22'!K44</f>
        <v>138580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12971</v>
      </c>
      <c r="C1118" s="2" t="s">
        <v>569</v>
      </c>
      <c r="D1118" s="2" t="str">
        <f t="shared" si="16"/>
        <v>Error?</v>
      </c>
    </row>
    <row r="1119" spans="1:4" x14ac:dyDescent="0.2">
      <c r="A1119" s="5">
        <v>1058</v>
      </c>
      <c r="B1119" s="1832">
        <f>'Expenditures 15-22'!K47</f>
        <v>151551</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99699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22964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22964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312987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566062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1223927</v>
      </c>
      <c r="C1152" s="2" t="s">
        <v>569</v>
      </c>
      <c r="D1152" s="2" t="str">
        <f t="shared" si="17"/>
        <v>Error?</v>
      </c>
    </row>
    <row r="1153" spans="1:4" x14ac:dyDescent="0.2">
      <c r="A1153" s="5">
        <v>1092</v>
      </c>
      <c r="B1153" s="1832">
        <f>'Expenditures 15-22'!K115</f>
        <v>71543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437220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508763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935117</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935117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2915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2915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938032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938032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521952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521952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93803</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93803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615755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615755</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322277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322277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562758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566062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288150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333195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740015</v>
      </c>
      <c r="C2553" s="2" t="s">
        <v>569</v>
      </c>
      <c r="D2553" s="2" t="str">
        <f t="shared" si="38"/>
        <v>Error?</v>
      </c>
    </row>
    <row r="2554" spans="1:4" x14ac:dyDescent="0.2">
      <c r="A2554" s="5">
        <v>2493</v>
      </c>
      <c r="B2554" s="1832">
        <f>'Acct Summary 7-8'!C7</f>
        <v>222260</v>
      </c>
      <c r="C2554" s="2" t="s">
        <v>569</v>
      </c>
      <c r="D2554" s="2" t="str">
        <f t="shared" si="38"/>
        <v>Error?</v>
      </c>
    </row>
    <row r="2555" spans="1:4" x14ac:dyDescent="0.2">
      <c r="A2555" s="5">
        <v>2494</v>
      </c>
      <c r="B2555" s="1832">
        <f>'Acct Summary 7-8'!C8</f>
        <v>1295470</v>
      </c>
      <c r="C2555" s="2" t="s">
        <v>569</v>
      </c>
      <c r="D2555" s="2" t="str">
        <f t="shared" si="38"/>
        <v>Error?</v>
      </c>
    </row>
    <row r="2556" spans="1:4" x14ac:dyDescent="0.2">
      <c r="A2556" s="5">
        <v>2495</v>
      </c>
      <c r="B2556" s="1832">
        <f>'Acct Summary 7-8'!C12</f>
        <v>344878</v>
      </c>
      <c r="C2556" s="2" t="s">
        <v>569</v>
      </c>
      <c r="D2556" s="2" t="str">
        <f t="shared" si="38"/>
        <v>Error?</v>
      </c>
    </row>
    <row r="2557" spans="1:4" x14ac:dyDescent="0.2">
      <c r="A2557" s="5">
        <v>2496</v>
      </c>
      <c r="B2557" s="1832">
        <f>'Acct Summary 7-8'!C13</f>
        <v>312987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566062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1223927</v>
      </c>
      <c r="C2561" s="2" t="s">
        <v>569</v>
      </c>
      <c r="D2561" s="2" t="str">
        <f t="shared" si="39"/>
        <v>Error?</v>
      </c>
    </row>
    <row r="2562" spans="1:4" x14ac:dyDescent="0.2">
      <c r="A2562" s="5">
        <v>2501</v>
      </c>
      <c r="B2562" s="1832">
        <f>'Acct Summary 7-8'!C20</f>
        <v>71543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61743</v>
      </c>
      <c r="D2718" s="2" t="str">
        <f t="shared" si="41"/>
        <v>Error?</v>
      </c>
    </row>
    <row r="2719" spans="1:4" x14ac:dyDescent="0.2">
      <c r="A2719" s="5">
        <v>2658</v>
      </c>
      <c r="B2719" s="1832">
        <f>'Expenditures 15-22'!D51</f>
        <v>9840</v>
      </c>
      <c r="D2719" s="2" t="str">
        <f t="shared" si="41"/>
        <v>Error?</v>
      </c>
    </row>
    <row r="2720" spans="1:4" x14ac:dyDescent="0.2">
      <c r="A2720" s="5">
        <v>2659</v>
      </c>
      <c r="B2720" s="1832">
        <f>'Expenditures 15-22'!E51</f>
        <v>23608</v>
      </c>
      <c r="D2720" s="2" t="str">
        <f t="shared" si="41"/>
        <v>Error?</v>
      </c>
    </row>
    <row r="2721" spans="1:4" x14ac:dyDescent="0.2">
      <c r="A2721" s="5">
        <v>2660</v>
      </c>
      <c r="B2721" s="1832">
        <f>'Expenditures 15-22'!F51</f>
        <v>2108</v>
      </c>
      <c r="D2721" s="2" t="str">
        <f t="shared" si="41"/>
        <v>Error?</v>
      </c>
    </row>
    <row r="2722" spans="1:4" x14ac:dyDescent="0.2">
      <c r="A2722" s="5">
        <v>2661</v>
      </c>
      <c r="B2722" s="1832">
        <f>'Expenditures 15-22'!G51</f>
        <v>2400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99699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3304</v>
      </c>
      <c r="C2789" s="2" t="s">
        <v>569</v>
      </c>
      <c r="D2789" s="2" t="str">
        <f t="shared" si="42"/>
        <v>Error?</v>
      </c>
    </row>
    <row r="2790" spans="1:4" x14ac:dyDescent="0.2">
      <c r="A2790" s="5">
        <v>2729</v>
      </c>
      <c r="B2790" s="1832">
        <f>'Expenditures 15-22'!E102</f>
        <v>3304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3304</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562758</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566062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71543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508763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39420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1334890</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39420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1263347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508763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222260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180376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152819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333195</v>
      </c>
      <c r="C5120" s="2" t="s">
        <v>569</v>
      </c>
      <c r="D5120" s="2" t="str">
        <f t="shared" si="79"/>
        <v>Error?</v>
      </c>
    </row>
    <row r="5121" spans="1:4" x14ac:dyDescent="0.2">
      <c r="A5121" s="5">
        <v>5060</v>
      </c>
      <c r="B5121" s="1832">
        <f>'Revenues 9-14'!C109</f>
        <v>333195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740015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740015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740015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740015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222260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222260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222260</v>
      </c>
      <c r="C5326" s="2" t="s">
        <v>569</v>
      </c>
      <c r="D5326" s="2" t="str">
        <f t="shared" si="82"/>
        <v>Error?</v>
      </c>
    </row>
    <row r="5327" spans="1:5" x14ac:dyDescent="0.2">
      <c r="A5327" s="5">
        <v>5266</v>
      </c>
      <c r="B5327" s="1832">
        <f>'Revenues 9-14'!C268</f>
        <v>1295470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71543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0.14062146814921683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93803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1223927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568977</v>
      </c>
      <c r="D7834" s="2" t="str">
        <f t="shared" si="129"/>
        <v>Error?</v>
      </c>
      <c r="E7834" s="4" t="s">
        <v>1998</v>
      </c>
    </row>
    <row r="7835" spans="1:5" x14ac:dyDescent="0.2">
      <c r="A7835">
        <v>7774</v>
      </c>
      <c r="B7835" s="1832">
        <f>'PCTC-OEPP 27-28'!F78</f>
        <v>654950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180376</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740015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222260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1142651</v>
      </c>
      <c r="D7877" s="2" t="str">
        <f t="shared" si="129"/>
        <v>Error?</v>
      </c>
      <c r="E7877" s="4" t="s">
        <v>1998</v>
      </c>
    </row>
    <row r="7878" spans="1:5" x14ac:dyDescent="0.2">
      <c r="A7878">
        <v>7817</v>
      </c>
      <c r="B7878" s="1832">
        <f>'PCTC-OEPP 27-28'!F176</f>
        <v>-487701</v>
      </c>
      <c r="D7878" s="2" t="str">
        <f t="shared" si="129"/>
        <v>Error?</v>
      </c>
      <c r="E7878" s="4" t="s">
        <v>1998</v>
      </c>
    </row>
    <row r="7879" spans="1:5" x14ac:dyDescent="0.2">
      <c r="A7879">
        <v>7818</v>
      </c>
      <c r="B7879" s="1832">
        <f>'PCTC-OEPP 27-28'!F178</f>
        <v>-393898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Eastern IL Ed for Employment Sys</v>
      </c>
      <c r="B7" s="2516"/>
      <c r="C7" s="2516"/>
      <c r="D7" s="2554"/>
      <c r="E7" s="2555">
        <f>COVER!A13</f>
        <v>11015735045</v>
      </c>
      <c r="F7" s="2556"/>
      <c r="G7" s="2522" t="str">
        <f>COVER!T23</f>
        <v>065-007373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JAMES D MOTLEY, CPA</v>
      </c>
      <c r="H9" s="2529"/>
      <c r="I9" s="2529"/>
      <c r="J9" s="2529"/>
      <c r="K9" s="2529"/>
      <c r="L9" s="2530"/>
    </row>
    <row r="10" spans="1:29" ht="13.5" customHeight="1" x14ac:dyDescent="0.2">
      <c r="A10" s="2512" t="str">
        <f>COVER!A38</f>
        <v>KYLE THOMPSON</v>
      </c>
      <c r="B10" s="2513"/>
      <c r="C10" s="2513"/>
      <c r="D10" s="2513"/>
      <c r="E10" s="2513"/>
      <c r="F10" s="2514"/>
      <c r="G10" s="2528" t="str">
        <f>COVER!T17</f>
        <v>121 E WASHINGTON STREET</v>
      </c>
      <c r="H10" s="2541"/>
      <c r="I10" s="2541"/>
      <c r="J10" s="2541"/>
      <c r="K10" s="2541"/>
      <c r="L10" s="2542"/>
    </row>
    <row r="11" spans="1:29" ht="13.5" customHeight="1" x14ac:dyDescent="0.2">
      <c r="A11" s="963" t="s">
        <v>1502</v>
      </c>
      <c r="B11" s="964"/>
      <c r="C11" s="965"/>
      <c r="D11" s="970"/>
      <c r="E11" s="965"/>
      <c r="F11" s="969"/>
      <c r="G11" s="2528" t="str">
        <f>COVER!T19</f>
        <v>PARIS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jdmotleycpa@gmail.com</v>
      </c>
      <c r="J13" s="2550"/>
      <c r="K13" s="2550"/>
      <c r="L13" s="2551"/>
    </row>
    <row r="14" spans="1:29" ht="13.5" customHeight="1" x14ac:dyDescent="0.2">
      <c r="A14" s="2528" t="str">
        <f>COVER!A19</f>
        <v>1617 LAKELAND BLVD</v>
      </c>
      <c r="B14" s="2541"/>
      <c r="C14" s="2541"/>
      <c r="D14" s="2541"/>
      <c r="E14" s="2541"/>
      <c r="F14" s="2542"/>
      <c r="G14" s="974" t="s">
        <v>1175</v>
      </c>
      <c r="H14" s="972"/>
      <c r="I14" s="972"/>
      <c r="J14" s="972"/>
      <c r="K14" s="972"/>
      <c r="L14" s="973"/>
    </row>
    <row r="15" spans="1:29" ht="13.5" customHeight="1" x14ac:dyDescent="0.2">
      <c r="A15" s="2528" t="str">
        <f>COVER!A21</f>
        <v>MATTOON</v>
      </c>
      <c r="B15" s="2541"/>
      <c r="C15" s="2541"/>
      <c r="D15" s="2541"/>
      <c r="E15" s="2541"/>
      <c r="F15" s="2542"/>
      <c r="G15" s="2538" t="str">
        <f>COVER!T15</f>
        <v>JAMES D MOTLEY</v>
      </c>
      <c r="H15" s="2539"/>
      <c r="I15" s="2539"/>
      <c r="J15" s="2539"/>
      <c r="K15" s="2539"/>
      <c r="L15" s="2540"/>
    </row>
    <row r="16" spans="1:29" ht="12.2" customHeight="1" x14ac:dyDescent="0.2">
      <c r="A16" s="2518">
        <f>COVER!A25</f>
        <v>61938</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217-465-8406</v>
      </c>
      <c r="H18" s="2516"/>
      <c r="I18" s="2516"/>
      <c r="J18" s="2516"/>
      <c r="K18" s="2515">
        <f>COVER!X21</f>
        <v>2174658407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Eastern IL Ed for Employment Sys</v>
      </c>
      <c r="B1" s="2558"/>
      <c r="C1" s="2558"/>
      <c r="D1" s="2558"/>
    </row>
    <row r="2" spans="1:11" s="991" customFormat="1" ht="12.75" x14ac:dyDescent="0.2">
      <c r="A2" s="2559">
        <f>'Single Audit Cover'!E7</f>
        <v>11015735045</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Eastern IL Ed for Employment Sys</v>
      </c>
      <c r="B1" s="2562"/>
      <c r="C1" s="2562"/>
      <c r="D1" s="2562"/>
      <c r="E1" s="2562"/>
    </row>
    <row r="2" spans="1:5" x14ac:dyDescent="0.2">
      <c r="A2" s="2563">
        <f>'Single Audit Cover'!E7</f>
        <v>11015735045</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222260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222260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222260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222260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Eastern IL Ed for Employment Sys</v>
      </c>
      <c r="C1" s="2566"/>
      <c r="D1" s="2566"/>
      <c r="E1" s="2566"/>
      <c r="F1" s="2566"/>
      <c r="G1" s="2566"/>
      <c r="H1" s="2566"/>
      <c r="I1" s="2566"/>
      <c r="J1" s="2566"/>
      <c r="K1" s="2566"/>
      <c r="L1" s="2566"/>
      <c r="M1" s="2566"/>
    </row>
    <row r="2" spans="2:14" ht="15" x14ac:dyDescent="0.2">
      <c r="B2" s="2567">
        <f>'Single Audit Cover'!E7</f>
        <v>11015735045</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Eastern IL Ed for Employment Sys</v>
      </c>
      <c r="B1" s="2571"/>
      <c r="C1" s="2571"/>
      <c r="D1" s="2571"/>
      <c r="E1" s="2571"/>
      <c r="F1" s="2571"/>
    </row>
    <row r="2" spans="1:7" ht="13.5" customHeight="1" x14ac:dyDescent="0.2">
      <c r="A2" s="2567">
        <f>'Single Audit Cover'!E7</f>
        <v>11015735045</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Eastern IL Ed for Employment Sys</v>
      </c>
      <c r="C1" s="2587"/>
      <c r="D1" s="2587"/>
      <c r="E1" s="2587"/>
      <c r="F1" s="2587"/>
      <c r="G1" s="2587"/>
      <c r="H1" s="2587"/>
      <c r="I1" s="2587"/>
      <c r="J1" s="1178"/>
    </row>
    <row r="2" spans="2:10" s="295" customFormat="1" ht="12.75" customHeight="1" x14ac:dyDescent="0.2">
      <c r="B2" s="2588">
        <f>'Single Audit Cover'!E7</f>
        <v>11015735045</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Eastern IL Ed for Employment Sys</v>
      </c>
      <c r="C1" s="2586"/>
      <c r="D1" s="2586"/>
      <c r="E1" s="2586"/>
      <c r="F1" s="2586"/>
      <c r="G1" s="2586"/>
      <c r="H1" s="2586"/>
      <c r="I1" s="2586"/>
      <c r="J1" s="2586"/>
      <c r="K1" s="2586"/>
      <c r="L1" s="1144"/>
      <c r="M1" s="1144"/>
    </row>
    <row r="2" spans="1:13" ht="12" customHeight="1" x14ac:dyDescent="0.2">
      <c r="B2" s="2588">
        <f>'Single Audit Cover'!E7</f>
        <v>11015735045</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Eastern IL Ed for Employment Sys</v>
      </c>
      <c r="C1" s="2613"/>
      <c r="D1" s="2613"/>
      <c r="E1" s="2613"/>
      <c r="F1" s="2613"/>
      <c r="G1" s="2613"/>
      <c r="H1" s="2613"/>
      <c r="I1" s="2613"/>
      <c r="J1" s="2613"/>
      <c r="K1" s="2613"/>
      <c r="L1" s="1221"/>
    </row>
    <row r="2" spans="1:12" ht="12.75" customHeight="1" x14ac:dyDescent="0.2">
      <c r="B2" s="2614">
        <f>'Single Audit Cover'!E7</f>
        <v>11015735045</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Eastern IL Ed for Employment Sys</v>
      </c>
      <c r="C1" s="2586"/>
      <c r="D1" s="2586"/>
      <c r="E1" s="1240"/>
    </row>
    <row r="2" spans="2:5" s="1058" customFormat="1" ht="12.75" customHeight="1" x14ac:dyDescent="0.2">
      <c r="B2" s="2588">
        <f>'Single Audit Cover'!E7</f>
        <v>11015735045</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1295470</v>
      </c>
      <c r="E16" s="1547"/>
      <c r="F16" s="1546">
        <f>SUM('Acct Summary 7-8'!C17,'Acct Summary 7-8'!D17,'Acct Summary 7-8'!F17)</f>
        <v>1223927</v>
      </c>
      <c r="G16" s="1547"/>
      <c r="H16" s="1546">
        <f>SUM(D16-F16)</f>
        <v>71543</v>
      </c>
      <c r="I16" s="1548"/>
      <c r="J16" s="1546">
        <f>SUM('Acct Summary 7-8'!C81,'Acct Summary 7-8'!D81,'Acct Summary 7-8'!F81,'Acct Summary 7-8'!I81)</f>
        <v>508763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Eastern IL Ed for Employment Sys</v>
      </c>
      <c r="E7" s="368"/>
      <c r="G7" s="247"/>
      <c r="H7" s="364"/>
      <c r="I7" s="364"/>
      <c r="J7" s="364"/>
      <c r="K7" s="364"/>
      <c r="L7" s="307"/>
      <c r="M7" s="307"/>
      <c r="N7" s="307"/>
      <c r="O7" s="307"/>
      <c r="P7" s="307"/>
    </row>
    <row r="8" spans="1:18" ht="12.75" x14ac:dyDescent="0.2">
      <c r="A8" s="307"/>
      <c r="B8" s="307"/>
      <c r="C8" s="366" t="s">
        <v>1115</v>
      </c>
      <c r="D8" s="369">
        <f>COVER!A13</f>
        <v>11015735045</v>
      </c>
      <c r="E8" s="370"/>
      <c r="G8" s="307"/>
      <c r="H8" s="307"/>
      <c r="I8" s="307"/>
      <c r="J8" s="307"/>
      <c r="K8" s="307"/>
      <c r="L8" s="307"/>
      <c r="M8" s="307"/>
      <c r="N8" s="307"/>
      <c r="O8" s="307"/>
      <c r="P8" s="307"/>
    </row>
    <row r="9" spans="1:18" ht="12.75" x14ac:dyDescent="0.2">
      <c r="A9" s="307"/>
      <c r="B9" s="307"/>
      <c r="C9" s="366" t="s">
        <v>708</v>
      </c>
      <c r="D9" s="371" t="str">
        <f>COVER!A15</f>
        <v>CLARK,COLES,CUMBERLAND,DOUGLAS,EDGAR,EFFINGHAM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508763</v>
      </c>
      <c r="I12" s="380"/>
      <c r="J12" s="380"/>
      <c r="K12" s="1559">
        <f>TRUNC((H12/H13*100000),5)/100000</f>
        <v>0.39272464809999996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1295470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1223927</v>
      </c>
      <c r="I17" s="380"/>
      <c r="J17" s="389"/>
      <c r="K17" s="1559">
        <f>TRUNC((H17/H18*100000),5)/100000</f>
        <v>0.94477448330000002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1295470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508763</v>
      </c>
      <c r="I24" s="394"/>
      <c r="J24" s="394"/>
      <c r="K24" s="1555">
        <f>TRUNC(((H24/H25*100000)/100000),2)</f>
        <v>149.63999999999999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3399.7972199999999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24" activePane="bottomLeft" state="frozen"/>
      <selection pane="bottomLeft" activeCell="E45" sqref="E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508763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508763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938032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938032</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288150</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220613</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938032</v>
      </c>
      <c r="N40" s="1604"/>
    </row>
    <row r="41" spans="1:14" ht="13.5" customHeight="1" thickBot="1" x14ac:dyDescent="0.25">
      <c r="A41" s="1426" t="s">
        <v>650</v>
      </c>
      <c r="B41" s="1405"/>
      <c r="C41" s="1594">
        <f>(SUM(C34,C37,C38,C39))</f>
        <v>508763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938032</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333195</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740015</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222260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1295470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39420</v>
      </c>
      <c r="D9" s="1613"/>
      <c r="E9" s="1586"/>
      <c r="F9" s="1586"/>
      <c r="G9" s="1614"/>
      <c r="H9" s="1586"/>
      <c r="I9" s="1609" t="s">
        <v>1159</v>
      </c>
      <c r="J9" s="1583"/>
      <c r="K9" s="1586"/>
      <c r="L9" s="325"/>
    </row>
    <row r="10" spans="1:13" s="452" customFormat="1" ht="13.5" thickBot="1" x14ac:dyDescent="0.25">
      <c r="A10" s="1426" t="s">
        <v>1163</v>
      </c>
      <c r="B10" s="1407"/>
      <c r="C10" s="1594">
        <f>SUM(C8:C9)</f>
        <v>1334890</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344878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312987</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566062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1223927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39420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1263347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71543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71543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437220</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508763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71543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0.14062146814921683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1" activePane="bottomLeft" state="frozen"/>
      <selection pane="bottomLeft"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152819</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180376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333195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333195</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740015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740015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740015</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740015</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222260</v>
      </c>
      <c r="D220" s="1573"/>
      <c r="E220" s="1575"/>
      <c r="F220" s="1575"/>
      <c r="G220" s="1573"/>
      <c r="H220" s="1575"/>
      <c r="I220" s="1575"/>
      <c r="J220" s="1575"/>
      <c r="K220" s="1575"/>
    </row>
    <row r="221" spans="1:11" ht="12.75" customHeight="1" thickBot="1" x14ac:dyDescent="0.25">
      <c r="A221" s="1415" t="s">
        <v>1076</v>
      </c>
      <c r="B221" s="1416"/>
      <c r="C221" s="1633">
        <f>SUM(C219:C220)</f>
        <v>222260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222260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222260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1295470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99" activePane="bottomLeft" state="frozen"/>
      <selection pane="bottomLeft" activeCell="L84" sqref="L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287429</v>
      </c>
      <c r="D13" s="1573">
        <v>8520</v>
      </c>
      <c r="E13" s="1573">
        <v>34779</v>
      </c>
      <c r="F13" s="1573">
        <v>13635</v>
      </c>
      <c r="G13" s="1573">
        <v>515</v>
      </c>
      <c r="H13" s="1573"/>
      <c r="I13" s="1574"/>
      <c r="J13" s="1574"/>
      <c r="K13" s="1672">
        <f t="shared" si="0"/>
        <v>344878</v>
      </c>
      <c r="L13" s="1573">
        <v>417075</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287429</v>
      </c>
      <c r="D33" s="1674">
        <f t="shared" ref="D33:L33" si="1">SUM(D5:D32)</f>
        <v>8520</v>
      </c>
      <c r="E33" s="1674">
        <f t="shared" si="1"/>
        <v>34779</v>
      </c>
      <c r="F33" s="1674">
        <f t="shared" si="1"/>
        <v>13635</v>
      </c>
      <c r="G33" s="1674">
        <f t="shared" si="1"/>
        <v>515</v>
      </c>
      <c r="H33" s="1674">
        <f t="shared" si="1"/>
        <v>0</v>
      </c>
      <c r="I33" s="1674">
        <f t="shared" si="1"/>
        <v>0</v>
      </c>
      <c r="J33" s="1674">
        <f t="shared" si="1"/>
        <v>0</v>
      </c>
      <c r="K33" s="1674">
        <f t="shared" si="1"/>
        <v>344878</v>
      </c>
      <c r="L33" s="1674">
        <f t="shared" si="1"/>
        <v>417075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12222</v>
      </c>
      <c r="D37" s="1573">
        <v>2981</v>
      </c>
      <c r="E37" s="1573">
        <v>20674</v>
      </c>
      <c r="F37" s="1573">
        <v>2896</v>
      </c>
      <c r="G37" s="1573"/>
      <c r="H37" s="1573"/>
      <c r="I37" s="1574"/>
      <c r="J37" s="1574"/>
      <c r="K37" s="1672">
        <f t="shared" si="2"/>
        <v>38773</v>
      </c>
      <c r="L37" s="1573">
        <v>145750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12222</v>
      </c>
      <c r="D42" s="1674">
        <f t="shared" ref="D42:L42" si="3">SUM(D36:D41)</f>
        <v>2981</v>
      </c>
      <c r="E42" s="1674">
        <f t="shared" si="3"/>
        <v>20674</v>
      </c>
      <c r="F42" s="1674">
        <f t="shared" si="3"/>
        <v>2896</v>
      </c>
      <c r="G42" s="1674">
        <f t="shared" si="3"/>
        <v>0</v>
      </c>
      <c r="H42" s="1674">
        <f t="shared" si="3"/>
        <v>0</v>
      </c>
      <c r="I42" s="1674">
        <f t="shared" si="3"/>
        <v>0</v>
      </c>
      <c r="J42" s="1674">
        <f t="shared" si="3"/>
        <v>0</v>
      </c>
      <c r="K42" s="1674">
        <f t="shared" si="3"/>
        <v>38773</v>
      </c>
      <c r="L42" s="1674">
        <f t="shared" si="3"/>
        <v>145750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79548</v>
      </c>
      <c r="D44" s="1586">
        <v>15528</v>
      </c>
      <c r="E44" s="1586">
        <v>41151</v>
      </c>
      <c r="F44" s="1586">
        <v>2353</v>
      </c>
      <c r="G44" s="1586"/>
      <c r="H44" s="1586"/>
      <c r="I44" s="1574"/>
      <c r="J44" s="1574"/>
      <c r="K44" s="1678">
        <f>SUM(C44:J44)</f>
        <v>138580</v>
      </c>
      <c r="L44" s="1586">
        <v>189448</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12971</v>
      </c>
      <c r="F46" s="1573"/>
      <c r="G46" s="1573"/>
      <c r="H46" s="1573"/>
      <c r="I46" s="1574"/>
      <c r="J46" s="1574"/>
      <c r="K46" s="1678">
        <f>SUM(C46:J46)</f>
        <v>12971</v>
      </c>
      <c r="L46" s="1573">
        <v>17000</v>
      </c>
    </row>
    <row r="47" spans="1:14" ht="12.75" customHeight="1" thickBot="1" x14ac:dyDescent="0.25">
      <c r="A47" s="1380" t="s">
        <v>557</v>
      </c>
      <c r="B47" s="1381" t="s">
        <v>32</v>
      </c>
      <c r="C47" s="1674">
        <f>SUM(C44:C46)</f>
        <v>79548</v>
      </c>
      <c r="D47" s="1674">
        <f t="shared" ref="D47:K47" si="4">SUM(D44:D46)</f>
        <v>15528</v>
      </c>
      <c r="E47" s="1674">
        <f t="shared" si="4"/>
        <v>54122</v>
      </c>
      <c r="F47" s="1674">
        <f t="shared" si="4"/>
        <v>2353</v>
      </c>
      <c r="G47" s="1674">
        <f t="shared" si="4"/>
        <v>0</v>
      </c>
      <c r="H47" s="1674">
        <f t="shared" si="4"/>
        <v>0</v>
      </c>
      <c r="I47" s="1674">
        <f t="shared" si="4"/>
        <v>0</v>
      </c>
      <c r="J47" s="1674">
        <f t="shared" si="4"/>
        <v>0</v>
      </c>
      <c r="K47" s="1674">
        <f t="shared" si="4"/>
        <v>151551</v>
      </c>
      <c r="L47" s="1674">
        <f>SUM(L44:L46)</f>
        <v>206448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61743</v>
      </c>
      <c r="D51" s="1573">
        <v>9840</v>
      </c>
      <c r="E51" s="1573">
        <v>23608</v>
      </c>
      <c r="F51" s="1573">
        <v>2108</v>
      </c>
      <c r="G51" s="1573">
        <v>2400</v>
      </c>
      <c r="H51" s="1573"/>
      <c r="I51" s="1574"/>
      <c r="J51" s="1574"/>
      <c r="K51" s="1678">
        <f>SUM(C51:J51)</f>
        <v>99699</v>
      </c>
      <c r="L51" s="1573">
        <v>108873</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61743</v>
      </c>
      <c r="D53" s="1674">
        <f t="shared" ref="D53:L53" si="5">SUM(D49:D52)</f>
        <v>9840</v>
      </c>
      <c r="E53" s="1674">
        <f t="shared" si="5"/>
        <v>23608</v>
      </c>
      <c r="F53" s="1674">
        <f t="shared" si="5"/>
        <v>2108</v>
      </c>
      <c r="G53" s="1674">
        <f t="shared" si="5"/>
        <v>2400</v>
      </c>
      <c r="H53" s="1674">
        <f t="shared" si="5"/>
        <v>0</v>
      </c>
      <c r="I53" s="1674">
        <f t="shared" si="5"/>
        <v>0</v>
      </c>
      <c r="J53" s="1674">
        <f t="shared" si="5"/>
        <v>0</v>
      </c>
      <c r="K53" s="1674">
        <f t="shared" si="5"/>
        <v>99699</v>
      </c>
      <c r="L53" s="1674">
        <f t="shared" si="5"/>
        <v>108873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18512</v>
      </c>
      <c r="D60" s="1573">
        <v>3746</v>
      </c>
      <c r="E60" s="1573">
        <v>460</v>
      </c>
      <c r="F60" s="1573">
        <v>246</v>
      </c>
      <c r="G60" s="1573"/>
      <c r="H60" s="1573"/>
      <c r="I60" s="1574"/>
      <c r="J60" s="1574"/>
      <c r="K60" s="1678">
        <f t="shared" si="7"/>
        <v>22964</v>
      </c>
      <c r="L60" s="1573">
        <v>39609</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18512</v>
      </c>
      <c r="D65" s="1674">
        <f t="shared" ref="D65:L65" si="8">SUM(D59:D64)</f>
        <v>3746</v>
      </c>
      <c r="E65" s="1674">
        <f t="shared" si="8"/>
        <v>460</v>
      </c>
      <c r="F65" s="1674">
        <f t="shared" si="8"/>
        <v>246</v>
      </c>
      <c r="G65" s="1674">
        <f t="shared" si="8"/>
        <v>0</v>
      </c>
      <c r="H65" s="1674">
        <f t="shared" si="8"/>
        <v>0</v>
      </c>
      <c r="I65" s="1674">
        <f t="shared" si="8"/>
        <v>0</v>
      </c>
      <c r="J65" s="1674">
        <f t="shared" si="8"/>
        <v>0</v>
      </c>
      <c r="K65" s="1674">
        <f t="shared" si="8"/>
        <v>22964</v>
      </c>
      <c r="L65" s="1674">
        <f t="shared" si="8"/>
        <v>39609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172025</v>
      </c>
      <c r="D74" s="1681">
        <f t="shared" ref="D74:K74" si="10">SUM(D42,D47,D53,D57,D65,D72,D73)</f>
        <v>32095</v>
      </c>
      <c r="E74" s="1681">
        <f t="shared" si="10"/>
        <v>98864</v>
      </c>
      <c r="F74" s="1681">
        <f t="shared" si="10"/>
        <v>7603</v>
      </c>
      <c r="G74" s="1681">
        <f t="shared" si="10"/>
        <v>2400</v>
      </c>
      <c r="H74" s="1681">
        <f t="shared" si="10"/>
        <v>0</v>
      </c>
      <c r="I74" s="1681">
        <f t="shared" si="10"/>
        <v>0</v>
      </c>
      <c r="J74" s="1681">
        <f t="shared" si="10"/>
        <v>0</v>
      </c>
      <c r="K74" s="1681">
        <f t="shared" si="10"/>
        <v>312987</v>
      </c>
      <c r="L74" s="1681">
        <f>SUM(L42,L47,L53,L57,L65,L72,L73)</f>
        <v>500680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3304</v>
      </c>
      <c r="F83" s="1673"/>
      <c r="G83" s="1673"/>
      <c r="H83" s="1573">
        <v>562758</v>
      </c>
      <c r="I83" s="1582"/>
      <c r="J83" s="1582"/>
      <c r="K83" s="1672">
        <f t="shared" si="11"/>
        <v>566062</v>
      </c>
      <c r="L83" s="1573">
        <v>596304</v>
      </c>
    </row>
    <row r="84" spans="1:12" ht="13.5" thickBot="1" x14ac:dyDescent="0.25">
      <c r="A84" s="1380" t="s">
        <v>1468</v>
      </c>
      <c r="B84" s="1385">
        <v>4100</v>
      </c>
      <c r="C84" s="1673"/>
      <c r="D84" s="1673"/>
      <c r="E84" s="1674">
        <f>SUM(E78:E83)</f>
        <v>3304</v>
      </c>
      <c r="F84" s="1673"/>
      <c r="G84" s="1673"/>
      <c r="H84" s="1674">
        <f>SUM(H78:H83)</f>
        <v>562758</v>
      </c>
      <c r="I84" s="1582"/>
      <c r="J84" s="1582"/>
      <c r="K84" s="1674">
        <f>SUM(K78:K83)</f>
        <v>566062</v>
      </c>
      <c r="L84" s="1674">
        <f>SUM(L78:L83)</f>
        <v>596304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3304</v>
      </c>
      <c r="F102" s="1673"/>
      <c r="G102" s="1673"/>
      <c r="H102" s="1681">
        <f>SUM(H84,H92,H100,H101)</f>
        <v>562758</v>
      </c>
      <c r="I102" s="1582"/>
      <c r="J102" s="1582"/>
      <c r="K102" s="1681">
        <f>SUM(K84,K92,K100,K101)</f>
        <v>566062</v>
      </c>
      <c r="L102" s="1681">
        <f>SUM(L84,L92,L100,L101)</f>
        <v>596304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459454</v>
      </c>
      <c r="D114" s="1674">
        <f t="shared" ref="D114:K114" si="13">SUM(D33,D74,D75,D102,D112,D113)</f>
        <v>40615</v>
      </c>
      <c r="E114" s="1674">
        <f t="shared" si="13"/>
        <v>136947</v>
      </c>
      <c r="F114" s="1674">
        <f t="shared" si="13"/>
        <v>21238</v>
      </c>
      <c r="G114" s="1674">
        <f t="shared" si="13"/>
        <v>2915</v>
      </c>
      <c r="H114" s="1674">
        <f>SUM(H33,H74,H75,H102,H112,H113)</f>
        <v>562758</v>
      </c>
      <c r="I114" s="1674">
        <f t="shared" si="13"/>
        <v>0</v>
      </c>
      <c r="J114" s="1674">
        <f t="shared" si="13"/>
        <v>0</v>
      </c>
      <c r="K114" s="1674">
        <f t="shared" si="13"/>
        <v>1223927</v>
      </c>
      <c r="L114" s="1674">
        <f>SUM(L33,L74,L75,L102,L112,L113)</f>
        <v>1514059</v>
      </c>
    </row>
    <row r="115" spans="1:14" ht="13.5" thickTop="1" x14ac:dyDescent="0.2">
      <c r="A115" s="2261" t="s">
        <v>989</v>
      </c>
      <c r="B115" s="2262"/>
      <c r="C115" s="1675"/>
      <c r="D115" s="1675"/>
      <c r="E115" s="1675"/>
      <c r="F115" s="1675"/>
      <c r="G115" s="1675"/>
      <c r="H115" s="1675"/>
      <c r="I115" s="1675"/>
      <c r="J115" s="1675"/>
      <c r="K115" s="1689">
        <f>'Revenues 9-14'!C268-'Expenditures 15-22'!K114</f>
        <v>71543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schemas.openxmlformats.org/package/2006/metadata/core-properties"/>
    <ds:schemaRef ds:uri="http://purl.org/dc/elements/1.1/"/>
    <ds:schemaRef ds:uri="http://schemas.microsoft.com/office/infopath/2007/PartnerControls"/>
    <ds:schemaRef ds:uri="http://schemas.microsoft.com/sharepoint/v3"/>
    <ds:schemaRef ds:uri="http://schemas.microsoft.com/office/2006/documentManagement/types"/>
    <ds:schemaRef ds:uri="4d435f69-8686-490b-bd6d-b153bf22ab50"/>
    <ds:schemaRef ds:uri="http://schemas.microsoft.com/office/2006/metadata/properti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2020-11-02T15:26:33Z</cp:lastPrinted>
  <dcterms:created xsi:type="dcterms:W3CDTF">2003-10-29T19:06:34Z</dcterms:created>
  <dcterms:modified xsi:type="dcterms:W3CDTF">2020-12-12T02:23:00Z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