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9D1EE11-324B-4C43-AD91-B8DB72EFD48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D7884" i="106" s="1"/>
  <c r="B7883" i="106"/>
  <c r="B7882"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B4211" i="106" l="1"/>
  <c r="D4211" i="106" s="1"/>
  <c r="J210" i="29"/>
  <c r="B7072" i="106" s="1"/>
  <c r="D7072" i="106" s="1"/>
  <c r="H33" i="118"/>
  <c r="H28" i="118"/>
  <c r="J129" i="29"/>
  <c r="B7038" i="106" s="1"/>
  <c r="D7038" i="106" s="1"/>
  <c r="H15" i="184"/>
  <c r="I129" i="29"/>
  <c r="B7037" i="106" s="1"/>
  <c r="D7037" i="106" s="1"/>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L16" i="11"/>
  <c r="B2061" i="106" s="1"/>
  <c r="D2061"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N23" i="3"/>
  <c r="B284" i="106" s="1"/>
  <c r="D284" i="106" s="1"/>
  <c r="K77" i="4"/>
  <c r="B3587" i="106" s="1"/>
  <c r="D3587" i="106" s="1"/>
  <c r="B1328" i="106"/>
  <c r="D1328" i="106" s="1"/>
  <c r="K342" i="29"/>
  <c r="F13" i="34" s="1"/>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<sst xmlns="http://schemas.openxmlformats.org/spreadsheetml/2006/main" count="5127" uniqueCount="2071">
  <si>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</si>
  <si>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</si>
  <si>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</si>
  <si>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</si>
  <si>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</si>
  <si>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</si>
  <si>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</si>
  <si>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</si>
  <si>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</si>
  <si>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</si>
  <si>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</si>
  <si>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</si>
  <si>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</si>
  <si>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</si>
  <si>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</si>
  <si>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</si>
  <si>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</si>
  <si>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</si>
  <si>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</si>
  <si>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</si>
  <si>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</si>
  <si>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</si>
  <si>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</si>
  <si>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</si>
  <si>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</si>
  <si>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</si>
  <si>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</si>
  <si>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</si>
  <si>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</si>
  <si>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</si>
  <si>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</si>
  <si>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</si>
  <si>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</si>
  <si>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</si>
  <si>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</si>
  <si>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</si>
  <si>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</si>
  <si>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</si>
  <si>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</si>
  <si>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</si>
  <si>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</si>
  <si>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</si>
  <si>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</si>
  <si>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</si>
  <si>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</si>
  <si>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</si>
  <si>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</si>
  <si>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</si>
  <si>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</si>
  <si>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</si>
  <si>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</si>
  <si>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</si>
  <si>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</si>
  <si>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</si>
  <si>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</si>
  <si>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</si>
  <si>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</si>
  <si>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</si>
  <si>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</si>
  <si>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</si>
  <si>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</si>
  <si>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</si>
  <si>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</si>
  <si>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</si>
  <si>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</si>
  <si>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</si>
  <si>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</si>
  <si>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</si>
  <si>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</si>
  <si>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</si>
  <si>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</si>
  <si>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</si>
  <si>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</si>
  <si>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</si>
  <si>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</si>
  <si>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</si>
  <si>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</si>
  <si>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</si>
  <si>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</si>
  <si>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</si>
  <si>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</si>
  <si>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</si>
  <si>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</si>
  <si>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</si>
  <si>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</si>
  <si>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</si>
  <si>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</si>
  <si>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</si>
  <si>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</si>
  <si>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</si>
  <si>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</si>
  <si>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</si>
  <si>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</si>
  <si>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</si>
  <si>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</si>
  <si>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</si>
  <si>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</si>
  <si>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</si>
  <si>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</si>
  <si>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</si>
  <si>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</si>
  <si>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</si>
  <si>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</si>
  <si>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</si>
  <si>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</si>
  <si>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</si>
  <si>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</si>
  <si>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</si>
  <si>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</si>
  <si>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</si>
  <si>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</si>
  <si>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</si>
  <si>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</si>
  <si>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</si>
  <si>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</si>
  <si>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</si>
  <si>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</si>
  <si>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</si>
  <si>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</si>
  <si>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</si>
  <si>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</si>
  <si>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</si>
  <si>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</si>
  <si>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</si>
  <si>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</si>
  <si>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</si>
  <si>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</si>
  <si>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</si>
  <si>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</si>
  <si>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</si>
  <si>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</si>
  <si>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</si>
  <si>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</si>
  <si>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</si>
  <si>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</si>
  <si>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</si>
  <si>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</si>
  <si>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</si>
  <si>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</si>
  <si>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</si>
  <si>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</si>
  <si>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</si>
  <si>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</si>
  <si>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</si>
  <si>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</si>
  <si>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</si>
  <si>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</si>
  <si>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</si>
  <si>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</si>
  <si>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</si>
  <si>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</si>
  <si>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</si>
  <si>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</si>
  <si>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</si>
  <si>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</si>
  <si>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</si>
  <si>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</si>
  <si>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</si>
  <si>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</si>
  <si>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</si>
  <si>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</si>
  <si>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</si>
  <si>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</si>
  <si>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</si>
  <si>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</si>
  <si>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</si>
  <si>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</si>
  <si>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</si>
  <si>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</si>
  <si>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</si>
  <si>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</si>
  <si>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</si>
  <si>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</si>
  <si>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</si>
  <si>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</si>
  <si>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</si>
  <si>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</si>
  <si>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</si>
  <si>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</si>
  <si>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</si>
  <si>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</si>
  <si>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</si>
  <si>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</si>
  <si>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</si>
  <si>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</si>
  <si>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</si>
  <si>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</si>
  <si>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</si>
  <si>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</si>
  <si>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</si>
  <si>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</si>
  <si>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</si>
  <si>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</si>
  <si>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</si>
  <si>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</si>
  <si>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</si>
  <si>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</si>
  <si>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</si>
  <si>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</si>
  <si>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</si>
  <si>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</si>
  <si>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</si>
  <si>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</si>
  <si>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</si>
  <si>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</si>
  <si>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</si>
  <si>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</si>
  <si>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</si>
  <si>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</si>
  <si>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</si>
  <si>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</si>
  <si>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</si>
  <si>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</si>
  <si>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</si>
  <si>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</si>
  <si>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</si>
  <si>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</si>
  <si>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</si>
  <si>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</si>
  <si>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</si>
  <si>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</si>
  <si>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</si>
  <si>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</si>
  <si>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</si>
  <si>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</si>
  <si>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</si>
  <si>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</si>
  <si>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</si>
  <si>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</si>
  <si>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</si>
  <si>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</si>
  <si>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</si>
  <si>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</si>
  <si>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</si>
  <si>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</si>
  <si>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</si>
  <si>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</si>
  <si>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</si>
  <si>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</si>
  <si>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</si>
  <si>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</si>
  <si>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</si>
  <si>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</si>
  <si>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</si>
  <si>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</si>
  <si>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</si>
  <si>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</si>
  <si>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</si>
  <si>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</si>
  <si>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</si>
  <si>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</si>
  <si>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</si>
  <si>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</si>
  <si>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</si>
  <si>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</si>
  <si>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</si>
  <si>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</si>
  <si>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</si>
  <si>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</si>
  <si>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</si>
  <si>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</si>
  <si>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</si>
  <si>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</si>
  <si>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</si>
  <si>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</si>
  <si>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</si>
  <si>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</si>
  <si>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</si>
  <si>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</si>
  <si>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</si>
  <si>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</si>
  <si>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</si>
  <si>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</si>
  <si>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</si>
  <si>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</si>
  <si>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</si>
  <si>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</si>
  <si>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</si>
  <si>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</si>
  <si>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</si>
  <si>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</si>
  <si>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</si>
  <si>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</si>
  <si>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</si>
  <si>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</si>
  <si>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</si>
  <si>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</si>
  <si>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</si>
  <si>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</si>
  <si>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</si>
  <si>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</si>
  <si>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</si>
  <si>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</si>
  <si>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</si>
  <si>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</si>
  <si>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</si>
  <si>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</si>
  <si>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</si>
  <si>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</si>
  <si>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</si>
  <si>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</si>
  <si>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</si>
  <si>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</si>
  <si>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</si>
  <si>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</si>
  <si>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</si>
  <si>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</si>
  <si>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</si>
  <si>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</si>
  <si>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</si>
  <si>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</si>
  <si>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</si>
  <si>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</si>
  <si>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</si>
  <si>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</si>
  <si>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</si>
  <si>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</si>
  <si>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</si>
  <si>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</si>
  <si>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</si>
  <si>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</si>
  <si>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</si>
  <si>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</si>
  <si>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</si>
  <si>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</si>
  <si>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</si>
  <si>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</si>
  <si>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</si>
  <si>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</si>
  <si>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</si>
  <si>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</si>
  <si>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</si>
  <si>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</si>
  <si>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</si>
  <si>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</si>
  <si>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</si>
  <si>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</si>
  <si>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</si>
  <si>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</si>
  <si>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</si>
  <si>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</si>
  <si>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</si>
  <si>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</si>
  <si>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</si>
  <si>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</si>
  <si>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</si>
  <si>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</si>
  <si>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</si>
  <si>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</si>
  <si>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</si>
  <si>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</si>
  <si>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</si>
  <si>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</si>
  <si>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</si>
  <si>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</si>
  <si>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</si>
  <si>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</si>
  <si>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</si>
  <si>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</si>
  <si>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</si>
  <si>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</si>
  <si>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</si>
  <si>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</si>
  <si>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</si>
  <si>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</si>
  <si>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</si>
  <si>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</si>
  <si>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</si>
  <si>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</si>
  <si>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</si>
  <si>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</si>
  <si>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</si>
  <si>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</si>
  <si>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</si>
  <si>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</si>
  <si>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</si>
  <si>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</si>
  <si>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</si>
  <si>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</si>
  <si>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</si>
  <si>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</si>
  <si>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</si>
  <si>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</si>
  <si>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</si>
  <si>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</si>
  <si>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</si>
  <si>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</si>
  <si>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</si>
  <si>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</si>
  <si>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</si>
  <si>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</si>
  <si>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</si>
  <si>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</si>
  <si>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</si>
  <si>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</si>
  <si>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</si>
  <si>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</si>
  <si>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</si>
  <si>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</si>
  <si>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</si>
  <si>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</si>
  <si>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</si>
  <si>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</si>
  <si>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</si>
  <si>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</si>
  <si>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</si>
  <si>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</si>
  <si>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</si>
  <si>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</si>
  <si>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</si>
  <si>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</si>
  <si>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</si>
  <si>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</si>
  <si>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</si>
  <si>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</si>
  <si>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</si>
  <si>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</si>
  <si>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</si>
  <si>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</si>
  <si>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</si>
  <si>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</si>
  <si>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</si>
  <si>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</si>
  <si>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</si>
  <si>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</si>
  <si>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</si>
  <si>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</si>
  <si>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</si>
  <si>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</si>
  <si>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</si>
  <si>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</si>
  <si>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</si>
  <si>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</si>
  <si>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</si>
  <si>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</si>
  <si>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</si>
  <si>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</si>
  <si>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</si>
  <si>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</si>
  <si>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</si>
  <si>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</si>
  <si>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</si>
  <si>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</si>
  <si>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</si>
  <si>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</si>
  <si>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</si>
  <si>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</si>
  <si>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</si>
  <si>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</si>
  <si>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</si>
  <si>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</si>
  <si>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</si>
  <si>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</si>
  <si>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</si>
  <si>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</si>
  <si>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</si>
  <si>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</si>
  <si>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</si>
  <si>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</si>
  <si>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</si>
  <si>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</si>
  <si>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</si>
  <si>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</si>
  <si>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</si>
  <si>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</si>
  <si>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</si>
  <si>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</si>
  <si>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</si>
  <si>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</si>
  <si>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</si>
  <si>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</si>
  <si>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</si>
  <si>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</si>
  <si>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</si>
  <si>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</si>
  <si>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</si>
  <si>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</si>
  <si>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</si>
  <si>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</si>
  <si>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</si>
  <si>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</si>
  <si>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</si>
  <si>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</si>
  <si>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</si>
  <si>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</si>
  <si>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</si>
  <si>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</si>
  <si>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</si>
  <si>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</si>
  <si>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</si>
  <si>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</si>
  <si>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</si>
  <si>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</si>
  <si>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</si>
  <si>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</si>
  <si>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</si>
  <si>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</si>
  <si>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</si>
  <si>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</si>
  <si>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</si>
  <si>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</si>
  <si>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</si>
  <si>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</si>
  <si>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</si>
  <si>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</si>
  <si>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</si>
  <si>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</si>
  <si>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</si>
  <si>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</si>
  <si>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</si>
  <si>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</si>
  <si>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</si>
  <si>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</si>
  <si>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</si>
  <si>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</si>
  <si>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</si>
  <si>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</si>
  <si>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</si>
  <si>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</si>
  <si>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</si>
  <si>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</si>
  <si>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</si>
  <si>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</si>
  <si>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</si>
  <si>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</si>
  <si>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</si>
  <si>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</si>
  <si>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</si>
  <si>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</si>
  <si>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</si>
  <si>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</si>
  <si>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</si>
  <si>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</si>
  <si>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</si>
  <si>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</si>
  <si>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</si>
  <si>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</si>
  <si>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</si>
  <si>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</si>
  <si>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</si>
  <si>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</si>
  <si>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</si>
  <si>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</si>
  <si>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</si>
  <si>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</si>
  <si>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</si>
  <si>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</si>
  <si>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</si>
  <si>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</si>
  <si>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</si>
  <si>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</si>
  <si>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</si>
  <si>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</si>
  <si>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</si>
  <si>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</si>
  <si>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</si>
  <si>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</si>
  <si>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</si>
  <si>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</si>
  <si>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</si>
  <si>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</si>
  <si>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</si>
  <si>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</si>
  <si>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</si>
  <si>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</si>
  <si>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</si>
  <si>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</si>
  <si>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</si>
  <si>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</si>
  <si>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</si>
  <si>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</si>
  <si>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</si>
  <si>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</si>
  <si>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</si>
  <si>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</si>
  <si>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</si>
  <si>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</si>
  <si>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</si>
  <si>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</si>
  <si>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</si>
  <si>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</si>
  <si>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</si>
  <si>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</si>
  <si>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</si>
  <si>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</si>
  <si>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</si>
  <si>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</si>
  <si>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</si>
  <si>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</si>
  <si>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</si>
  <si>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</si>
  <si>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</si>
  <si>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</si>
  <si>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</si>
  <si>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</si>
  <si>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</si>
  <si>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</si>
  <si>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</si>
  <si>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</si>
  <si>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</si>
  <si>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</si>
  <si>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</si>
  <si>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</si>
  <si>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</si>
  <si>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</si>
  <si>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</si>
  <si>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</si>
  <si>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</si>
  <si>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</si>
  <si>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</si>
  <si>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</si>
  <si>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</si>
  <si>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</si>
  <si>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</si>
  <si>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</si>
  <si>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</si>
  <si>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</si>
  <si>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</si>
  <si>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</si>
  <si>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</si>
  <si>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</si>
  <si>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</si>
  <si>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</si>
  <si>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</si>
  <si>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</si>
  <si>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</si>
  <si>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</si>
  <si>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</si>
  <si>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</si>
  <si>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</si>
  <si>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</si>
  <si>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</si>
  <si>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</si>
  <si>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</si>
  <si>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</si>
  <si>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</si>
  <si>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</si>
  <si>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</si>
  <si>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</si>
  <si>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</si>
  <si>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</si>
  <si>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</si>
  <si>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</si>
  <si>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</si>
  <si>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</si>
  <si>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</si>
  <si>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</si>
  <si>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</si>
  <si>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</si>
  <si>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</si>
  <si>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</si>
  <si>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</si>
  <si>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</si>
  <si>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</si>
  <si>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</si>
  <si>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</si>
  <si>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</si>
  <si>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</si>
  <si>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</si>
  <si>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</si>
  <si>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</si>
  <si>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</si>
  <si>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</si>
  <si>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</si>
  <si>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</si>
  <si>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</si>
  <si>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</si>
  <si>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</si>
  <si>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</si>
  <si>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</si>
  <si>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</si>
  <si>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</si>
  <si>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</si>
  <si>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</si>
  <si>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</si>
  <si>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</si>
  <si>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</si>
  <si>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</si>
  <si>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</si>
  <si>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</si>
  <si>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</si>
  <si>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</si>
  <si>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</si>
  <si>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</si>
  <si>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</si>
  <si>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</si>
  <si>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</si>
  <si>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</si>
  <si>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</si>
  <si>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</si>
  <si>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</si>
  <si>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</si>
  <si>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</si>
  <si>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</si>
  <si>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</si>
  <si>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</si>
  <si>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</si>
  <si>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</si>
  <si>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</si>
  <si>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</si>
  <si>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</si>
  <si>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</si>
  <si>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</si>
  <si>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</si>
  <si>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</si>
  <si>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</si>
  <si>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</si>
  <si>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</si>
  <si>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</si>
  <si>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</si>
  <si>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</si>
  <si>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</si>
  <si>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</si>
  <si>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</si>
  <si>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</si>
  <si>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</si>
  <si>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</si>
  <si>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</si>
  <si>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</si>
  <si>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</si>
  <si>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</si>
  <si>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</si>
  <si>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</si>
  <si>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</si>
  <si>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</si>
  <si>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</si>
  <si>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</si>
  <si>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</si>
  <si>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</si>
  <si>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</si>
  <si>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</si>
  <si>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</si>
  <si>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</si>
  <si>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</si>
  <si>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</si>
  <si>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</si>
  <si>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</si>
  <si>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</si>
  <si>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</si>
  <si>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</si>
  <si>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</si>
  <si>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</si>
  <si>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</si>
  <si>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</si>
  <si>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</si>
  <si>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</si>
  <si>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</si>
  <si>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</si>
  <si>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</si>
  <si>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</si>
  <si>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</si>
  <si>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</si>
  <si>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</si>
  <si>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</si>
  <si>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</si>
  <si>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</si>
  <si>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</si>
  <si>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</si>
  <si>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</si>
  <si>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</si>
  <si>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</si>
  <si>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</si>
  <si>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</si>
  <si>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</si>
  <si>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</si>
  <si>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</si>
  <si>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</si>
  <si>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</si>
  <si>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</si>
  <si>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</si>
  <si>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</si>
  <si>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</si>
  <si>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</si>
  <si>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</si>
  <si>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</si>
  <si>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</si>
  <si>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</si>
  <si>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</si>
  <si>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</si>
  <si>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</si>
  <si>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</si>
  <si>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</si>
  <si>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</si>
  <si>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</si>
  <si>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</si>
  <si>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</si>
  <si>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</si>
  <si>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</si>
  <si>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</si>
  <si>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</si>
  <si>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</si>
  <si>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</si>
  <si>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</si>
  <si>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</si>
  <si>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</si>
  <si>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</si>
  <si>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</si>
  <si>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</si>
  <si>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</si>
  <si>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</si>
  <si>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</si>
  <si>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</si>
  <si>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</si>
  <si>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</si>
  <si>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</si>
  <si>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</si>
  <si>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</si>
  <si>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</si>
  <si>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</si>
  <si>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</si>
  <si>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</si>
  <si>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</si>
  <si>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</si>
  <si>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</si>
  <si>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</si>
  <si>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</si>
  <si>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</si>
  <si>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</si>
  <si>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</si>
  <si>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</si>
  <si>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</si>
  <si>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</si>
  <si>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</si>
  <si>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</si>
  <si>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</si>
  <si>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</si>
  <si>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</si>
  <si>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</si>
  <si>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</si>
  <si>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</si>
  <si>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</si>
  <si>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</si>
  <si>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</si>
  <si>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</si>
  <si>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</si>
  <si>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</si>
  <si>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</si>
  <si>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</si>
  <si>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</si>
  <si>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</si>
  <si>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</si>
  <si>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</si>
  <si>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</si>
  <si>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</si>
  <si>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</si>
  <si>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</si>
  <si>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</si>
  <si>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</si>
  <si>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</si>
  <si>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</si>
  <si>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</si>
  <si>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</si>
  <si>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</si>
  <si>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</si>
  <si>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</si>
  <si>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</si>
  <si>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</si>
  <si>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</si>
  <si>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</si>
  <si>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</si>
  <si>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</si>
  <si>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</si>
  <si>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</si>
  <si>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</si>
  <si>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</si>
  <si>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</si>
  <si>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</si>
  <si>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</si>
  <si>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</si>
  <si>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</si>
  <si>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</si>
  <si>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</si>
  <si>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</si>
  <si>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</si>
  <si>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</si>
  <si>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</si>
  <si>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</si>
  <si>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</si>
  <si>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</si>
  <si>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</si>
  <si>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</si>
  <si>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</si>
  <si>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</si>
  <si>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</si>
  <si>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</si>
  <si>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</si>
  <si>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</si>
  <si>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</si>
  <si>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</si>
  <si>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</si>
  <si>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</si>
  <si>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</si>
  <si>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</si>
  <si>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</si>
  <si>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</si>
  <si>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</si>
  <si>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</si>
  <si>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</si>
  <si>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</si>
  <si>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</si>
  <si>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</si>
  <si>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</si>
  <si>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</si>
  <si>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</si>
  <si>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</si>
  <si>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</si>
  <si>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</si>
  <si>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</si>
  <si>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</si>
  <si>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</si>
  <si>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</si>
  <si>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</si>
  <si>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</si>
  <si>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</si>
  <si>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</si>
  <si>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</si>
  <si>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</si>
  <si>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</si>
  <si>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</si>
  <si>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</si>
  <si>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</si>
  <si>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</si>
  <si>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</si>
  <si>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</si>
  <si>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</si>
  <si>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</si>
  <si>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</si>
  <si>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</si>
  <si>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</si>
  <si>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</si>
  <si>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</si>
  <si>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</si>
  <si>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</si>
  <si>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</si>
  <si>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</si>
  <si>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</si>
  <si>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</si>
  <si>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</si>
  <si>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</si>
  <si>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</si>
  <si>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</si>
  <si>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</si>
  <si>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</si>
  <si>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</si>
  <si>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</si>
  <si>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</si>
  <si>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</si>
  <si>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</si>
  <si>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</si>
  <si>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</si>
  <si>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</si>
  <si>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</si>
  <si>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</si>
  <si>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</si>
  <si>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</si>
  <si>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</si>
  <si>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</si>
  <si>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</si>
  <si>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</si>
  <si>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</si>
  <si>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</si>
  <si>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</si>
  <si>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</si>
  <si>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</si>
  <si>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</si>
  <si>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</si>
  <si>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</si>
  <si>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</si>
  <si>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</si>
  <si>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</si>
  <si>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</si>
  <si>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</si>
  <si>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</si>
  <si>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</si>
  <si>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</si>
  <si>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</si>
  <si>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</si>
  <si>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</si>
  <si>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</si>
  <si>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</si>
  <si>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</si>
  <si>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</si>
  <si>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</si>
  <si>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</si>
  <si>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</si>
  <si>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</si>
  <si>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</si>
  <si>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</si>
  <si>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</si>
  <si>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</si>
  <si>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</si>
  <si>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</si>
  <si>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</si>
  <si>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</si>
  <si>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</si>
  <si>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</si>
  <si>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</si>
  <si>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</si>
  <si>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</si>
  <si>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</si>
  <si>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</si>
  <si>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</si>
  <si>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</si>
  <si>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</si>
  <si>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</si>
  <si>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</si>
  <si>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</si>
  <si>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</si>
  <si>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</si>
  <si>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</si>
  <si>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</si>
  <si>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</si>
  <si>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</si>
  <si>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</si>
  <si>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</si>
  <si>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</si>
  <si>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</si>
  <si>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</si>
  <si>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</si>
  <si>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</si>
  <si>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</si>
  <si>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</si>
  <si>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</si>
  <si>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</si>
  <si>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</si>
  <si>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</si>
  <si>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</si>
  <si>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</si>
  <si>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</si>
  <si>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</si>
  <si>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</si>
  <si>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</si>
  <si>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</si>
  <si>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</si>
  <si>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</si>
  <si>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</si>
  <si>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</si>
  <si>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</si>
  <si>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</si>
  <si>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</si>
  <si>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</si>
  <si>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</si>
  <si>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</si>
  <si>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</si>
  <si>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</si>
  <si>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</si>
  <si>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</si>
  <si>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</si>
  <si>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</si>
  <si>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</si>
  <si>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</si>
  <si>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</si>
  <si>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</si>
  <si>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</si>
  <si>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</si>
  <si>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</si>
  <si>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</si>
  <si>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</si>
  <si>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</si>
  <si>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</si>
  <si>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</si>
  <si>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</si>
  <si>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</si>
  <si>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</si>
  <si>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</si>
  <si>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</si>
  <si>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</si>
  <si>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</si>
  <si>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</si>
  <si>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</si>
  <si>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</si>
  <si>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</si>
  <si>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</si>
  <si>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</si>
  <si>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</si>
  <si>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</si>
  <si>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</si>
  <si>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</si>
  <si>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</si>
  <si>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</si>
  <si>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</si>
  <si>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</si>
  <si>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</si>
  <si>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</si>
  <si>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</si>
  <si>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</si>
  <si>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</si>
  <si>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</si>
  <si>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</si>
  <si>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</si>
  <si>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</si>
  <si>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</si>
  <si>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</si>
  <si>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</si>
  <si>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</si>
  <si>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</si>
  <si>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</si>
  <si>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</si>
  <si>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</si>
  <si>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</si>
  <si>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</si>
  <si>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</si>
  <si>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</si>
  <si>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</si>
  <si>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</si>
  <si>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</si>
  <si>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</si>
  <si>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</si>
  <si>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</si>
  <si>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</si>
  <si>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</si>
  <si>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</si>
  <si>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</si>
  <si>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</si>
  <si>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</si>
  <si>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</si>
  <si>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</si>
  <si>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</si>
  <si>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</si>
  <si>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</si>
  <si>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</si>
  <si>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</si>
  <si>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</si>
  <si>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</si>
  <si>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</si>
  <si>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</si>
  <si>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</si>
  <si>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</si>
  <si>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</si>
  <si>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</si>
  <si>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</si>
  <si>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</si>
  <si>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</si>
  <si>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</si>
  <si>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</si>
  <si>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</si>
  <si>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</si>
  <si>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</si>
  <si>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</si>
  <si>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</si>
  <si>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</si>
  <si>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</si>
  <si>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</si>
  <si>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</si>
  <si>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</si>
  <si>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</si>
  <si>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</si>
  <si>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</si>
  <si>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</si>
  <si>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</si>
  <si>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</si>
  <si>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</si>
  <si>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</si>
  <si>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</si>
  <si>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</si>
  <si>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</si>
  <si>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</si>
  <si>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</si>
  <si>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</si>
  <si>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</si>
  <si>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</si>
  <si>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</si>
  <si>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</si>
  <si>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</si>
  <si>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</si>
  <si>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</si>
  <si>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</si>
  <si>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</si>
  <si>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</si>
  <si>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</si>
  <si>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</si>
  <si>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</si>
  <si>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</si>
  <si>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</si>
  <si>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</si>
  <si>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</si>
  <si>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</si>
  <si>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</si>
  <si>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</si>
  <si>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</si>
  <si>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</si>
  <si>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</si>
  <si>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</si>
  <si>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</si>
  <si>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</si>
  <si>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</si>
  <si>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</si>
  <si>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</si>
  <si>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</si>
  <si>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</si>
  <si>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</si>
  <si>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</si>
  <si>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</si>
  <si>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</si>
  <si>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</si>
  <si>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</si>
  <si>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</si>
  <si>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</si>
  <si>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</si>
  <si>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</si>
  <si>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</si>
  <si>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</si>
  <si>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</si>
  <si>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</si>
  <si>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</si>
  <si>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</si>
  <si>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</si>
  <si>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</si>
  <si>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</si>
  <si>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</si>
  <si>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</si>
  <si>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</si>
  <si>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</si>
  <si>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</si>
  <si>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</si>
  <si>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</si>
  <si>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</si>
  <si>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</si>
  <si>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</si>
  <si>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</si>
  <si>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</si>
  <si>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</si>
  <si>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</si>
  <si>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</si>
  <si>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</si>
  <si>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</si>
  <si>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</si>
  <si>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</si>
  <si>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</si>
  <si>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</si>
  <si>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</si>
  <si>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</si>
  <si>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</si>
  <si>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</si>
  <si>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</si>
  <si>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</si>
  <si>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</si>
  <si>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</si>
  <si>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</si>
  <si>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</si>
  <si>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</si>
  <si>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</si>
  <si>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</si>
  <si>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</si>
  <si>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</si>
  <si>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</si>
  <si>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</si>
  <si>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</si>
  <si>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</si>
  <si>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</si>
  <si>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</si>
  <si>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</si>
  <si>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</si>
  <si>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</si>
  <si>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</si>
  <si>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</si>
  <si>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</si>
  <si>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</si>
  <si>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</si>
  <si>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</si>
  <si>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</si>
  <si>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</si>
  <si>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</si>
  <si>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</si>
  <si>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</si>
  <si>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</si>
  <si>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</si>
  <si>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</si>
  <si>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</si>
  <si>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</si>
  <si>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</si>
  <si>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</si>
  <si>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</si>
  <si>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</si>
  <si>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</si>
  <si>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</si>
  <si>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</si>
  <si>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</si>
  <si>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</si>
  <si>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</si>
  <si>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</si>
  <si>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</si>
  <si>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</si>
  <si>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</si>
  <si>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</si>
  <si>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</si>
  <si>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</si>
  <si>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</si>
  <si>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</si>
  <si>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</si>
  <si>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</si>
  <si>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</si>
  <si>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</si>
  <si>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</si>
  <si>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</si>
  <si>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</si>
  <si>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</si>
  <si>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</si>
  <si>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</si>
  <si>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</si>
  <si>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</si>
  <si>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</si>
  <si>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</si>
  <si>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</si>
  <si>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</si>
  <si>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</si>
  <si>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</si>
  <si>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</si>
  <si>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</si>
  <si>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</si>
  <si>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</si>
  <si>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</si>
  <si>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</si>
  <si>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</si>
  <si>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</si>
  <si>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</si>
  <si>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</si>
  <si>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</si>
  <si>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</si>
  <si>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</si>
  <si>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</si>
  <si>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</si>
  <si>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</si>
  <si>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</si>
  <si>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</si>
  <si>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</si>
  <si>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</si>
  <si>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</si>
  <si>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</si>
  <si>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</si>
  <si>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</si>
  <si>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</si>
  <si>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</si>
  <si>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</si>
  <si>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</si>
  <si>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</si>
  <si>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</si>
  <si>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</si>
  <si>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</si>
  <si>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</si>
  <si>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</si>
  <si>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</si>
  <si>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</si>
  <si>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</si>
  <si>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</si>
  <si>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</si>
  <si>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</si>
  <si>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</si>
  <si>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</si>
  <si>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</si>
  <si>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</si>
  <si>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</si>
  <si>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</si>
  <si>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</si>
  <si>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</si>
  <si>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</si>
  <si>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</si>
  <si>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</si>
  <si>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</si>
  <si>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</si>
  <si>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</si>
  <si>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</si>
  <si>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</si>
  <si>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</si>
  <si>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</si>
  <si>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</si>
  <si>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</si>
  <si>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</si>
  <si>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</si>
  <si>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</si>
  <si>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</si>
  <si>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</si>
  <si>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</si>
  <si>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</si>
  <si>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</si>
  <si>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</si>
  <si>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</si>
  <si>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</si>
  <si>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</si>
  <si>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</si>
  <si>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</si>
  <si>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</si>
  <si>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</si>
  <si>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</si>
  <si>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</si>
  <si>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</si>
  <si>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</si>
  <si>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</si>
  <si>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</si>
  <si>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</si>
  <si>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</si>
  <si>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</si>
  <si>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</si>
  <si>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</si>
  <si>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</si>
  <si>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</si>
  <si>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</si>
  <si>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</si>
  <si>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</si>
  <si>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</si>
  <si>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</si>
  <si>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</si>
  <si>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</si>
  <si>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</si>
  <si>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</si>
  <si>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</si>
  <si>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</si>
  <si>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</si>
  <si>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</si>
  <si>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</si>
  <si>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</si>
  <si>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</si>
  <si>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</si>
  <si>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</si>
  <si>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</si>
  <si>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</si>
  <si>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</si>
  <si>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</si>
  <si>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</si>
  <si>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</si>
  <si>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</si>
  <si>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</si>
  <si>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</si>
  <si>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</si>
  <si>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</si>
  <si>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</si>
  <si>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</si>
  <si>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</si>
  <si>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</si>
  <si>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</si>
  <si>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</si>
  <si>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</si>
  <si>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</si>
  <si>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</si>
  <si>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</si>
  <si>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</si>
  <si>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</si>
  <si>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</si>
  <si>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</si>
  <si>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</si>
  <si>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</si>
  <si>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</si>
  <si>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</si>
  <si>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</si>
  <si>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</si>
  <si>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</si>
  <si>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</si>
  <si>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</si>
  <si>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</si>
  <si>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</si>
  <si>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</si>
  <si>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</si>
  <si>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</si>
  <si>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</si>
  <si>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</si>
  <si>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</si>
  <si>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</si>
  <si>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</si>
  <si>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</si>
  <si>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</si>
  <si>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</si>
  <si>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</si>
  <si>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</si>
  <si>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</si>
  <si>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</si>
  <si>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</si>
  <si>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</si>
  <si>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</si>
  <si>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</si>
  <si>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</si>
  <si>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</si>
  <si>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</si>
  <si>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</si>
  <si>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</si>
  <si>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</si>
  <si>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</si>
  <si>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</si>
  <si>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</si>
  <si>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</si>
  <si>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</si>
  <si>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</si>
  <si>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</si>
  <si>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</si>
  <si>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</si>
  <si>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</si>
  <si>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</si>
  <si>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</si>
  <si>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</si>
  <si>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</si>
  <si>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</si>
  <si>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</si>
  <si>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</si>
  <si>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</si>
  <si>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</si>
  <si>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</si>
  <si>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</si>
  <si>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</si>
  <si>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</si>
  <si>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</si>
  <si>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</si>
  <si>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</si>
  <si>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</si>
  <si>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</si>
  <si>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</si>
  <si>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</si>
  <si>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</si>
  <si>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</si>
  <si>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</si>
  <si>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</si>
  <si>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</si>
  <si>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</si>
  <si>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</si>
  <si>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</si>
  <si>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</si>
  <si>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</si>
  <si>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</si>
  <si>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</si>
  <si>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</si>
  <si>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</si>
  <si>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</si>
  <si>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</si>
  <si>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</si>
  <si>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</si>
  <si>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</si>
  <si>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</si>
  <si>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</si>
  <si>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</si>
  <si>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</si>
  <si>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</si>
  <si>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</si>
  <si>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</si>
  <si>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</si>
  <si>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</si>
  <si>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</si>
  <si>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</si>
  <si>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</si>
  <si>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</si>
  <si>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</si>
  <si>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</si>
  <si>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</si>
  <si>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</si>
  <si>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</si>
  <si>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</si>
  <si>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</si>
  <si>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</si>
  <si>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</si>
  <si>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</si>
  <si>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</si>
  <si>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</si>
  <si>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</si>
  <si>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</si>
  <si>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</si>
  <si>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</si>
  <si>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</si>
  <si>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</si>
  <si>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</si>
  <si>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</si>
  <si>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</si>
  <si>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</si>
  <si>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</si>
  <si>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</si>
  <si>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</si>
  <si>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</si>
  <si>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</si>
  <si>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</si>
  <si>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</si>
  <si>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</si>
  <si>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</si>
  <si>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</si>
  <si>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</si>
  <si>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</si>
  <si>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</si>
  <si>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</si>
  <si>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</si>
  <si>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</si>
  <si>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</si>
  <si>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</si>
  <si>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</si>
  <si>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</si>
  <si>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</si>
  <si>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</si>
  <si>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</si>
  <si>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</si>
  <si>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</si>
  <si>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</si>
  <si>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</si>
  <si>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</si>
  <si>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</si>
  <si>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</si>
  <si>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</si>
  <si>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</si>
  <si>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</si>
  <si>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</si>
  <si>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</si>
  <si>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</si>
  <si>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</si>
  <si>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</si>
  <si>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</si>
  <si>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</si>
  <si>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</si>
  <si>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</si>
  <si>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</si>
  <si>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</si>
  <si>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</si>
  <si>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</si>
  <si>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</si>
  <si>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</si>
  <si>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</si>
  <si>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</si>
  <si>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</si>
  <si>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</si>
  <si>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</si>
  <si>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</si>
  <si>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</si>
  <si>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</si>
  <si>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</si>
  <si>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</si>
  <si>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</si>
  <si>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</si>
  <si>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</si>
  <si>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</si>
  <si>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</si>
  <si>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</si>
  <si>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</si>
  <si>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</si>
  <si>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</si>
  <si>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</si>
  <si>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</si>
  <si>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</si>
  <si>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</si>
  <si>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</si>
  <si>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</si>
  <si>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</si>
  <si>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</si>
  <si>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</si>
  <si>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</si>
  <si>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</si>
  <si>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</si>
  <si>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</si>
  <si>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</si>
  <si>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</si>
  <si>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</si>
  <si>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</si>
  <si>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</si>
  <si>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</si>
  <si>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</si>
  <si>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</si>
  <si>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</si>
  <si>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</si>
  <si>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</si>
  <si>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</si>
  <si>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</si>
  <si>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</si>
  <si>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</si>
  <si>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</si>
  <si>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</si>
  <si>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</si>
  <si>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</si>
  <si>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</si>
  <si>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</si>
  <si>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</si>
  <si>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</si>
  <si>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</si>
  <si>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</si>
  <si>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</si>
  <si>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</si>
  <si>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</si>
  <si>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</si>
  <si>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</si>
  <si>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</si>
  <si>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</si>
  <si>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</si>
  <si>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</si>
  <si>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</si>
  <si>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</si>
  <si>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</si>
  <si>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</si>
  <si>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</si>
  <si>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</si>
  <si>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</si>
  <si>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</si>
  <si>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</si>
  <si>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</si>
  <si>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</si>
  <si>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</si>
  <si>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</si>
  <si>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</si>
  <si>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</si>
  <si>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</si>
  <si>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</si>
  <si>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</si>
  <si>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</si>
  <si>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</si>
  <si>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</si>
  <si>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</si>
  <si>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</si>
  <si>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</si>
  <si>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</si>
  <si>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</si>
  <si>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</si>
  <si>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</si>
  <si>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</si>
  <si>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</si>
  <si>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</si>
  <si>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</si>
  <si>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</si>
  <si>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</si>
  <si>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</si>
  <si>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</si>
  <si>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</si>
  <si>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</si>
  <si>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</si>
  <si>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</si>
  <si>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</si>
  <si>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</si>
  <si>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</si>
  <si>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</si>
  <si>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</si>
  <si>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</si>
  <si>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</si>
  <si>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</si>
  <si>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</si>
  <si>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</si>
  <si>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</si>
  <si>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</si>
  <si>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</si>
  <si>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</si>
  <si>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</si>
  <si>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</si>
  <si>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</si>
  <si>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</si>
  <si>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</si>
  <si>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</si>
  <si>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</si>
  <si>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</si>
  <si>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</si>
  <si>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</si>
  <si>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</si>
  <si>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</si>
  <si>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</si>
  <si>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</si>
  <si>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</si>
  <si>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</si>
  <si>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</si>
  <si>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</si>
  <si>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</si>
  <si>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</si>
  <si>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</si>
  <si>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</si>
  <si>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</si>
  <si>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</si>
  <si>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</si>
  <si>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</si>
  <si>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</si>
  <si>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</si>
  <si>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</si>
  <si>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</si>
  <si>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</si>
  <si>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</si>
  <si>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</si>
  <si>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</si>
  <si>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</si>
  <si>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</si>
  <si>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</si>
  <si>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</si>
  <si>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</si>
  <si>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</si>
  <si>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</si>
  <si>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</si>
  <si>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</si>
  <si>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</si>
  <si>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</si>
  <si>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</si>
  <si>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</si>
  <si>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</si>
  <si>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</si>
  <si>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</si>
  <si>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</si>
  <si>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</si>
  <si>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</si>
  <si>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</si>
  <si>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</si>
  <si>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</si>
  <si>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</si>
  <si>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</si>
  <si>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</si>
  <si>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</si>
  <si>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</si>
  <si>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</si>
  <si>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</si>
  <si>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</si>
  <si>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</si>
  <si>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</si>
  <si>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</si>
  <si>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</si>
  <si>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</si>
  <si>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</si>
  <si>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</si>
  <si>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</si>
  <si>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</si>
  <si>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</si>
  <si>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</si>
  <si>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</si>
  <si>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</si>
  <si>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</si>
  <si>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</si>
  <si>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</si>
  <si>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</si>
  <si>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</si>
  <si>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</si>
  <si>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</si>
  <si>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</si>
  <si>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</si>
  <si>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</si>
  <si>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</si>
  <si>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</si>
  <si>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</si>
  <si>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</si>
  <si>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</si>
  <si>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</si>
  <si>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</si>
  <si>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</si>
  <si>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</si>
  <si>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</si>
  <si>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</si>
  <si>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</si>
  <si>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</si>
  <si>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</si>
  <si>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</si>
  <si>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</si>
  <si>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</si>
  <si>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</si>
  <si>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</si>
  <si>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</si>
  <si>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</si>
  <si>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</si>
  <si>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</si>
  <si>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</si>
  <si>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</si>
  <si>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</si>
  <si>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</si>
  <si>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</si>
  <si>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</si>
  <si>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</si>
  <si>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</si>
  <si>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</si>
  <si>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</si>
  <si>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</si>
  <si>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</si>
  <si>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</si>
  <si>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</si>
  <si>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</si>
  <si>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</si>
  <si>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</si>
  <si>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</si>
  <si>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</si>
  <si>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</si>
  <si>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</si>
  <si>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</si>
  <si>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</si>
  <si>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</si>
  <si>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</si>
  <si>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</si>
  <si>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</si>
  <si>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</si>
  <si>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</si>
  <si>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</si>
  <si>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</si>
  <si>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</si>
  <si>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</si>
  <si>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</si>
  <si>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</si>
  <si>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</si>
  <si>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</si>
  <si>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</si>
  <si>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</si>
  <si>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</si>
  <si>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</si>
  <si>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</si>
  <si>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</si>
  <si>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</si>
  <si>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</si>
  <si>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</si>
  <si>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</si>
  <si>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</si>
  <si>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</si>
  <si>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</si>
  <si>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</si>
  <si>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</si>
  <si>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</si>
  <si>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</si>
  <si>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</si>
  <si>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</si>
  <si>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</si>
  <si>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</si>
  <si>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</si>
  <si>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</si>
  <si>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</si>
  <si>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</si>
  <si>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</si>
  <si>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</si>
  <si>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</si>
  <si>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</si>
  <si>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</si>
  <si>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</si>
  <si>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</si>
  <si>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</si>
  <si>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</si>
  <si>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</si>
  <si>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</si>
  <si>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</si>
  <si>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</si>
  <si>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</si>
  <si>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</si>
  <si>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</si>
  <si>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</si>
  <si>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</si>
  <si>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</si>
  <si>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</si>
  <si>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</si>
  <si>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</si>
  <si>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</si>
  <si>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</si>
  <si>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</si>
  <si>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</si>
  <si>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</si>
  <si>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</si>
  <si>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</si>
  <si>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</si>
  <si>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</si>
  <si>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</si>
  <si>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</si>
  <si>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</si>
  <si>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</si>
  <si>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</si>
  <si>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</si>
  <si>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</si>
  <si>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</si>
  <si>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</si>
  <si>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</si>
  <si>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</si>
  <si>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</si>
  <si>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</si>
  <si>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</si>
  <si>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</si>
  <si>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</si>
  <si>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</si>
  <si>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</si>
  <si>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</si>
  <si>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</si>
  <si>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</si>
  <si>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</si>
  <si>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</si>
  <si>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</si>
  <si>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</si>
  <si>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</si>
  <si>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</si>
  <si>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</si>
  <si>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</si>
  <si>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</si>
  <si>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</si>
  <si>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</si>
  <si>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</si>
  <si>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</si>
  <si>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</si>
  <si>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</si>
  <si>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</si>
  <si>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</si>
  <si>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</si>
  <si>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</si>
  <si>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</si>
  <si>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</si>
  <si>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</si>
  <si>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</si>
  <si>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</si>
  <si>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</si>
  <si>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</si>
  <si>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</si>
  <si>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</si>
  <si>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</si>
  <si>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</si>
  <si>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</si>
  <si>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</si>
  <si>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</si>
  <si>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</si>
  <si>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</si>
  <si>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</si>
  <si>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</si>
  <si>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</si>
  <si>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</si>
  <si>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</si>
  <si>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</si>
  <si>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</si>
  <si>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</si>
  <si>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</si>
  <si>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</si>
  <si>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</si>
  <si>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</si>
  <si>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</si>
  <si>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</si>
  <si>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</si>
  <si>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</si>
  <si>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</si>
  <si>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</si>
  <si>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</si>
  <si>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</si>
  <si>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</si>
  <si>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</si>
  <si>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</si>
  <si>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</si>
  <si>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</si>
  <si>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</si>
  <si>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</si>
  <si>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</si>
  <si>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</si>
  <si>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</si>
  <si>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</si>
  <si>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</si>
  <si>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</si>
  <si>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</si>
  <si>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</si>
  <si>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</si>
  <si>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</si>
  <si>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</si>
  <si>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</si>
  <si>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</si>
  <si>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</si>
  <si>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</si>
  <si>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</si>
  <si>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</si>
  <si>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</si>
  <si>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</si>
  <si>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</si>
  <si>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</si>
  <si>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</si>
  <si>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</si>
  <si>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</si>
  <si>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</si>
  <si>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</si>
  <si>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</si>
  <si>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</si>
  <si>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</si>
  <si>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</si>
  <si>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</si>
  <si>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</si>
  <si>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</si>
  <si>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</si>
  <si>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</si>
  <si>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</si>
  <si>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</si>
  <si>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</si>
  <si>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</si>
  <si>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FORD</t>
  </si>
  <si>
    <t>307 N SANGAMON AVE</t>
  </si>
  <si>
    <t>GIBSON CITY</t>
  </si>
  <si>
    <t>RUSSELL LEIGH &amp; ASSOCIATES LLC</t>
  </si>
  <si>
    <t>RUSS LEIGH</t>
  </si>
  <si>
    <t>228 E MAIN ST</t>
  </si>
  <si>
    <t>HOOPESTON</t>
  </si>
  <si>
    <t>IL</t>
  </si>
  <si>
    <t>217-283-9336</t>
  </si>
  <si>
    <t>217-283-9736</t>
  </si>
  <si>
    <t>065.018319</t>
  </si>
  <si>
    <t>admin@russleigh.com</t>
  </si>
  <si>
    <t>Russell Leigh &amp; Associates LLC</t>
  </si>
  <si>
    <t>No applicable  contracts paid.</t>
  </si>
  <si>
    <t>x</t>
  </si>
  <si>
    <t>AUDITCHECK Tab</t>
  </si>
  <si>
    <t>#15 - Contracts Paid Error</t>
  </si>
  <si>
    <t>No applicable contracts paid in the current year.</t>
  </si>
  <si>
    <t xml:space="preserve">  Ford Special Education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</si>
</sst>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c r="C5" s="26" t="s">
        <v>904</v>
      </c>
      <c r="D5" s="81"/>
      <c r="E5" s="81"/>
      <c r="H5" s="38"/>
      <c r="I5" s="2091" t="s">
        <v>675</v>
      </c>
      <c r="J5" s="2090"/>
      <c r="K5" s="2090"/>
      <c r="L5" s="2090"/>
      <c r="M5" s="2090"/>
      <c r="N5" s="2090"/>
      <c r="O5" s="2090"/>
      <c r="P5" s="2090"/>
      <c r="Q5" s="2090"/>
      <c r="R5" s="2090"/>
      <c r="S5" s="2090"/>
      <c r="AF5" s="1827"/>
    </row>
    <row r="6" spans="1:32" ht="14.1" customHeight="1" x14ac:dyDescent="0.2">
      <c r="B6" s="101" t="s">
        <v>2051</v>
      </c>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40" t="s">
        <v>530</v>
      </c>
      <c r="U9" s="2141"/>
      <c r="V9" s="2141"/>
      <c r="W9" s="2141"/>
      <c r="X9" s="2141"/>
      <c r="Y9" s="2141"/>
      <c r="Z9" s="2141"/>
      <c r="AA9" s="2142"/>
    </row>
    <row r="10" spans="1:32" ht="13.5" customHeight="1" x14ac:dyDescent="0.2">
      <c r="A10" s="2147" t="s">
        <v>670</v>
      </c>
      <c r="B10" s="2148"/>
      <c r="C10" s="2148"/>
      <c r="D10" s="2148"/>
      <c r="E10" s="2148"/>
      <c r="F10" s="2148"/>
      <c r="G10" s="2148"/>
      <c r="H10" s="2149"/>
      <c r="I10" s="29"/>
      <c r="J10" s="30"/>
      <c r="K10" s="28"/>
      <c r="R10" s="30"/>
      <c r="S10" s="30"/>
      <c r="T10" s="2143"/>
      <c r="U10" s="2090"/>
      <c r="V10" s="2090"/>
      <c r="W10" s="2090"/>
      <c r="X10" s="2090"/>
      <c r="Y10" s="2090"/>
      <c r="Z10" s="2090"/>
      <c r="AA10" s="2096"/>
    </row>
    <row r="11" spans="1:32" ht="14.25" customHeight="1" x14ac:dyDescent="0.2">
      <c r="A11" s="2150" t="s">
        <v>949</v>
      </c>
      <c r="B11" s="2151"/>
      <c r="C11" s="2151"/>
      <c r="D11" s="2151"/>
      <c r="E11" s="2151"/>
      <c r="F11" s="2151"/>
      <c r="G11" s="2151"/>
      <c r="H11" s="2152"/>
      <c r="I11" s="27"/>
      <c r="J11" s="71"/>
      <c r="K11" s="27"/>
      <c r="O11" s="144" t="s">
        <v>2051</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9027005061</v>
      </c>
      <c r="B13" s="2103"/>
      <c r="C13" s="2103"/>
      <c r="D13" s="2103"/>
      <c r="E13" s="2103"/>
      <c r="F13" s="2103"/>
      <c r="G13" s="2103"/>
      <c r="H13" s="2104"/>
      <c r="I13" s="31"/>
      <c r="J13" s="30"/>
      <c r="K13" s="28"/>
      <c r="L13" s="30"/>
      <c r="M13" s="30"/>
      <c r="N13" s="30"/>
      <c r="O13" s="30"/>
      <c r="P13" s="30"/>
      <c r="Q13" s="30"/>
      <c r="R13" s="30"/>
      <c r="S13" s="30"/>
      <c r="T13" s="2108" t="s">
        <v>2055</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2052</v>
      </c>
      <c r="B15" s="2106"/>
      <c r="C15" s="2106"/>
      <c r="D15" s="2106"/>
      <c r="E15" s="2106"/>
      <c r="F15" s="2106"/>
      <c r="G15" s="2106"/>
      <c r="H15" s="2107"/>
      <c r="T15" s="2112" t="s">
        <v>2056</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2070</v>
      </c>
      <c r="B17" s="2076"/>
      <c r="C17" s="2076"/>
      <c r="D17" s="2076"/>
      <c r="E17" s="2076"/>
      <c r="F17" s="2076"/>
      <c r="G17" s="2076"/>
      <c r="H17" s="2101"/>
      <c r="T17" s="2119" t="s">
        <v>2057</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2053</v>
      </c>
      <c r="B19" s="2061"/>
      <c r="C19" s="2061"/>
      <c r="D19" s="2061"/>
      <c r="E19" s="2061"/>
      <c r="F19" s="2061"/>
      <c r="G19" s="2061"/>
      <c r="H19" s="2041"/>
      <c r="I19" s="30"/>
      <c r="J19" s="96"/>
      <c r="K19" s="40"/>
      <c r="L19" s="38"/>
      <c r="M19" s="109" t="s">
        <v>312</v>
      </c>
      <c r="P19" s="27"/>
      <c r="Q19" s="27"/>
      <c r="R19" s="27"/>
      <c r="S19" s="31"/>
      <c r="T19" s="2105" t="s">
        <v>2058</v>
      </c>
      <c r="U19" s="2040"/>
      <c r="V19" s="2040"/>
      <c r="W19" s="2041"/>
      <c r="X19" s="2117" t="s">
        <v>2059</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2054</v>
      </c>
      <c r="B21" s="2040"/>
      <c r="C21" s="2040"/>
      <c r="D21" s="2040"/>
      <c r="E21" s="2040"/>
      <c r="F21" s="2040"/>
      <c r="G21" s="2040"/>
      <c r="H21" s="2041"/>
      <c r="I21" s="2095" t="s">
        <v>673</v>
      </c>
      <c r="J21" s="2090"/>
      <c r="K21" s="2090"/>
      <c r="L21" s="2090"/>
      <c r="M21" s="2090"/>
      <c r="N21" s="2090"/>
      <c r="O21" s="2090"/>
      <c r="P21" s="2090"/>
      <c r="Q21" s="2090"/>
      <c r="R21" s="2090"/>
      <c r="S21" s="2096"/>
      <c r="T21" s="2131" t="s">
        <v>2060</v>
      </c>
      <c r="U21" s="2132"/>
      <c r="V21" s="2132"/>
      <c r="W21" s="2132"/>
      <c r="X21" s="2137" t="s">
        <v>2061</v>
      </c>
      <c r="Y21" s="2138"/>
      <c r="Z21" s="2138"/>
      <c r="AA21" s="2139"/>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129" t="s">
        <v>2062</v>
      </c>
      <c r="U23" s="2130"/>
      <c r="V23" s="2130"/>
      <c r="W23" s="2130"/>
      <c r="X23" s="2134">
        <v>44469</v>
      </c>
      <c r="Y23" s="2135"/>
      <c r="Z23" s="2135"/>
      <c r="AA23" s="2136"/>
    </row>
    <row r="24" spans="1:27" ht="14.1" customHeight="1" x14ac:dyDescent="0.2">
      <c r="A24" s="85" t="s">
        <v>672</v>
      </c>
      <c r="B24" s="46"/>
      <c r="C24" s="46"/>
      <c r="D24" s="46"/>
      <c r="E24" s="46"/>
      <c r="F24" s="46"/>
      <c r="G24" s="46"/>
      <c r="H24" s="58"/>
      <c r="J24" s="2062" t="str">
        <f>IF(B5="x",IF(AUDITCHECK!D29="AFR form Incomplete.","",IF(AUDITCHECK!D29="Deficit reduction plan is required.","School District must complete a deficit reduction plan in the 2020-2021 Budget",)),"")</f>
        <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60936</v>
      </c>
      <c r="B25" s="2040"/>
      <c r="C25" s="2040"/>
      <c r="D25" s="2040"/>
      <c r="E25" s="2040"/>
      <c r="F25" s="2040"/>
      <c r="G25" s="2040"/>
      <c r="H25" s="2041"/>
      <c r="I25" s="110"/>
      <c r="J25" s="2064"/>
      <c r="K25" s="2064"/>
      <c r="L25" s="2064"/>
      <c r="M25" s="2064"/>
      <c r="N25" s="2064"/>
      <c r="O25" s="2064"/>
      <c r="P25" s="2064"/>
      <c r="Q25" s="2064"/>
      <c r="R25" s="2064"/>
      <c r="S25" s="2065"/>
      <c r="T25" s="2126" t="s">
        <v>2063</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c r="B40" s="2054"/>
      <c r="C40" s="2055"/>
      <c r="D40" s="2055"/>
      <c r="E40" s="2055"/>
      <c r="F40" s="2056"/>
      <c r="G40" s="2056"/>
      <c r="H40" s="2057"/>
      <c r="I40" s="2078"/>
      <c r="J40" s="2079"/>
      <c r="K40" s="2079"/>
      <c r="L40" s="2079"/>
      <c r="M40" s="2079"/>
      <c r="N40" s="2079"/>
      <c r="O40" s="2079"/>
      <c r="P40" s="2079"/>
      <c r="Q40" s="2079"/>
      <c r="R40" s="2079"/>
      <c r="S40" s="2080"/>
      <c r="T40" s="2078"/>
      <c r="U40" s="2133"/>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c r="B42" s="2059"/>
      <c r="C42" s="2060"/>
      <c r="D42" s="2058"/>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625</v>
      </c>
      <c r="B1" s="2311"/>
      <c r="C1" s="585"/>
    </row>
    <row r="2" spans="1:7" ht="33.75" x14ac:dyDescent="0.2">
      <c r="A2" s="2318" t="s">
        <v>1779</v>
      </c>
      <c r="B2" s="23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1104</v>
      </c>
      <c r="B3" s="2321"/>
      <c r="C3" s="2314"/>
      <c r="D3" s="2315"/>
      <c r="E3" s="2315"/>
      <c r="F3" s="2316"/>
    </row>
    <row r="4" spans="1:7" ht="12.75" customHeight="1" thickBot="1" x14ac:dyDescent="0.25">
      <c r="A4" s="2308" t="s">
        <v>626</v>
      </c>
      <c r="B4" s="2309"/>
      <c r="C4" s="1656"/>
      <c r="D4" s="1656"/>
      <c r="E4" s="1656"/>
      <c r="F4" s="1732">
        <f>SUM(C4+D4)-E4</f>
        <v>0</v>
      </c>
    </row>
    <row r="5" spans="1:7" ht="15.75" customHeight="1" thickTop="1" x14ac:dyDescent="0.2">
      <c r="A5" s="2312" t="s">
        <v>1101</v>
      </c>
      <c r="B5" s="2307"/>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7" t="s">
        <v>1102</v>
      </c>
      <c r="B16" s="2307"/>
      <c r="C16" s="2301"/>
      <c r="D16" s="2302"/>
      <c r="E16" s="2302"/>
      <c r="F16" s="2303"/>
    </row>
    <row r="17" spans="1:11" ht="12.75" customHeight="1" thickBot="1" x14ac:dyDescent="0.25">
      <c r="A17" s="2299" t="s">
        <v>64</v>
      </c>
      <c r="B17" s="2300"/>
      <c r="C17" s="1733"/>
      <c r="D17" s="1664"/>
      <c r="E17" s="1733"/>
      <c r="F17" s="1732">
        <f>SUM(C17+D17)-E17</f>
        <v>0</v>
      </c>
    </row>
    <row r="18" spans="1:11" ht="12.75" customHeight="1" thickTop="1" thickBot="1" x14ac:dyDescent="0.25">
      <c r="A18" s="2299" t="s">
        <v>6</v>
      </c>
      <c r="B18" s="2300"/>
      <c r="C18" s="1733"/>
      <c r="D18" s="1664"/>
      <c r="E18" s="1733"/>
      <c r="F18" s="1732">
        <f>SUM(C18+D18)-E18</f>
        <v>0</v>
      </c>
    </row>
    <row r="19" spans="1:11" ht="12.75" customHeight="1" thickTop="1" thickBot="1" x14ac:dyDescent="0.25">
      <c r="A19" s="2299" t="s">
        <v>385</v>
      </c>
      <c r="B19" s="2300"/>
      <c r="C19" s="1733"/>
      <c r="D19" s="1664"/>
      <c r="E19" s="1733"/>
      <c r="F19" s="1732">
        <f>SUM(C19+D19)-E19</f>
        <v>0</v>
      </c>
    </row>
    <row r="20" spans="1:11" ht="12.75" customHeight="1" thickTop="1" thickBot="1" x14ac:dyDescent="0.25">
      <c r="A20" s="2299" t="s">
        <v>445</v>
      </c>
      <c r="B20" s="2300"/>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06" t="s">
        <v>1103</v>
      </c>
      <c r="B22" s="2307"/>
      <c r="C22" s="2301"/>
      <c r="D22" s="2302"/>
      <c r="E22" s="2302"/>
      <c r="F22" s="2303"/>
    </row>
    <row r="23" spans="1:11" ht="13.5" thickBot="1" x14ac:dyDescent="0.25">
      <c r="A23" s="2308" t="s">
        <v>629</v>
      </c>
      <c r="B23" s="2309"/>
      <c r="C23" s="1656"/>
      <c r="D23" s="1656"/>
      <c r="E23" s="1656"/>
      <c r="F23" s="1732">
        <f>SUM(C23+D23)-E23</f>
        <v>0</v>
      </c>
      <c r="G23" s="473"/>
    </row>
    <row r="24" spans="1:11" ht="15.75" customHeight="1" thickTop="1" x14ac:dyDescent="0.2">
      <c r="A24" s="2306" t="s">
        <v>2006</v>
      </c>
      <c r="B24" s="2307"/>
      <c r="C24" s="2301"/>
      <c r="D24" s="2302"/>
      <c r="E24" s="2302"/>
      <c r="F24" s="2303"/>
    </row>
    <row r="25" spans="1:11" ht="13.5" thickBot="1" x14ac:dyDescent="0.25">
      <c r="A25" s="2308" t="s">
        <v>2007</v>
      </c>
      <c r="B25" s="2309"/>
      <c r="C25" s="1656"/>
      <c r="D25" s="1656"/>
      <c r="E25" s="1656"/>
      <c r="F25" s="1732">
        <f>SUM(C25+D25)-E25</f>
        <v>0</v>
      </c>
      <c r="G25" s="473"/>
    </row>
    <row r="26" spans="1:11" ht="15.75" customHeight="1" thickTop="1" x14ac:dyDescent="0.2">
      <c r="A26" s="2312" t="s">
        <v>652</v>
      </c>
      <c r="B26" s="2307"/>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10" t="s">
        <v>578</v>
      </c>
      <c r="B29" s="231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41" t="s">
        <v>1658</v>
      </c>
      <c r="B2" s="2342"/>
      <c r="C2" s="2342"/>
      <c r="D2" s="2342"/>
      <c r="E2" s="2343"/>
      <c r="F2" s="615" t="s">
        <v>898</v>
      </c>
      <c r="G2" s="616" t="s">
        <v>1655</v>
      </c>
      <c r="H2" s="616" t="s">
        <v>407</v>
      </c>
      <c r="I2" s="616" t="s">
        <v>1148</v>
      </c>
      <c r="J2" s="616" t="s">
        <v>1789</v>
      </c>
      <c r="K2" s="616" t="s">
        <v>137</v>
      </c>
    </row>
    <row r="3" spans="1:11" x14ac:dyDescent="0.2">
      <c r="A3" s="2344" t="str">
        <f>"Cash Basis Fund Balance as of July 1, "&amp;'AFR20'!E2-1</f>
        <v>Cash Basis Fund Balance as of July 1, 2019</v>
      </c>
      <c r="B3" s="2345"/>
      <c r="C3" s="2345"/>
      <c r="D3" s="2345"/>
      <c r="E3" s="2346"/>
      <c r="F3" s="617"/>
      <c r="G3" s="1744"/>
      <c r="H3" s="1744"/>
      <c r="I3" s="1744"/>
      <c r="J3" s="1745"/>
      <c r="K3" s="1745"/>
    </row>
    <row r="4" spans="1:11" x14ac:dyDescent="0.2">
      <c r="A4" s="2347" t="s">
        <v>366</v>
      </c>
      <c r="B4" s="2348"/>
      <c r="C4" s="2348"/>
      <c r="D4" s="2348"/>
      <c r="E4" s="2294"/>
      <c r="F4" s="620"/>
      <c r="G4" s="1746"/>
      <c r="H4" s="1747"/>
      <c r="I4" s="1746"/>
      <c r="J4" s="1748"/>
      <c r="K4" s="1748"/>
    </row>
    <row r="5" spans="1:11" x14ac:dyDescent="0.2">
      <c r="A5" s="2325" t="s">
        <v>1060</v>
      </c>
      <c r="B5" s="2326"/>
      <c r="C5" s="2326"/>
      <c r="D5" s="2326"/>
      <c r="E5" s="2327"/>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5" t="s">
        <v>1790</v>
      </c>
      <c r="B10" s="2326"/>
      <c r="C10" s="2326"/>
      <c r="D10" s="2326"/>
      <c r="E10" s="2328"/>
      <c r="F10" s="633" t="s">
        <v>857</v>
      </c>
      <c r="G10" s="1753"/>
      <c r="H10" s="1754"/>
      <c r="I10" s="1744"/>
      <c r="J10" s="1745"/>
      <c r="K10" s="1745"/>
    </row>
    <row r="11" spans="1:11" x14ac:dyDescent="0.2">
      <c r="A11" s="2325" t="s">
        <v>159</v>
      </c>
      <c r="B11" s="2326"/>
      <c r="C11" s="2326"/>
      <c r="D11" s="2326"/>
      <c r="E11" s="2327"/>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0</v>
      </c>
      <c r="I12" s="1755">
        <f>SUM(I5:I11)</f>
        <v>0</v>
      </c>
      <c r="J12" s="1755">
        <f>SUM(J5:J11)</f>
        <v>0</v>
      </c>
      <c r="K12" s="1755">
        <f>SUM(K5:K11)</f>
        <v>0</v>
      </c>
    </row>
    <row r="13" spans="1:11" ht="13.5" thickTop="1" x14ac:dyDescent="0.2">
      <c r="A13" s="2349" t="s">
        <v>367</v>
      </c>
      <c r="B13" s="2350"/>
      <c r="C13" s="2350"/>
      <c r="D13" s="2350"/>
      <c r="E13" s="2351"/>
      <c r="F13" s="634"/>
      <c r="G13" s="1756"/>
      <c r="H13" s="1757"/>
      <c r="I13" s="1758"/>
      <c r="J13" s="1758"/>
      <c r="K13" s="1758"/>
    </row>
    <row r="14" spans="1:11" x14ac:dyDescent="0.2">
      <c r="A14" s="2332" t="s">
        <v>453</v>
      </c>
      <c r="B14" s="2332"/>
      <c r="C14" s="2332"/>
      <c r="D14" s="2332"/>
      <c r="E14" s="2333"/>
      <c r="F14" s="635" t="s">
        <v>849</v>
      </c>
      <c r="G14" s="1753"/>
      <c r="H14" s="1744"/>
      <c r="I14" s="1749"/>
      <c r="J14" s="1751"/>
      <c r="K14" s="1745"/>
    </row>
    <row r="15" spans="1:11" x14ac:dyDescent="0.2">
      <c r="A15" s="2326" t="s">
        <v>4</v>
      </c>
      <c r="B15" s="2326"/>
      <c r="C15" s="2326"/>
      <c r="D15" s="2326"/>
      <c r="E15" s="2327"/>
      <c r="F15" s="635" t="s">
        <v>850</v>
      </c>
      <c r="G15" s="1749"/>
      <c r="H15" s="1744"/>
      <c r="I15" s="1744"/>
      <c r="J15" s="1745"/>
      <c r="K15" s="1745"/>
    </row>
    <row r="16" spans="1:11" x14ac:dyDescent="0.2">
      <c r="A16" s="2326" t="s">
        <v>295</v>
      </c>
      <c r="B16" s="2326"/>
      <c r="C16" s="2326"/>
      <c r="D16" s="2326"/>
      <c r="E16" s="2327"/>
      <c r="F16" s="635" t="s">
        <v>917</v>
      </c>
      <c r="G16" s="1750"/>
      <c r="H16" s="1746"/>
      <c r="I16" s="1746"/>
      <c r="J16" s="1748"/>
      <c r="K16" s="1748"/>
    </row>
    <row r="17" spans="1:15" x14ac:dyDescent="0.2">
      <c r="A17" s="2359" t="s">
        <v>929</v>
      </c>
      <c r="B17" s="2359"/>
      <c r="C17" s="2359"/>
      <c r="D17" s="2359"/>
      <c r="E17" s="2360"/>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34" t="s">
        <v>1786</v>
      </c>
      <c r="B19" s="2334"/>
      <c r="C19" s="2334"/>
      <c r="D19" s="2334"/>
      <c r="E19" s="2335"/>
      <c r="F19" s="635" t="s">
        <v>927</v>
      </c>
      <c r="G19" s="1753"/>
      <c r="H19" s="1753"/>
      <c r="I19" s="1753"/>
      <c r="J19" s="1745"/>
      <c r="K19" s="1763"/>
    </row>
    <row r="20" spans="1:15" x14ac:dyDescent="0.2">
      <c r="A20" s="2336" t="s">
        <v>1791</v>
      </c>
      <c r="B20" s="2337"/>
      <c r="C20" s="2337"/>
      <c r="D20" s="2337"/>
      <c r="E20" s="2338"/>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0</v>
      </c>
      <c r="K21" s="1761"/>
    </row>
    <row r="22" spans="1:15" ht="13.5" thickTop="1" x14ac:dyDescent="0.2">
      <c r="A22" s="2326" t="s">
        <v>1792</v>
      </c>
      <c r="B22" s="2326"/>
      <c r="C22" s="2326"/>
      <c r="D22" s="2326"/>
      <c r="E22" s="2327"/>
      <c r="F22" s="635" t="s">
        <v>857</v>
      </c>
      <c r="G22" s="1753"/>
      <c r="H22" s="1744"/>
      <c r="I22" s="1744"/>
      <c r="J22" s="1766"/>
      <c r="K22" s="1745"/>
    </row>
    <row r="23" spans="1:15" ht="13.5" thickBot="1" x14ac:dyDescent="0.25">
      <c r="A23" s="2356" t="s">
        <v>900</v>
      </c>
      <c r="B23" s="2355"/>
      <c r="C23" s="2355"/>
      <c r="D23" s="2355"/>
      <c r="E23" s="2355"/>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1159</v>
      </c>
      <c r="B33" s="341"/>
      <c r="C33" s="341"/>
      <c r="D33" s="341"/>
      <c r="E33" s="341"/>
      <c r="F33" s="341"/>
      <c r="G33" s="653"/>
      <c r="H33" s="2331"/>
      <c r="I33" s="2330"/>
      <c r="J33" s="2330"/>
      <c r="K33" s="233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1875</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67860</v>
      </c>
      <c r="D12" s="1771"/>
      <c r="E12" s="1771"/>
      <c r="F12" s="1765">
        <f>(C12+D12)-E12</f>
        <v>67860</v>
      </c>
      <c r="G12" s="681">
        <v>10</v>
      </c>
      <c r="H12" s="619">
        <v>60971</v>
      </c>
      <c r="I12" s="619">
        <v>1647</v>
      </c>
      <c r="J12" s="619"/>
      <c r="K12" s="1442">
        <f>(H12+I12)-J12</f>
        <v>62618</v>
      </c>
      <c r="L12" s="1442">
        <f>F12-K12</f>
        <v>5242</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67860</v>
      </c>
      <c r="D16" s="1765">
        <f>SUM(D3,D5:D6,D8:D10,D12:D15)</f>
        <v>0</v>
      </c>
      <c r="E16" s="1765">
        <f>SUM(E3,E5:E6,E8:E10,E12:E15)</f>
        <v>0</v>
      </c>
      <c r="F16" s="1765">
        <f>SUM(F3,F5:F6,F8:F10,F12:F15)</f>
        <v>67860</v>
      </c>
      <c r="G16" s="681"/>
      <c r="H16" s="1435">
        <f>SUM(H3,H6,H8:H10,H12:H14,)</f>
        <v>60971</v>
      </c>
      <c r="I16" s="1435">
        <f>SUM(I3,I6,I8:I10,I12:I14,)</f>
        <v>1647</v>
      </c>
      <c r="J16" s="1435">
        <f>SUM(J3,J6,J8:J10,J12:J14,)</f>
        <v>0</v>
      </c>
      <c r="K16" s="1435">
        <f>(H16+I16)-J16</f>
        <v>62618</v>
      </c>
      <c r="L16" s="1435">
        <f>F16-K16</f>
        <v>5242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1647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961447</v>
      </c>
      <c r="G8" s="701"/>
    </row>
    <row r="9" spans="1:9" x14ac:dyDescent="0.2">
      <c r="A9" s="705" t="s">
        <v>457</v>
      </c>
      <c r="B9" s="706" t="s">
        <v>1848</v>
      </c>
      <c r="C9" s="707"/>
      <c r="D9" s="705" t="s">
        <v>498</v>
      </c>
      <c r="E9" s="704"/>
      <c r="F9" s="1775">
        <f>'Expenditures 15-22'!K151</f>
        <v>3164</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964611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20754</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20754</v>
      </c>
      <c r="G77" s="701"/>
    </row>
    <row r="78" spans="1:9" s="728" customFormat="1" ht="12" customHeight="1" thickTop="1" thickBot="1" x14ac:dyDescent="0.25">
      <c r="A78" s="1450"/>
      <c r="B78" s="1448"/>
      <c r="C78" s="1445"/>
      <c r="D78" s="1449" t="s">
        <v>2012</v>
      </c>
      <c r="E78" s="1447"/>
      <c r="F78" s="1788">
        <f>(F14-F77)</f>
        <v>943857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606025</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16095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54445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676565</v>
      </c>
    </row>
    <row r="176" spans="1:7" ht="12" customHeight="1" x14ac:dyDescent="0.2">
      <c r="A176" s="1443"/>
      <c r="B176" s="1453"/>
      <c r="C176" s="1454"/>
      <c r="D176" s="1455" t="s">
        <v>2014</v>
      </c>
      <c r="E176" s="1456"/>
      <c r="F176" s="1793">
        <f>'PCTC-OEPP 27-28'!F78-F175</f>
        <v>267292</v>
      </c>
    </row>
    <row r="177" spans="1:9" ht="12" customHeight="1" x14ac:dyDescent="0.2">
      <c r="A177" s="1443"/>
      <c r="B177" s="1453"/>
      <c r="C177" s="1454"/>
      <c r="D177" s="1455" t="s">
        <v>1794</v>
      </c>
      <c r="E177" s="1456"/>
      <c r="F177" s="1793">
        <f>'Cap Outlay Deprec 26'!I18</f>
        <v>1647</v>
      </c>
    </row>
    <row r="178" spans="1:9" ht="12" customHeight="1" x14ac:dyDescent="0.2">
      <c r="A178" s="1443"/>
      <c r="B178" s="1453"/>
      <c r="C178" s="1454"/>
      <c r="D178" s="1455" t="s">
        <v>2015</v>
      </c>
      <c r="E178" s="1456"/>
      <c r="F178" s="1793">
        <f>F176+F177</f>
        <v>268939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0" t="s">
        <v>1795</v>
      </c>
      <c r="B4" s="2381"/>
      <c r="C4" s="2381"/>
      <c r="D4" s="2381"/>
      <c r="E4" s="2381"/>
      <c r="F4" s="2382"/>
    </row>
    <row r="5" spans="1:6" x14ac:dyDescent="0.25">
      <c r="A5" s="2383"/>
      <c r="B5" s="2384"/>
      <c r="C5" s="2384"/>
      <c r="D5" s="2384"/>
      <c r="E5" s="2384"/>
      <c r="F5" s="2385"/>
    </row>
    <row r="6" spans="1:6" ht="18.75" x14ac:dyDescent="0.25">
      <c r="A6" s="1867" t="s">
        <v>1796</v>
      </c>
      <c r="B6" s="1868"/>
      <c r="C6" s="1869"/>
      <c r="D6" s="1869"/>
      <c r="E6" s="1869"/>
      <c r="F6" s="1870"/>
    </row>
    <row r="7" spans="1:6" ht="47.25" customHeight="1" x14ac:dyDescent="0.25">
      <c r="A7" s="2386" t="s">
        <v>1985</v>
      </c>
      <c r="B7" s="2387"/>
      <c r="C7" s="2387"/>
      <c r="D7" s="2387"/>
      <c r="E7" s="2387"/>
      <c r="F7" s="2388"/>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9" t="s">
        <v>1981</v>
      </c>
      <c r="B10" s="2390"/>
      <c r="C10" s="2390"/>
      <c r="D10" s="2390"/>
      <c r="E10" s="2390"/>
      <c r="F10" s="2391"/>
    </row>
    <row r="11" spans="1:6" ht="33" customHeight="1" x14ac:dyDescent="0.25">
      <c r="A11" s="2386" t="s">
        <v>1986</v>
      </c>
      <c r="B11" s="2387"/>
      <c r="C11" s="2387"/>
      <c r="D11" s="2387"/>
      <c r="E11" s="2387"/>
      <c r="F11" s="2388"/>
    </row>
    <row r="12" spans="1:6" ht="15" customHeight="1" x14ac:dyDescent="0.25">
      <c r="A12" s="1873" t="s">
        <v>1982</v>
      </c>
      <c r="B12" s="1874"/>
      <c r="C12" s="1875"/>
      <c r="D12" s="1875"/>
      <c r="E12" s="1875"/>
      <c r="F12" s="1876"/>
    </row>
    <row r="13" spans="1:6" ht="17.25" customHeight="1" x14ac:dyDescent="0.25">
      <c r="A13" s="2386" t="s">
        <v>1983</v>
      </c>
      <c r="B13" s="2387"/>
      <c r="C13" s="2387"/>
      <c r="D13" s="2387"/>
      <c r="E13" s="2387"/>
      <c r="F13" s="2388"/>
    </row>
    <row r="14" spans="1:6" ht="15" customHeight="1" x14ac:dyDescent="0.25">
      <c r="A14" s="1873" t="s">
        <v>1800</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2065</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432</v>
      </c>
      <c r="F19" s="1802"/>
      <c r="G19" s="1804">
        <f>'Expenditures 15-22'!K33-SUM('Expenditures 15-22'!G33,'Expenditures 15-22'!I33)+'Expenditures 15-22'!D229</f>
        <v>432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706814</v>
      </c>
      <c r="F21" s="1805"/>
      <c r="G21" s="1808">
        <f>'Expenditures 15-22'!K42-SUM('Expenditures 15-22'!G42,'Expenditures 15-22'!I42)+'Expenditures 15-22'!K120-SUM('Expenditures 15-22'!G120,'Expenditures 15-22'!I120)+'Expenditures 15-22'!K180-SUM('Expenditures 15-22'!G180,'Expenditures 15-22'!I180)+'Expenditures 15-22'!D238</f>
        <v>706814</v>
      </c>
      <c r="H21" s="817"/>
      <c r="I21" s="157"/>
    </row>
    <row r="22" spans="1:9" s="542" customFormat="1" ht="12" customHeight="1" x14ac:dyDescent="0.2">
      <c r="A22" s="824" t="s">
        <v>560</v>
      </c>
      <c r="B22" s="825"/>
      <c r="C22" s="823">
        <v>2200</v>
      </c>
      <c r="D22" s="1805"/>
      <c r="E22" s="1807">
        <f>'Expenditures 15-22'!K47-SUM('Expenditures 15-22'!G47,'Expenditures 15-22'!I47)+'Expenditures 15-22'!D243</f>
        <v>6001</v>
      </c>
      <c r="F22" s="1805"/>
      <c r="G22" s="1808">
        <f>'Expenditures 15-22'!K47-SUM('Expenditures 15-22'!G47,'Expenditures 15-22'!I47)+'Expenditures 15-22'!D243</f>
        <v>6001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227446</v>
      </c>
      <c r="F23" s="1805"/>
      <c r="G23" s="1807">
        <f>'Expenditures 15-22'!K53-SUM('Expenditures 15-22'!G53,'Expenditures 15-22'!I53)+'Expenditures 15-22'!D257+'Expenditures 15-22'!K330-SUM('Expenditures 15-22'!G330,'Expenditures 15-22'!I330)</f>
        <v>227446</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3164</v>
      </c>
      <c r="F28" s="1809">
        <f>'Expenditures 15-22'!K61-SUM('Expenditures 15-22'!G61,'Expenditures 15-22'!I61)+'Expenditures 15-22'!K124-SUM('Expenditures 15-22'!G124,'Expenditures 15-22'!I124)+'Expenditures 15-22'!D266-E9</f>
        <v>3164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943857</v>
      </c>
      <c r="F41" s="1809">
        <f>SUM(F19:F39)</f>
        <v>3164</v>
      </c>
      <c r="G41" s="1809">
        <f>SUM(G19:G40)</f>
        <v>940693</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0</v>
      </c>
      <c r="F43" s="1458" t="s">
        <v>470</v>
      </c>
      <c r="G43" s="1810">
        <f>F41</f>
        <v>3164</v>
      </c>
    </row>
    <row r="44" spans="1:7" ht="12" customHeight="1" x14ac:dyDescent="0.2">
      <c r="A44" s="817"/>
      <c r="B44" s="157"/>
      <c r="C44" s="831"/>
      <c r="D44" s="1458" t="s">
        <v>471</v>
      </c>
      <c r="E44" s="1810">
        <f>E41</f>
        <v>943857</v>
      </c>
      <c r="F44" s="1458" t="s">
        <v>471</v>
      </c>
      <c r="G44" s="1810">
        <f>G41</f>
        <v>940693</v>
      </c>
    </row>
    <row r="45" spans="1:7" ht="12" customHeight="1" x14ac:dyDescent="0.2">
      <c r="A45" s="817"/>
      <c r="B45" s="157"/>
      <c r="C45" s="157"/>
      <c r="D45" s="1459" t="s">
        <v>999</v>
      </c>
      <c r="E45" s="1811">
        <f>(E43/E44)</f>
        <v>0</v>
      </c>
      <c r="F45" s="1459" t="s">
        <v>999</v>
      </c>
      <c r="G45" s="1811">
        <f>(G43/G44)</f>
        <v>3.363477776490311E-3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1363</v>
      </c>
      <c r="B1" s="2414"/>
      <c r="C1" s="2414"/>
      <c r="D1" s="2414"/>
      <c r="E1" s="2414"/>
      <c r="F1" s="241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1529</v>
      </c>
      <c r="B5" s="2416"/>
      <c r="C5" s="2417"/>
      <c r="D5" s="2417"/>
      <c r="E5" s="2417"/>
      <c r="F5" s="2417"/>
      <c r="G5" s="1507"/>
      <c r="L5" s="1507"/>
      <c r="M5" s="1855"/>
      <c r="N5" s="1855"/>
      <c r="O5" s="1855"/>
    </row>
    <row r="6" spans="1:15" ht="12" customHeight="1" x14ac:dyDescent="0.25">
      <c r="A6" s="1480"/>
      <c r="B6" s="1481"/>
      <c r="C6" s="2418" t="str">
        <f>COVER!A17</f>
        <v xml:space="preserve">  Ford Special Education Coop</v>
      </c>
      <c r="D6" s="2418"/>
      <c r="E6" s="2418"/>
      <c r="F6" s="1482"/>
      <c r="G6" s="1507"/>
      <c r="L6" s="1507"/>
      <c r="M6" s="1855"/>
      <c r="N6" s="1855"/>
      <c r="O6" s="1855"/>
    </row>
    <row r="7" spans="1:15" ht="11.25" customHeight="1" thickBot="1" x14ac:dyDescent="0.3">
      <c r="A7" s="1480"/>
      <c r="B7" s="1481"/>
      <c r="C7" s="2419">
        <f>COVER!A13</f>
        <v>9027005061</v>
      </c>
      <c r="D7" s="2419"/>
      <c r="E7" s="2419"/>
      <c r="F7" s="1482"/>
      <c r="G7" s="1507"/>
      <c r="L7" s="1507"/>
      <c r="M7" s="1855"/>
      <c r="N7" s="1855"/>
      <c r="O7" s="1855"/>
    </row>
    <row r="8" spans="1:15" ht="25.5" customHeight="1" thickBot="1" x14ac:dyDescent="0.25">
      <c r="A8" s="1519" t="s">
        <v>1874</v>
      </c>
      <c r="B8" s="1483" t="s">
        <v>2066</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2"/>
      <c r="B39" s="1502"/>
      <c r="C39" s="1502"/>
      <c r="D39" s="1502"/>
      <c r="E39" s="1502"/>
      <c r="F39" s="1502"/>
    </row>
    <row r="40" spans="1:15" s="1499" customFormat="1" ht="12" customHeight="1" x14ac:dyDescent="0.25">
      <c r="A40" s="1503" t="s">
        <v>1375</v>
      </c>
      <c r="B40" s="1504"/>
      <c r="C40" s="2409"/>
      <c r="D40" s="2409"/>
      <c r="E40" s="2409"/>
      <c r="F40" s="2410"/>
      <c r="H40" s="1508"/>
      <c r="I40" s="1508"/>
      <c r="J40" s="1508"/>
      <c r="K40" s="1508"/>
    </row>
    <row r="41" spans="1:15" s="1499" customFormat="1" ht="12" customHeight="1" x14ac:dyDescent="0.25">
      <c r="A41" s="2411"/>
      <c r="B41" s="2412"/>
      <c r="C41" s="2412"/>
      <c r="D41" s="2412"/>
      <c r="E41" s="2412"/>
      <c r="F41" s="2413"/>
      <c r="H41" s="1508"/>
      <c r="I41" s="1508"/>
      <c r="J41" s="1508"/>
      <c r="K41" s="1508"/>
    </row>
    <row r="42" spans="1:15" s="1499" customFormat="1" ht="12" customHeight="1" x14ac:dyDescent="0.25">
      <c r="A42" s="2411"/>
      <c r="B42" s="2412"/>
      <c r="C42" s="2412"/>
      <c r="D42" s="2412"/>
      <c r="E42" s="2412"/>
      <c r="F42" s="2413"/>
      <c r="H42" s="1508"/>
      <c r="I42" s="1508"/>
      <c r="J42" s="1508"/>
      <c r="K42" s="1508"/>
    </row>
    <row r="43" spans="1:15" s="1499" customFormat="1" ht="15" x14ac:dyDescent="0.25">
      <c r="A43" s="2400"/>
      <c r="B43" s="2401"/>
      <c r="C43" s="2401"/>
      <c r="D43" s="2401"/>
      <c r="E43" s="2401"/>
      <c r="F43" s="2402"/>
      <c r="H43" s="1508"/>
      <c r="I43" s="1508"/>
      <c r="J43" s="1508"/>
      <c r="K43" s="1508"/>
    </row>
    <row r="44" spans="1:15" s="1499" customFormat="1" ht="12" hidden="1" customHeight="1" x14ac:dyDescent="0.25">
      <c r="A44" s="2400"/>
      <c r="B44" s="2401"/>
      <c r="C44" s="2401"/>
      <c r="D44" s="2401"/>
      <c r="E44" s="2401"/>
      <c r="F44" s="24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0" t="str">
        <f>COVER!A17</f>
        <v xml:space="preserve">  Ford Special Education Coop</v>
      </c>
      <c r="K6" s="2440"/>
      <c r="L6" s="2454"/>
      <c r="M6" s="838"/>
      <c r="N6" s="1999"/>
    </row>
    <row r="7" spans="1:14" x14ac:dyDescent="0.2">
      <c r="A7" s="2455" t="s">
        <v>864</v>
      </c>
      <c r="B7" s="2456"/>
      <c r="C7" s="2456"/>
      <c r="D7" s="2456"/>
      <c r="E7" s="2457"/>
      <c r="F7" s="839"/>
      <c r="G7" s="838"/>
      <c r="H7" s="838"/>
      <c r="I7" s="1925" t="s">
        <v>369</v>
      </c>
      <c r="J7" s="2442">
        <f>COVER!A13</f>
        <v>9027005061</v>
      </c>
      <c r="K7" s="2442"/>
      <c r="L7" s="244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8" t="s">
        <v>478</v>
      </c>
      <c r="B11" s="2459"/>
      <c r="C11" s="246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167315</v>
      </c>
      <c r="F12" s="1943"/>
      <c r="G12" s="1969">
        <f>G68</f>
        <v>0</v>
      </c>
      <c r="H12" s="1945">
        <f t="shared" ref="H12:H18" si="0">SUM(E12:G12)</f>
        <v>167315</v>
      </c>
      <c r="I12" s="1944"/>
      <c r="J12" s="1943"/>
      <c r="K12" s="1944"/>
      <c r="L12" s="1945">
        <f t="shared" ref="L12:L18" si="1">SUM(I12:K12)</f>
        <v>0</v>
      </c>
      <c r="M12" s="838"/>
      <c r="N12" s="1999"/>
    </row>
    <row r="13" spans="1:14" x14ac:dyDescent="0.2">
      <c r="A13" s="2004">
        <v>2</v>
      </c>
      <c r="B13" s="1941" t="s">
        <v>42</v>
      </c>
      <c r="C13" s="842"/>
      <c r="D13" s="1942">
        <v>2330</v>
      </c>
      <c r="E13" s="1945">
        <f>'Expenditures 15-22'!K51</f>
        <v>42888</v>
      </c>
      <c r="F13" s="1943"/>
      <c r="G13" s="1969">
        <f>H68</f>
        <v>0</v>
      </c>
      <c r="H13" s="1945">
        <f t="shared" si="0"/>
        <v>42888</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1" t="s">
        <v>7</v>
      </c>
      <c r="C18" s="2462"/>
      <c r="D18" s="246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210203</v>
      </c>
      <c r="F19" s="1951">
        <f t="shared" si="2"/>
        <v>0</v>
      </c>
      <c r="G19" s="1951">
        <f t="shared" ref="G19" si="3">SUM(G12:G17)-G18</f>
        <v>0</v>
      </c>
      <c r="H19" s="1951">
        <f t="shared" si="2"/>
        <v>210203</v>
      </c>
      <c r="I19" s="1951">
        <f t="shared" si="2"/>
        <v>0</v>
      </c>
      <c r="J19" s="1951">
        <f t="shared" si="2"/>
        <v>0</v>
      </c>
      <c r="K19" s="1951">
        <f t="shared" si="2"/>
        <v>0</v>
      </c>
      <c r="L19" s="1951">
        <f t="shared" si="2"/>
        <v>0</v>
      </c>
      <c r="M19" s="838"/>
      <c r="N19" s="1999"/>
    </row>
    <row r="20" spans="1:14" ht="13.5" thickTop="1" x14ac:dyDescent="0.2">
      <c r="A20" s="2004">
        <v>9</v>
      </c>
      <c r="B20" s="2464" t="s">
        <v>2021</v>
      </c>
      <c r="C20" s="2464"/>
      <c r="D20" s="2465"/>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6"/>
      <c r="D27" s="2466"/>
      <c r="E27" s="843"/>
      <c r="F27" s="2467"/>
      <c r="G27" s="2467"/>
      <c r="H27" s="2467"/>
      <c r="I27" s="838"/>
      <c r="J27" s="838"/>
      <c r="K27" s="838"/>
      <c r="L27" s="838"/>
      <c r="M27" s="838"/>
      <c r="N27" s="1999"/>
    </row>
    <row r="28" spans="1:14" x14ac:dyDescent="0.2">
      <c r="A28" s="1998"/>
      <c r="B28" s="2008"/>
      <c r="C28" s="1958" t="s">
        <v>1026</v>
      </c>
      <c r="D28" s="844"/>
      <c r="E28" s="1959"/>
      <c r="F28" s="2468" t="s">
        <v>1492</v>
      </c>
      <c r="G28" s="2468"/>
      <c r="H28" s="2468"/>
      <c r="I28" s="838"/>
      <c r="J28" s="838"/>
      <c r="K28" s="838"/>
      <c r="L28" s="838"/>
      <c r="M28" s="838"/>
      <c r="N28" s="1999"/>
    </row>
    <row r="29" spans="1:14" x14ac:dyDescent="0.2">
      <c r="A29" s="1998"/>
      <c r="B29" s="2008"/>
      <c r="C29" s="2469"/>
      <c r="D29" s="2469"/>
      <c r="E29" s="845"/>
      <c r="F29" s="2469"/>
      <c r="G29" s="2469"/>
      <c r="H29" s="2469"/>
      <c r="I29" s="838"/>
      <c r="J29" s="838"/>
      <c r="K29" s="838"/>
      <c r="L29" s="838"/>
      <c r="M29" s="838"/>
      <c r="N29" s="1999"/>
    </row>
    <row r="30" spans="1:14" x14ac:dyDescent="0.2">
      <c r="A30" s="1998"/>
      <c r="B30" s="2008"/>
      <c r="C30" s="1961" t="s">
        <v>1544</v>
      </c>
      <c r="D30" s="838"/>
      <c r="E30" s="1960"/>
      <c r="F30" s="2453" t="s">
        <v>1493</v>
      </c>
      <c r="G30" s="2453"/>
      <c r="H30" s="245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0" t="s">
        <v>2024</v>
      </c>
      <c r="D34" s="2431"/>
      <c r="E34" s="2431"/>
      <c r="F34" s="2431"/>
      <c r="G34" s="2431"/>
      <c r="H34" s="2431"/>
      <c r="I34" s="2431"/>
      <c r="J34" s="2431"/>
      <c r="K34" s="2017"/>
      <c r="L34" s="838"/>
      <c r="M34" s="838"/>
      <c r="N34" s="1999"/>
    </row>
    <row r="35" spans="1:14" x14ac:dyDescent="0.2">
      <c r="A35" s="1998"/>
      <c r="B35" s="838"/>
      <c r="C35" s="2431"/>
      <c r="D35" s="2431"/>
      <c r="E35" s="2431"/>
      <c r="F35" s="2431"/>
      <c r="G35" s="2431"/>
      <c r="H35" s="2431"/>
      <c r="I35" s="2431"/>
      <c r="J35" s="243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0" t="s">
        <v>2025</v>
      </c>
      <c r="D37" s="2431"/>
      <c r="E37" s="2431"/>
      <c r="F37" s="2431"/>
      <c r="G37" s="2431"/>
      <c r="H37" s="2431"/>
      <c r="I37" s="2431"/>
      <c r="J37" s="2431"/>
      <c r="K37" s="2017"/>
      <c r="L37" s="2019"/>
      <c r="M37" s="838"/>
      <c r="N37" s="1999"/>
    </row>
    <row r="38" spans="1:14" x14ac:dyDescent="0.2">
      <c r="A38" s="1998"/>
      <c r="B38" s="838"/>
      <c r="C38" s="2431"/>
      <c r="D38" s="2431"/>
      <c r="E38" s="2431"/>
      <c r="F38" s="2431"/>
      <c r="G38" s="2431"/>
      <c r="H38" s="2431"/>
      <c r="I38" s="2431"/>
      <c r="J38" s="243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2" t="s">
        <v>2026</v>
      </c>
      <c r="D40" s="2433"/>
      <c r="E40" s="2433"/>
      <c r="F40" s="2433"/>
      <c r="G40" s="2433"/>
      <c r="H40" s="2433"/>
      <c r="I40" s="2433"/>
      <c r="J40" s="243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4" t="s">
        <v>2027</v>
      </c>
      <c r="B43" s="2435"/>
      <c r="C43" s="2435"/>
      <c r="D43" s="2435"/>
      <c r="E43" s="2435"/>
      <c r="F43" s="2435"/>
      <c r="G43" s="2435"/>
      <c r="H43" s="2435"/>
      <c r="I43" s="2435"/>
      <c r="J43" s="2435"/>
      <c r="K43" s="2435"/>
      <c r="L43" s="2435"/>
      <c r="M43" s="2435"/>
      <c r="N43" s="243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7" t="s">
        <v>2029</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0" t="str">
        <f>J6</f>
        <v xml:space="preserve">  Ford Special Education Coop</v>
      </c>
      <c r="M52" s="2440"/>
      <c r="N52" s="2441"/>
    </row>
    <row r="53" spans="1:14" x14ac:dyDescent="0.2">
      <c r="A53" s="1983"/>
      <c r="B53" s="1984"/>
      <c r="C53" s="1984"/>
      <c r="D53" s="1984"/>
      <c r="E53" s="1984"/>
      <c r="F53" s="1984"/>
      <c r="G53" s="1984"/>
      <c r="H53" s="1984"/>
      <c r="I53" s="1984"/>
      <c r="J53" s="1984"/>
      <c r="K53" s="1925" t="s">
        <v>369</v>
      </c>
      <c r="L53" s="2442">
        <f>J7</f>
        <v>9027005061</v>
      </c>
      <c r="M53" s="2442"/>
      <c r="N53" s="244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4"/>
      <c r="B55" s="2445"/>
      <c r="C55" s="2445"/>
      <c r="D55" s="1971"/>
      <c r="E55" s="1971"/>
      <c r="F55" s="1971"/>
      <c r="G55" s="2446" t="s">
        <v>2030</v>
      </c>
      <c r="H55" s="2446"/>
      <c r="I55" s="2446"/>
      <c r="J55" s="2446"/>
      <c r="K55" s="2446"/>
      <c r="L55" s="2446"/>
      <c r="M55" s="2446"/>
      <c r="N55" s="2447"/>
    </row>
    <row r="56" spans="1:14" ht="63.75" x14ac:dyDescent="0.2">
      <c r="A56" s="2448" t="s">
        <v>2031</v>
      </c>
      <c r="B56" s="2449"/>
      <c r="C56" s="245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1" t="s">
        <v>296</v>
      </c>
      <c r="B57" s="2452"/>
      <c r="C57" s="245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8" t="s">
        <v>2041</v>
      </c>
      <c r="B58" s="2429"/>
      <c r="C58" s="2429"/>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2" t="s">
        <v>297</v>
      </c>
      <c r="B59" s="2423"/>
      <c r="C59" s="242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2" t="s">
        <v>236</v>
      </c>
      <c r="B60" s="2423"/>
      <c r="C60" s="2423"/>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2" t="s">
        <v>697</v>
      </c>
      <c r="B61" s="2423"/>
      <c r="C61" s="2423"/>
      <c r="D61" s="1968">
        <v>2365</v>
      </c>
      <c r="E61" s="1978">
        <f>'Expenditures 15-22'!K323</f>
        <v>0</v>
      </c>
      <c r="F61" s="1973"/>
      <c r="G61" s="2032"/>
      <c r="H61" s="2033"/>
      <c r="I61" s="2033"/>
      <c r="J61" s="2033"/>
      <c r="K61" s="2033"/>
      <c r="L61" s="2033"/>
      <c r="M61" s="2033"/>
      <c r="N61" s="1976">
        <f t="shared" si="4"/>
        <v>0</v>
      </c>
    </row>
    <row r="62" spans="1:14" ht="24" customHeight="1" x14ac:dyDescent="0.2">
      <c r="A62" s="2422" t="s">
        <v>237</v>
      </c>
      <c r="B62" s="2423"/>
      <c r="C62" s="2423"/>
      <c r="D62" s="1968">
        <v>2366</v>
      </c>
      <c r="E62" s="1978">
        <f>'Expenditures 15-22'!K324</f>
        <v>0</v>
      </c>
      <c r="F62" s="1973"/>
      <c r="G62" s="2032"/>
      <c r="H62" s="2033"/>
      <c r="I62" s="2033"/>
      <c r="J62" s="2033"/>
      <c r="K62" s="2033"/>
      <c r="L62" s="2033"/>
      <c r="M62" s="2033"/>
      <c r="N62" s="1976">
        <f t="shared" si="4"/>
        <v>0</v>
      </c>
    </row>
    <row r="63" spans="1:14" ht="24" customHeight="1" x14ac:dyDescent="0.2">
      <c r="A63" s="2428" t="s">
        <v>1022</v>
      </c>
      <c r="B63" s="2429"/>
      <c r="C63" s="2429"/>
      <c r="D63" s="1968">
        <v>2367</v>
      </c>
      <c r="E63" s="1978">
        <f>'Expenditures 15-22'!K325</f>
        <v>0</v>
      </c>
      <c r="F63" s="1973"/>
      <c r="G63" s="2032"/>
      <c r="H63" s="2033"/>
      <c r="I63" s="2033"/>
      <c r="J63" s="2033"/>
      <c r="K63" s="2033"/>
      <c r="L63" s="2033"/>
      <c r="M63" s="2033"/>
      <c r="N63" s="1976">
        <f t="shared" si="4"/>
        <v>0</v>
      </c>
    </row>
    <row r="64" spans="1:14" ht="24" customHeight="1" x14ac:dyDescent="0.2">
      <c r="A64" s="2422" t="s">
        <v>1023</v>
      </c>
      <c r="B64" s="2423"/>
      <c r="C64" s="2423"/>
      <c r="D64" s="1968">
        <v>2368</v>
      </c>
      <c r="E64" s="1978">
        <f>'Expenditures 15-22'!K326</f>
        <v>0</v>
      </c>
      <c r="F64" s="1973"/>
      <c r="G64" s="2032"/>
      <c r="H64" s="2033"/>
      <c r="I64" s="2033"/>
      <c r="J64" s="2033"/>
      <c r="K64" s="2033"/>
      <c r="L64" s="2033"/>
      <c r="M64" s="2033"/>
      <c r="N64" s="1976">
        <f t="shared" si="4"/>
        <v>0</v>
      </c>
    </row>
    <row r="65" spans="1:14" ht="24" customHeight="1" x14ac:dyDescent="0.2">
      <c r="A65" s="2422" t="s">
        <v>965</v>
      </c>
      <c r="B65" s="2423"/>
      <c r="C65" s="2423"/>
      <c r="D65" s="1968">
        <v>2369</v>
      </c>
      <c r="E65" s="1978">
        <f>'Expenditures 15-22'!K327</f>
        <v>0</v>
      </c>
      <c r="F65" s="1973"/>
      <c r="G65" s="2032"/>
      <c r="H65" s="2033"/>
      <c r="I65" s="2033"/>
      <c r="J65" s="2033"/>
      <c r="K65" s="2033"/>
      <c r="L65" s="2033"/>
      <c r="M65" s="2033"/>
      <c r="N65" s="1976">
        <f t="shared" si="4"/>
        <v>0</v>
      </c>
    </row>
    <row r="66" spans="1:14" ht="24" customHeight="1" x14ac:dyDescent="0.2">
      <c r="A66" s="2422" t="s">
        <v>469</v>
      </c>
      <c r="B66" s="2423"/>
      <c r="C66" s="2423"/>
      <c r="D66" s="1968">
        <v>2371</v>
      </c>
      <c r="E66" s="1978">
        <f>'Expenditures 15-22'!K328</f>
        <v>0</v>
      </c>
      <c r="F66" s="1973"/>
      <c r="G66" s="2032"/>
      <c r="H66" s="2033"/>
      <c r="I66" s="2033"/>
      <c r="J66" s="2033"/>
      <c r="K66" s="2033"/>
      <c r="L66" s="2033"/>
      <c r="M66" s="2033"/>
      <c r="N66" s="1976">
        <f t="shared" si="4"/>
        <v>0</v>
      </c>
    </row>
    <row r="67" spans="1:14" ht="24.75" customHeight="1" x14ac:dyDescent="0.2">
      <c r="A67" s="2424" t="s">
        <v>2042</v>
      </c>
      <c r="B67" s="2425"/>
      <c r="C67" s="2425"/>
      <c r="D67" s="1970">
        <v>2372</v>
      </c>
      <c r="E67" s="1979">
        <f>'Expenditures 15-22'!K329</f>
        <v>0</v>
      </c>
      <c r="F67" s="1973"/>
      <c r="G67" s="2034"/>
      <c r="H67" s="2035"/>
      <c r="I67" s="2035"/>
      <c r="J67" s="2035"/>
      <c r="K67" s="2035"/>
      <c r="L67" s="2035"/>
      <c r="M67" s="2035"/>
      <c r="N67" s="1976">
        <f t="shared" si="4"/>
        <v>0</v>
      </c>
    </row>
    <row r="68" spans="1:14" x14ac:dyDescent="0.2">
      <c r="A68" s="2426" t="s">
        <v>1151</v>
      </c>
      <c r="B68" s="2427"/>
      <c r="C68" s="2427"/>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2067</v>
      </c>
    </row>
    <row r="6" spans="1:2" x14ac:dyDescent="0.2">
      <c r="A6" s="847"/>
      <c r="B6" s="2038" t="s">
        <v>2068</v>
      </c>
    </row>
    <row r="7" spans="1:2" x14ac:dyDescent="0.2">
      <c r="A7" s="847"/>
      <c r="B7" s="307" t="s">
        <v>2069</v>
      </c>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Ford Special Education Coop</v>
      </c>
    </row>
    <row r="65" spans="2:2" x14ac:dyDescent="0.2">
      <c r="B65" s="849">
        <f>COVER!A13</f>
        <v>9027005061</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757681</v>
      </c>
      <c r="C8" s="1813">
        <f>'Acct Summary 7-8'!D8</f>
        <v>4000</v>
      </c>
      <c r="D8" s="1813">
        <f>'Acct Summary 7-8'!F8</f>
        <v>0</v>
      </c>
      <c r="E8" s="1813">
        <f>'Acct Summary 7-8'!I8</f>
        <v>0</v>
      </c>
      <c r="F8" s="1813">
        <f>SUM(B8:E8)</f>
        <v>761681</v>
      </c>
    </row>
    <row r="9" spans="1:8" s="858" customFormat="1" ht="14.25" customHeight="1" thickBot="1" x14ac:dyDescent="0.25">
      <c r="A9" s="857" t="s">
        <v>1353</v>
      </c>
      <c r="B9" s="1814">
        <f>'Acct Summary 7-8'!C17</f>
        <v>961447</v>
      </c>
      <c r="C9" s="1814">
        <f>'Acct Summary 7-8'!D17</f>
        <v>3164</v>
      </c>
      <c r="D9" s="1814">
        <f>'Acct Summary 7-8'!F17</f>
        <v>0</v>
      </c>
      <c r="E9" s="1813"/>
      <c r="F9" s="1813">
        <f>SUM(B9:E9)</f>
        <v>964611</v>
      </c>
    </row>
    <row r="10" spans="1:8" s="858" customFormat="1" ht="14.25" thickTop="1" thickBot="1" x14ac:dyDescent="0.25">
      <c r="A10" s="859" t="s">
        <v>1354</v>
      </c>
      <c r="B10" s="1815">
        <f>(B8-B9)</f>
        <v>-203766</v>
      </c>
      <c r="C10" s="1815">
        <f>(C8-C9)</f>
        <v>836</v>
      </c>
      <c r="D10" s="1815">
        <f>(D8-D9)</f>
        <v>0</v>
      </c>
      <c r="E10" s="1814">
        <f>(E8-E9)</f>
        <v>0</v>
      </c>
      <c r="F10" s="1816">
        <f>SUM(F8-F9)</f>
        <v>-202930</v>
      </c>
    </row>
    <row r="11" spans="1:8" s="858" customFormat="1" ht="14.25" thickTop="1" thickBot="1" x14ac:dyDescent="0.25">
      <c r="A11" s="860" t="s">
        <v>1903</v>
      </c>
      <c r="B11" s="1817">
        <f>'Acct Summary 7-8'!C81</f>
        <v>432697</v>
      </c>
      <c r="C11" s="1817">
        <f>'Acct Summary 7-8'!D81</f>
        <v>14926</v>
      </c>
      <c r="D11" s="1817">
        <f>'Acct Summary 7-8'!F81</f>
        <v>0</v>
      </c>
      <c r="E11" s="1817">
        <f>'Acct Summary 7-8'!I81</f>
        <v>0</v>
      </c>
      <c r="F11" s="1818">
        <f>SUM(B11:E11)</f>
        <v>447623</v>
      </c>
    </row>
    <row r="12" spans="1:8" ht="16.5" customHeight="1" thickTop="1" x14ac:dyDescent="0.2">
      <c r="A12" s="861"/>
      <c r="B12" s="862"/>
      <c r="C12" s="2475"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74"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9027005061</v>
      </c>
      <c r="E2" s="1542">
        <v>2020</v>
      </c>
      <c r="F2" s="1542">
        <v>1</v>
      </c>
      <c r="G2" s="1899">
        <v>101000300</v>
      </c>
    </row>
    <row r="3" spans="1:7" ht="15" x14ac:dyDescent="0.25">
      <c r="A3" t="s">
        <v>950</v>
      </c>
      <c r="B3" s="135" t="str">
        <f>COVER!A15</f>
        <v>FORD</v>
      </c>
      <c r="E3" s="1830" t="s">
        <v>1971</v>
      </c>
      <c r="F3" s="1830" t="s">
        <v>1970</v>
      </c>
      <c r="G3" s="1899">
        <v>101000400</v>
      </c>
    </row>
    <row r="4" spans="1:7" ht="15" x14ac:dyDescent="0.25">
      <c r="A4" t="s">
        <v>1000</v>
      </c>
      <c r="B4" s="135" t="str">
        <f>COVER!A17</f>
        <v xml:space="preserve">  Ford Special Education Coop</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432697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432697</v>
      </c>
      <c r="D92" s="2" t="str">
        <f t="shared" si="0"/>
        <v>Error?</v>
      </c>
      <c r="G92" s="1899">
        <v>102640600</v>
      </c>
    </row>
    <row r="93" spans="1:7" ht="15" x14ac:dyDescent="0.25">
      <c r="A93" s="5">
        <v>32</v>
      </c>
      <c r="B93" s="1832">
        <f>'Assets-Liab 5-6'!C41</f>
        <v>432697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14926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14926</v>
      </c>
      <c r="D123" s="2" t="str">
        <f t="shared" si="0"/>
        <v>Error?</v>
      </c>
      <c r="G123" s="1899">
        <v>203000400</v>
      </c>
    </row>
    <row r="124" spans="1:7" ht="15" x14ac:dyDescent="0.25">
      <c r="A124" s="5">
        <v>63</v>
      </c>
      <c r="B124" s="1832">
        <f>'Assets-Liab 5-6'!D41</f>
        <v>14926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67860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67860</v>
      </c>
      <c r="C279" s="2" t="s">
        <v>569</v>
      </c>
      <c r="D279" s="2" t="str">
        <f t="shared" si="3"/>
        <v>Error?</v>
      </c>
    </row>
    <row r="280" spans="1:4" x14ac:dyDescent="0.2">
      <c r="A280" s="5">
        <v>219</v>
      </c>
      <c r="B280" s="1832">
        <f>'Assets-Liab 5-6'!M40</f>
        <v>67860</v>
      </c>
      <c r="D280" s="2" t="str">
        <f t="shared" si="3"/>
        <v>Error?</v>
      </c>
    </row>
    <row r="281" spans="1:4" x14ac:dyDescent="0.2">
      <c r="A281" s="5">
        <v>220</v>
      </c>
      <c r="B281" s="1832">
        <f>'Assets-Liab 5-6'!M41</f>
        <v>67860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64436</v>
      </c>
      <c r="D723" s="2" t="str">
        <f t="shared" si="10"/>
        <v>Error?</v>
      </c>
    </row>
    <row r="724" spans="1:4" x14ac:dyDescent="0.2">
      <c r="A724" s="5">
        <v>663</v>
      </c>
      <c r="B724" s="1832">
        <f>'Expenditures 15-22'!C39</f>
        <v>183223</v>
      </c>
      <c r="D724" s="2" t="str">
        <f t="shared" si="10"/>
        <v>Error?</v>
      </c>
    </row>
    <row r="725" spans="1:4" x14ac:dyDescent="0.2">
      <c r="A725" s="5">
        <v>664</v>
      </c>
      <c r="B725" s="1832">
        <f>'Expenditures 15-22'!C40</f>
        <v>314096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561755</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108192</v>
      </c>
      <c r="D733" s="2" t="str">
        <f t="shared" si="10"/>
        <v>Error?</v>
      </c>
    </row>
    <row r="734" spans="1:4" x14ac:dyDescent="0.2">
      <c r="A734" s="5">
        <v>673</v>
      </c>
      <c r="B734" s="1832">
        <f>'Expenditures 15-22'!C53</f>
        <v>137753</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699508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699508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21606</v>
      </c>
      <c r="D781" s="2" t="str">
        <f t="shared" si="11"/>
        <v>Error?</v>
      </c>
    </row>
    <row r="782" spans="1:4" x14ac:dyDescent="0.2">
      <c r="A782" s="5">
        <v>721</v>
      </c>
      <c r="B782" s="1832">
        <f>'Expenditures 15-22'!D39</f>
        <v>21894</v>
      </c>
      <c r="D782" s="2" t="str">
        <f t="shared" si="11"/>
        <v>Error?</v>
      </c>
    </row>
    <row r="783" spans="1:4" x14ac:dyDescent="0.2">
      <c r="A783" s="5">
        <v>722</v>
      </c>
      <c r="B783" s="1832">
        <f>'Expenditures 15-22'!D40</f>
        <v>44960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88460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4610</v>
      </c>
      <c r="D791" s="2" t="str">
        <f t="shared" si="11"/>
        <v>Error?</v>
      </c>
    </row>
    <row r="792" spans="1:4" x14ac:dyDescent="0.2">
      <c r="A792" s="5">
        <v>731</v>
      </c>
      <c r="B792" s="1832">
        <f>'Expenditures 15-22'!D53</f>
        <v>17937</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106397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106397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432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50747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50747</v>
      </c>
      <c r="C843" s="2" t="s">
        <v>569</v>
      </c>
      <c r="D843" s="2" t="str">
        <f t="shared" si="12"/>
        <v>Error?</v>
      </c>
    </row>
    <row r="844" spans="1:4" x14ac:dyDescent="0.2">
      <c r="A844" s="5">
        <v>783</v>
      </c>
      <c r="B844" s="1832">
        <f>'Expenditures 15-22'!E44</f>
        <v>4541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4541</v>
      </c>
      <c r="C847" s="2" t="s">
        <v>569</v>
      </c>
      <c r="D847" s="2" t="str">
        <f t="shared" si="12"/>
        <v>Error?</v>
      </c>
    </row>
    <row r="848" spans="1:4" x14ac:dyDescent="0.2">
      <c r="A848" s="5">
        <v>787</v>
      </c>
      <c r="B848" s="1832">
        <f>'Expenditures 15-22'!E49</f>
        <v>17243</v>
      </c>
      <c r="D848" s="2" t="str">
        <f t="shared" si="12"/>
        <v>Error?</v>
      </c>
    </row>
    <row r="849" spans="1:4" x14ac:dyDescent="0.2">
      <c r="A849" s="5">
        <v>788</v>
      </c>
      <c r="B849" s="1832">
        <f>'Expenditures 15-22'!E50</f>
        <v>50098</v>
      </c>
      <c r="D849" s="2" t="str">
        <f t="shared" si="12"/>
        <v>Error?</v>
      </c>
    </row>
    <row r="850" spans="1:4" x14ac:dyDescent="0.2">
      <c r="A850" s="5">
        <v>789</v>
      </c>
      <c r="B850" s="1832">
        <f>'Expenditures 15-22'!E53</f>
        <v>67341</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122629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143815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0</v>
      </c>
      <c r="C894" s="2" t="s">
        <v>569</v>
      </c>
      <c r="D894" s="2" t="str">
        <f t="shared" si="12"/>
        <v>Error?</v>
      </c>
    </row>
    <row r="895" spans="1:4" x14ac:dyDescent="0.2">
      <c r="A895" s="5">
        <v>834</v>
      </c>
      <c r="B895" s="1832">
        <f>'Expenditures 15-22'!F36</f>
        <v>888</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269</v>
      </c>
      <c r="D897" s="2" t="str">
        <f t="shared" si="13"/>
        <v>Error?</v>
      </c>
    </row>
    <row r="898" spans="1:4" x14ac:dyDescent="0.2">
      <c r="A898" s="5">
        <v>837</v>
      </c>
      <c r="B898" s="1832">
        <f>'Expenditures 15-22'!F39</f>
        <v>1212</v>
      </c>
      <c r="D898" s="2" t="str">
        <f t="shared" si="13"/>
        <v>Error?</v>
      </c>
    </row>
    <row r="899" spans="1:4" x14ac:dyDescent="0.2">
      <c r="A899" s="5">
        <v>838</v>
      </c>
      <c r="B899" s="1832">
        <f>'Expenditures 15-22'!F40</f>
        <v>2212</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4581</v>
      </c>
      <c r="C901" s="2" t="s">
        <v>569</v>
      </c>
      <c r="D901" s="2" t="str">
        <f t="shared" si="13"/>
        <v>Error?</v>
      </c>
    </row>
    <row r="902" spans="1:4" x14ac:dyDescent="0.2">
      <c r="A902" s="5">
        <v>841</v>
      </c>
      <c r="B902" s="1832">
        <f>'Expenditures 15-22'!F44</f>
        <v>1460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1460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4415</v>
      </c>
      <c r="D907" s="2" t="str">
        <f t="shared" si="13"/>
        <v>Error?</v>
      </c>
    </row>
    <row r="908" spans="1:4" x14ac:dyDescent="0.2">
      <c r="A908" s="5">
        <v>847</v>
      </c>
      <c r="B908" s="1832">
        <f>'Expenditures 15-22'!F53</f>
        <v>4415</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10456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10456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82</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1189</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1271</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1271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1271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432</v>
      </c>
      <c r="C1108" s="2" t="s">
        <v>569</v>
      </c>
      <c r="D1108" s="2" t="str">
        <f t="shared" si="16"/>
        <v>Error?</v>
      </c>
    </row>
    <row r="1109" spans="1:4" x14ac:dyDescent="0.2">
      <c r="A1109" s="5">
        <v>1048</v>
      </c>
      <c r="B1109" s="1832">
        <f>'Expenditures 15-22'!K36</f>
        <v>888</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137140</v>
      </c>
      <c r="C1111" s="2" t="s">
        <v>569</v>
      </c>
      <c r="D1111" s="2" t="str">
        <f t="shared" si="16"/>
        <v>Error?</v>
      </c>
    </row>
    <row r="1112" spans="1:4" x14ac:dyDescent="0.2">
      <c r="A1112" s="5">
        <v>1051</v>
      </c>
      <c r="B1112" s="1832">
        <f>'Expenditures 15-22'!K39</f>
        <v>206329</v>
      </c>
      <c r="C1112" s="2" t="s">
        <v>569</v>
      </c>
      <c r="D1112" s="2" t="str">
        <f t="shared" si="16"/>
        <v>Error?</v>
      </c>
    </row>
    <row r="1113" spans="1:4" x14ac:dyDescent="0.2">
      <c r="A1113" s="5">
        <v>1052</v>
      </c>
      <c r="B1113" s="1832">
        <f>'Expenditures 15-22'!K40</f>
        <v>362457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706814</v>
      </c>
      <c r="C1115" s="2" t="s">
        <v>569</v>
      </c>
      <c r="D1115" s="2" t="str">
        <f t="shared" si="16"/>
        <v>Error?</v>
      </c>
    </row>
    <row r="1116" spans="1:4" x14ac:dyDescent="0.2">
      <c r="A1116" s="5">
        <v>1055</v>
      </c>
      <c r="B1116" s="1832">
        <f>'Expenditures 15-22'!K44</f>
        <v>6001</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6001</v>
      </c>
      <c r="C1119" s="2" t="s">
        <v>569</v>
      </c>
      <c r="D1119" s="2" t="str">
        <f t="shared" si="16"/>
        <v>Error?</v>
      </c>
    </row>
    <row r="1120" spans="1:4" x14ac:dyDescent="0.2">
      <c r="A1120" s="5">
        <v>1059</v>
      </c>
      <c r="B1120" s="1832">
        <f>'Expenditures 15-22'!K49</f>
        <v>17243</v>
      </c>
      <c r="C1120" s="2" t="s">
        <v>569</v>
      </c>
      <c r="D1120" s="2" t="str">
        <f t="shared" si="16"/>
        <v>Error?</v>
      </c>
    </row>
    <row r="1121" spans="1:4" x14ac:dyDescent="0.2">
      <c r="A1121" s="5">
        <v>1060</v>
      </c>
      <c r="B1121" s="1832">
        <f>'Expenditures 15-22'!K50</f>
        <v>167315</v>
      </c>
      <c r="C1121" s="2" t="s">
        <v>569</v>
      </c>
      <c r="D1121" s="2" t="str">
        <f t="shared" si="16"/>
        <v>Error?</v>
      </c>
    </row>
    <row r="1122" spans="1:4" x14ac:dyDescent="0.2">
      <c r="A1122" s="5">
        <v>1061</v>
      </c>
      <c r="B1122" s="1832">
        <f>'Expenditures 15-22'!K53</f>
        <v>227446</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940261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20754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961447</v>
      </c>
      <c r="C1152" s="2" t="s">
        <v>569</v>
      </c>
      <c r="D1152" s="2" t="str">
        <f t="shared" si="17"/>
        <v>Error?</v>
      </c>
    </row>
    <row r="1153" spans="1:4" x14ac:dyDescent="0.2">
      <c r="A1153" s="5">
        <v>1092</v>
      </c>
      <c r="B1153" s="1832">
        <f>'Expenditures 15-22'!K115</f>
        <v>-203766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3164</v>
      </c>
      <c r="D1237" s="2" t="str">
        <f t="shared" si="18"/>
        <v>Error?</v>
      </c>
    </row>
    <row r="1238" spans="1:4" x14ac:dyDescent="0.2">
      <c r="A1238" s="10">
        <v>1177</v>
      </c>
      <c r="B1238" s="1832"/>
      <c r="D1238" s="2" t="str">
        <f t="shared" si="18"/>
        <v>OK</v>
      </c>
    </row>
    <row r="1239" spans="1:4" x14ac:dyDescent="0.2">
      <c r="A1239" s="5">
        <v>1178</v>
      </c>
      <c r="B1239" s="1832">
        <f>'Expenditures 15-22'!E127</f>
        <v>3164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3164</v>
      </c>
      <c r="C1241" s="2" t="s">
        <v>569</v>
      </c>
      <c r="D1241" s="2" t="str">
        <f t="shared" si="18"/>
        <v>Error?</v>
      </c>
    </row>
    <row r="1242" spans="1:4" x14ac:dyDescent="0.2">
      <c r="A1242" s="5">
        <v>1181</v>
      </c>
      <c r="B1242" s="1832">
        <f>'Expenditures 15-22'!E151</f>
        <v>3164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3164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3164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3164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3164</v>
      </c>
      <c r="C1288" s="2" t="s">
        <v>569</v>
      </c>
      <c r="D1288" s="2" t="str">
        <f t="shared" si="19"/>
        <v>Error?</v>
      </c>
    </row>
    <row r="1289" spans="1:4" x14ac:dyDescent="0.2">
      <c r="A1289" s="5">
        <v>1228</v>
      </c>
      <c r="B1289" s="1832">
        <f>'Expenditures 15-22'!K152</f>
        <v>836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636463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432697</v>
      </c>
      <c r="C1630" s="2" t="s">
        <v>569</v>
      </c>
      <c r="D1630" s="2" t="str">
        <f t="shared" si="24"/>
        <v>Error?</v>
      </c>
    </row>
    <row r="1631" spans="1:4" x14ac:dyDescent="0.2">
      <c r="A1631" s="5">
        <v>1570</v>
      </c>
      <c r="B1631" s="1832">
        <f>'Acct Summary 7-8'!D79</f>
        <v>14090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14926</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67860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67860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67860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67860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60971</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60971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1647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1647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62618</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62618</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5242</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5242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20754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608131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79010</v>
      </c>
      <c r="C2553" s="2" t="s">
        <v>569</v>
      </c>
      <c r="D2553" s="2" t="str">
        <f t="shared" si="38"/>
        <v>Error?</v>
      </c>
    </row>
    <row r="2554" spans="1:4" x14ac:dyDescent="0.2">
      <c r="A2554" s="5">
        <v>2493</v>
      </c>
      <c r="B2554" s="1832">
        <f>'Acct Summary 7-8'!C7</f>
        <v>70540</v>
      </c>
      <c r="C2554" s="2" t="s">
        <v>569</v>
      </c>
      <c r="D2554" s="2" t="str">
        <f t="shared" si="38"/>
        <v>Error?</v>
      </c>
    </row>
    <row r="2555" spans="1:4" x14ac:dyDescent="0.2">
      <c r="A2555" s="5">
        <v>2494</v>
      </c>
      <c r="B2555" s="1832">
        <f>'Acct Summary 7-8'!C8</f>
        <v>757681</v>
      </c>
      <c r="C2555" s="2" t="s">
        <v>569</v>
      </c>
      <c r="D2555" s="2" t="str">
        <f t="shared" si="38"/>
        <v>Error?</v>
      </c>
    </row>
    <row r="2556" spans="1:4" x14ac:dyDescent="0.2">
      <c r="A2556" s="5">
        <v>2495</v>
      </c>
      <c r="B2556" s="1832">
        <f>'Acct Summary 7-8'!C12</f>
        <v>432</v>
      </c>
      <c r="C2556" s="2" t="s">
        <v>569</v>
      </c>
      <c r="D2556" s="2" t="str">
        <f t="shared" si="38"/>
        <v>Error?</v>
      </c>
    </row>
    <row r="2557" spans="1:4" x14ac:dyDescent="0.2">
      <c r="A2557" s="5">
        <v>2496</v>
      </c>
      <c r="B2557" s="1832">
        <f>'Acct Summary 7-8'!C13</f>
        <v>940261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20754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961447</v>
      </c>
      <c r="C2561" s="2" t="s">
        <v>569</v>
      </c>
      <c r="D2561" s="2" t="str">
        <f t="shared" si="39"/>
        <v>Error?</v>
      </c>
    </row>
    <row r="2562" spans="1:4" x14ac:dyDescent="0.2">
      <c r="A2562" s="5">
        <v>2501</v>
      </c>
      <c r="B2562" s="1832">
        <f>'Acct Summary 7-8'!C20</f>
        <v>-203766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4000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4000</v>
      </c>
      <c r="C2568" s="2" t="s">
        <v>569</v>
      </c>
      <c r="D2568" s="2" t="str">
        <f t="shared" si="39"/>
        <v>Error?</v>
      </c>
    </row>
    <row r="2569" spans="1:4" x14ac:dyDescent="0.2">
      <c r="A2569" s="5">
        <v>2508</v>
      </c>
      <c r="B2569" s="1832">
        <f>'Acct Summary 7-8'!D13</f>
        <v>3164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3164</v>
      </c>
      <c r="C2573" s="2" t="s">
        <v>569</v>
      </c>
      <c r="D2573" s="2" t="str">
        <f t="shared" si="39"/>
        <v>Error?</v>
      </c>
    </row>
    <row r="2574" spans="1:4" x14ac:dyDescent="0.2">
      <c r="A2574" s="5">
        <v>2513</v>
      </c>
      <c r="B2574" s="1832">
        <f>'Acct Summary 7-8'!D20</f>
        <v>836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29561</v>
      </c>
      <c r="D2718" s="2" t="str">
        <f t="shared" si="41"/>
        <v>Error?</v>
      </c>
    </row>
    <row r="2719" spans="1:4" x14ac:dyDescent="0.2">
      <c r="A2719" s="5">
        <v>2658</v>
      </c>
      <c r="B2719" s="1832">
        <f>'Expenditures 15-22'!D51</f>
        <v>13327</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42888</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20754</v>
      </c>
      <c r="C2789" s="2" t="s">
        <v>569</v>
      </c>
      <c r="D2789" s="2" t="str">
        <f t="shared" si="42"/>
        <v>Error?</v>
      </c>
    </row>
    <row r="2790" spans="1:4" x14ac:dyDescent="0.2">
      <c r="A2790" s="5">
        <v>2729</v>
      </c>
      <c r="B2790" s="1832">
        <f>'Expenditures 15-22'!E102</f>
        <v>20754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20754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20754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-203766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836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432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432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424919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14926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465856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1223537</v>
      </c>
      <c r="C4122" s="2" t="s">
        <v>569</v>
      </c>
      <c r="D4122" s="2" t="str">
        <f t="shared" si="63"/>
        <v>Error?</v>
      </c>
    </row>
    <row r="4123" spans="1:4" x14ac:dyDescent="0.2">
      <c r="A4123" s="5">
        <v>4062</v>
      </c>
      <c r="B4123" s="1832">
        <f>'Acct Summary 7-8'!D10</f>
        <v>4000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465856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1427303</v>
      </c>
      <c r="C4136" s="2" t="s">
        <v>569</v>
      </c>
      <c r="D4136" s="2" t="str">
        <f t="shared" si="63"/>
        <v>Error?</v>
      </c>
    </row>
    <row r="4137" spans="1:4" x14ac:dyDescent="0.2">
      <c r="A4137" s="5">
        <v>4076</v>
      </c>
      <c r="B4137" s="1832">
        <f>'Acct Summary 7-8'!D19</f>
        <v>3164</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447623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54445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602025</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6076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6076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602055</v>
      </c>
      <c r="C5120" s="2" t="s">
        <v>569</v>
      </c>
      <c r="D5120" s="2" t="str">
        <f t="shared" si="79"/>
        <v>Error?</v>
      </c>
    </row>
    <row r="5121" spans="1:4" x14ac:dyDescent="0.2">
      <c r="A5121" s="5">
        <v>5060</v>
      </c>
      <c r="B5121" s="1832">
        <f>'Revenues 9-14'!C109</f>
        <v>608131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79010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79010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79010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16095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16095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70540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70540</v>
      </c>
      <c r="C5326" s="2" t="s">
        <v>569</v>
      </c>
      <c r="D5326" s="2" t="str">
        <f t="shared" si="82"/>
        <v>Error?</v>
      </c>
    </row>
    <row r="5327" spans="1:5" x14ac:dyDescent="0.2">
      <c r="A5327" s="5">
        <v>5266</v>
      </c>
      <c r="B5327" s="1832">
        <f>'Revenues 9-14'!C268</f>
        <v>757681</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4000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4000</v>
      </c>
      <c r="C5355" s="2" t="s">
        <v>569</v>
      </c>
      <c r="D5355" s="2" t="str">
        <f t="shared" si="82"/>
        <v>Error?</v>
      </c>
    </row>
    <row r="5356" spans="1:4" x14ac:dyDescent="0.2">
      <c r="A5356" s="5">
        <v>5295</v>
      </c>
      <c r="B5356" s="1832">
        <f>'Revenues 9-14'!D109</f>
        <v>4000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4000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7778</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-203766</v>
      </c>
      <c r="D6267" s="2" t="str">
        <f t="shared" si="96"/>
        <v>Error?</v>
      </c>
      <c r="E6267" s="2" t="s">
        <v>189</v>
      </c>
    </row>
    <row r="6268" spans="1:5" x14ac:dyDescent="0.2">
      <c r="A6268">
        <v>6207</v>
      </c>
      <c r="B6268" s="1832">
        <f>'Acct Summary 7-8'!D82</f>
        <v>836</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-0.47092075979264936</v>
      </c>
      <c r="D6276" s="2" t="str">
        <f t="shared" si="97"/>
        <v>Error?</v>
      </c>
      <c r="E6276" s="2" t="s">
        <v>189</v>
      </c>
    </row>
    <row r="6277" spans="1:5" x14ac:dyDescent="0.2">
      <c r="A6277">
        <v>6216</v>
      </c>
      <c r="B6277" s="1832">
        <f>'Acct Summary 7-8'!D83</f>
        <v>5.6009647594801017E-2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1647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964611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20754</v>
      </c>
      <c r="D7834" s="2" t="str">
        <f t="shared" si="129"/>
        <v>Error?</v>
      </c>
      <c r="E7834" s="4" t="s">
        <v>1998</v>
      </c>
    </row>
    <row r="7835" spans="1:5" x14ac:dyDescent="0.2">
      <c r="A7835">
        <v>7774</v>
      </c>
      <c r="B7835" s="1832">
        <f>'PCTC-OEPP 27-28'!F78</f>
        <v>943857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606025</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16095</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54445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676565</v>
      </c>
      <c r="D7877" s="2" t="str">
        <f t="shared" si="129"/>
        <v>Error?</v>
      </c>
      <c r="E7877" s="4" t="s">
        <v>1998</v>
      </c>
    </row>
    <row r="7878" spans="1:5" x14ac:dyDescent="0.2">
      <c r="A7878">
        <v>7817</v>
      </c>
      <c r="B7878" s="1832">
        <f>'PCTC-OEPP 27-28'!F176</f>
        <v>267292</v>
      </c>
      <c r="D7878" s="2" t="str">
        <f t="shared" si="129"/>
        <v>Error?</v>
      </c>
      <c r="E7878" s="4" t="s">
        <v>1998</v>
      </c>
    </row>
    <row r="7879" spans="1:5" x14ac:dyDescent="0.2">
      <c r="A7879">
        <v>7818</v>
      </c>
      <c r="B7879" s="1832">
        <f>'PCTC-OEPP 27-28'!F178</f>
        <v>268939</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24" t="s">
        <v>1180</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8" t="str">
        <f>COVER!A17</f>
        <v xml:space="preserve">  Ford Special Education Coop</v>
      </c>
      <c r="B7" s="2519"/>
      <c r="C7" s="2519"/>
      <c r="D7" s="2557"/>
      <c r="E7" s="2558">
        <f>COVER!A13</f>
        <v>9027005061</v>
      </c>
      <c r="F7" s="2559"/>
      <c r="G7" s="2525" t="str">
        <f>COVER!T23</f>
        <v>065.018319</v>
      </c>
      <c r="H7" s="2526"/>
      <c r="I7" s="2526"/>
      <c r="J7" s="2526"/>
      <c r="K7" s="2526"/>
      <c r="L7" s="25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8"/>
      <c r="B9" s="2529"/>
      <c r="C9" s="2529"/>
      <c r="D9" s="2529"/>
      <c r="E9" s="2529"/>
      <c r="F9" s="2530"/>
      <c r="G9" s="2531" t="str">
        <f>COVER!T13</f>
        <v>RUSSELL LEIGH &amp; ASSOCIATES LLC</v>
      </c>
      <c r="H9" s="2532"/>
      <c r="I9" s="2532"/>
      <c r="J9" s="2532"/>
      <c r="K9" s="2532"/>
      <c r="L9" s="2533"/>
    </row>
    <row r="10" spans="1:29" ht="13.5" customHeight="1" x14ac:dyDescent="0.2">
      <c r="A10" s="2515">
        <f>COVER!A38</f>
        <v>0</v>
      </c>
      <c r="B10" s="2516"/>
      <c r="C10" s="2516"/>
      <c r="D10" s="2516"/>
      <c r="E10" s="2516"/>
      <c r="F10" s="2517"/>
      <c r="G10" s="2531" t="str">
        <f>COVER!T17</f>
        <v>228 E MAIN ST</v>
      </c>
      <c r="H10" s="2544"/>
      <c r="I10" s="2544"/>
      <c r="J10" s="2544"/>
      <c r="K10" s="2544"/>
      <c r="L10" s="2545"/>
    </row>
    <row r="11" spans="1:29" ht="13.5" customHeight="1" x14ac:dyDescent="0.2">
      <c r="A11" s="963" t="s">
        <v>1502</v>
      </c>
      <c r="B11" s="964"/>
      <c r="C11" s="965"/>
      <c r="D11" s="970"/>
      <c r="E11" s="965"/>
      <c r="F11" s="969"/>
      <c r="G11" s="2531" t="str">
        <f>COVER!T19</f>
        <v>HOOPESTON</v>
      </c>
      <c r="H11" s="2544"/>
      <c r="I11" s="2544"/>
      <c r="J11" s="2544"/>
      <c r="K11" s="2544"/>
      <c r="L11" s="2545"/>
    </row>
    <row r="12" spans="1:29" ht="13.5" customHeight="1" x14ac:dyDescent="0.2">
      <c r="A12" s="2549" t="s">
        <v>1501</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1503</v>
      </c>
      <c r="H13" s="2540"/>
      <c r="I13" s="2552" t="str">
        <f>COVER!T25</f>
        <v>admin@russleigh.com</v>
      </c>
      <c r="J13" s="2553"/>
      <c r="K13" s="2553"/>
      <c r="L13" s="2554"/>
    </row>
    <row r="14" spans="1:29" ht="13.5" customHeight="1" x14ac:dyDescent="0.2">
      <c r="A14" s="2531" t="str">
        <f>COVER!A19</f>
        <v>307 N SANGAMON AVE</v>
      </c>
      <c r="B14" s="2544"/>
      <c r="C14" s="2544"/>
      <c r="D14" s="2544"/>
      <c r="E14" s="2544"/>
      <c r="F14" s="2545"/>
      <c r="G14" s="974" t="s">
        <v>1175</v>
      </c>
      <c r="H14" s="972"/>
      <c r="I14" s="972"/>
      <c r="J14" s="972"/>
      <c r="K14" s="972"/>
      <c r="L14" s="973"/>
    </row>
    <row r="15" spans="1:29" ht="13.5" customHeight="1" x14ac:dyDescent="0.2">
      <c r="A15" s="2531" t="str">
        <f>COVER!A21</f>
        <v>GIBSON CITY</v>
      </c>
      <c r="B15" s="2544"/>
      <c r="C15" s="2544"/>
      <c r="D15" s="2544"/>
      <c r="E15" s="2544"/>
      <c r="F15" s="2545"/>
      <c r="G15" s="2541" t="str">
        <f>COVER!T15</f>
        <v>RUSS LEIGH</v>
      </c>
      <c r="H15" s="2542"/>
      <c r="I15" s="2542"/>
      <c r="J15" s="2542"/>
      <c r="K15" s="2542"/>
      <c r="L15" s="2543"/>
    </row>
    <row r="16" spans="1:29" ht="12.2" customHeight="1" x14ac:dyDescent="0.2">
      <c r="A16" s="2521">
        <f>COVER!A25</f>
        <v>60936</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1174</v>
      </c>
      <c r="H17" s="972"/>
      <c r="I17" s="972"/>
      <c r="J17" s="972"/>
      <c r="K17" s="976" t="s">
        <v>1173</v>
      </c>
      <c r="L17" s="969"/>
      <c r="M17" s="962"/>
    </row>
    <row r="18" spans="1:13" ht="12.2" customHeight="1" x14ac:dyDescent="0.2">
      <c r="A18" s="2515"/>
      <c r="B18" s="2516"/>
      <c r="C18" s="2516"/>
      <c r="D18" s="2516"/>
      <c r="E18" s="2516"/>
      <c r="F18" s="2517"/>
      <c r="G18" s="2518" t="str">
        <f>COVER!T21</f>
        <v>217-283-9336</v>
      </c>
      <c r="H18" s="2519"/>
      <c r="I18" s="2519"/>
      <c r="J18" s="2519"/>
      <c r="K18" s="2518" t="str">
        <f>COVER!X21</f>
        <v>217-283-9736</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Ford Special Education Coop</v>
      </c>
      <c r="B1" s="2561"/>
      <c r="C1" s="2561"/>
      <c r="D1" s="2561"/>
    </row>
    <row r="2" spans="1:11" s="991" customFormat="1" ht="12.75" x14ac:dyDescent="0.2">
      <c r="A2" s="2562">
        <f>'Single Audit Cover'!E7</f>
        <v>9027005061</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Ford Special Education Coop</v>
      </c>
      <c r="B1" s="2565"/>
      <c r="C1" s="2565"/>
      <c r="D1" s="2565"/>
      <c r="E1" s="2565"/>
    </row>
    <row r="2" spans="1:5" x14ac:dyDescent="0.2">
      <c r="A2" s="2566">
        <f>'Single Audit Cover'!E7</f>
        <v>9027005061</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70540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-54445</v>
      </c>
    </row>
    <row r="19" spans="1:4" ht="13.5" thickBot="1" x14ac:dyDescent="0.25">
      <c r="A19" s="1041" t="s">
        <v>1224</v>
      </c>
      <c r="D19" s="1042">
        <f>SUM(D10:D17)</f>
        <v>16095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16095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16095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Ford Special Education Coop</v>
      </c>
      <c r="C1" s="2569"/>
      <c r="D1" s="2569"/>
      <c r="E1" s="2569"/>
      <c r="F1" s="2569"/>
      <c r="G1" s="2569"/>
      <c r="H1" s="2569"/>
      <c r="I1" s="2569"/>
      <c r="J1" s="2569"/>
      <c r="K1" s="2569"/>
      <c r="L1" s="2569"/>
      <c r="M1" s="2569"/>
    </row>
    <row r="2" spans="2:14" ht="15" x14ac:dyDescent="0.2">
      <c r="B2" s="2570">
        <f>'Single Audit Cover'!E7</f>
        <v>9027005061</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Ford Special Education Coop</v>
      </c>
      <c r="B1" s="2574"/>
      <c r="C1" s="2574"/>
      <c r="D1" s="2574"/>
      <c r="E1" s="2574"/>
      <c r="F1" s="2574"/>
    </row>
    <row r="2" spans="1:7" ht="13.5" customHeight="1" x14ac:dyDescent="0.2">
      <c r="A2" s="2570">
        <f>'Single Audit Cover'!E7</f>
        <v>9027005061</v>
      </c>
      <c r="B2" s="2570"/>
      <c r="C2" s="2570"/>
      <c r="D2" s="2570"/>
      <c r="E2" s="2570"/>
      <c r="F2" s="2570"/>
      <c r="G2" s="1051"/>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1705</v>
      </c>
      <c r="C6" s="295"/>
      <c r="D6" s="295"/>
    </row>
    <row r="7" spans="1:7" ht="60.95" customHeight="1" x14ac:dyDescent="0.2">
      <c r="A7" s="2573" t="s">
        <v>1706</v>
      </c>
      <c r="B7" s="2573"/>
      <c r="C7" s="2573"/>
      <c r="D7" s="2573"/>
      <c r="E7" s="2573"/>
      <c r="F7" s="257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3" t="s">
        <v>1708</v>
      </c>
      <c r="B13" s="2573"/>
      <c r="C13" s="2573"/>
      <c r="D13" s="2573"/>
      <c r="E13" s="2573"/>
      <c r="F13" s="2573"/>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1709</v>
      </c>
      <c r="B32" s="2581"/>
      <c r="C32" s="2581"/>
      <c r="D32" s="2581"/>
      <c r="E32" s="2581"/>
      <c r="F32" s="258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2">
        <f>+C33+C34</f>
        <v>0</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1989</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1989</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2064</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Ford Special Education Coop</v>
      </c>
      <c r="C1" s="2590"/>
      <c r="D1" s="2590"/>
      <c r="E1" s="2590"/>
      <c r="F1" s="2590"/>
      <c r="G1" s="2590"/>
      <c r="H1" s="2590"/>
      <c r="I1" s="2590"/>
      <c r="J1" s="1178"/>
    </row>
    <row r="2" spans="2:10" s="295" customFormat="1" ht="12.75" customHeight="1" x14ac:dyDescent="0.2">
      <c r="B2" s="2591">
        <f>'Single Audit Cover'!E7</f>
        <v>9027005061</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c r="E29" s="2596"/>
      <c r="F29" s="2596"/>
      <c r="G29" s="2596"/>
      <c r="H29" s="2596"/>
      <c r="I29" s="259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7" t="s">
        <v>1728</v>
      </c>
      <c r="D37" s="2598"/>
      <c r="E37" s="2598"/>
      <c r="F37" s="2599"/>
      <c r="G37" s="2597" t="s">
        <v>1575</v>
      </c>
      <c r="H37" s="2598"/>
      <c r="I37" s="2599"/>
    </row>
    <row r="38" spans="2:9" ht="16.5" customHeight="1" x14ac:dyDescent="0.2">
      <c r="B38" s="1200"/>
      <c r="C38" s="2585"/>
      <c r="D38" s="2586"/>
      <c r="E38" s="2586"/>
      <c r="F38" s="2587"/>
      <c r="G38" s="2600"/>
      <c r="H38" s="2601"/>
      <c r="I38" s="2602"/>
    </row>
    <row r="39" spans="2:9" ht="16.5" customHeight="1" x14ac:dyDescent="0.2">
      <c r="B39" s="1200"/>
      <c r="C39" s="2585"/>
      <c r="D39" s="2586"/>
      <c r="E39" s="2586"/>
      <c r="F39" s="2587"/>
      <c r="G39" s="2588"/>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1576</v>
      </c>
      <c r="D43" s="2604"/>
      <c r="E43" s="2604"/>
      <c r="F43" s="2605"/>
      <c r="G43" s="2606">
        <f>SUM(G38:I42)</f>
        <v>0</v>
      </c>
      <c r="H43" s="2606"/>
      <c r="I43" s="2606"/>
    </row>
    <row r="44" spans="2:9" ht="12.75" customHeight="1" x14ac:dyDescent="0.2"/>
    <row r="45" spans="2:9" ht="12.75" customHeight="1" x14ac:dyDescent="0.2">
      <c r="B45" s="1918" t="str">
        <f>"Total Federal Expenditures for 7/1/"&amp;MID('AFR20'!E2,3,2)-1&amp;"-6/30/"&amp;MID('AFR20'!E2,3,2)</f>
        <v>Total Federal Expenditures for 7/1/19-6/30/20</v>
      </c>
      <c r="C45" s="1919"/>
      <c r="D45" s="2607">
        <v>0</v>
      </c>
      <c r="E45" s="260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9"/>
      <c r="F49" s="2609"/>
      <c r="G49" s="260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Ford Special Education Coop</v>
      </c>
      <c r="C1" s="2589"/>
      <c r="D1" s="2589"/>
      <c r="E1" s="2589"/>
      <c r="F1" s="2589"/>
      <c r="G1" s="2589"/>
      <c r="H1" s="2589"/>
      <c r="I1" s="2589"/>
      <c r="J1" s="2589"/>
      <c r="K1" s="2589"/>
      <c r="L1" s="1144"/>
      <c r="M1" s="1144"/>
    </row>
    <row r="2" spans="1:13" ht="12" customHeight="1" x14ac:dyDescent="0.2">
      <c r="B2" s="2591">
        <f>'Single Audit Cover'!E7</f>
        <v>9027005061</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Ford Special Education Coop</v>
      </c>
      <c r="C1" s="2616"/>
      <c r="D1" s="2616"/>
      <c r="E1" s="2616"/>
      <c r="F1" s="2616"/>
      <c r="G1" s="2616"/>
      <c r="H1" s="2616"/>
      <c r="I1" s="2616"/>
      <c r="J1" s="2616"/>
      <c r="K1" s="2616"/>
      <c r="L1" s="1221"/>
    </row>
    <row r="2" spans="1:12" ht="12.75" customHeight="1" x14ac:dyDescent="0.2">
      <c r="B2" s="2617">
        <f>'Single Audit Cover'!E7</f>
        <v>9027005061</v>
      </c>
      <c r="C2" s="2617"/>
      <c r="D2" s="2617"/>
      <c r="E2" s="2617"/>
      <c r="F2" s="2617"/>
      <c r="G2" s="2617"/>
      <c r="H2" s="2617"/>
      <c r="I2" s="2617"/>
      <c r="J2" s="2617"/>
      <c r="K2" s="2617"/>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Ford Special Education Coop</v>
      </c>
      <c r="C1" s="2589"/>
      <c r="D1" s="2589"/>
      <c r="E1" s="1240"/>
    </row>
    <row r="2" spans="2:5" s="1058" customFormat="1" ht="12.75" customHeight="1" x14ac:dyDescent="0.2">
      <c r="B2" s="2591">
        <f>'Single Audit Cover'!E7</f>
        <v>9027005061</v>
      </c>
      <c r="C2" s="2591"/>
      <c r="D2" s="2591"/>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761681</v>
      </c>
      <c r="E16" s="1547"/>
      <c r="F16" s="1546">
        <f>SUM('Acct Summary 7-8'!C17,'Acct Summary 7-8'!D17,'Acct Summary 7-8'!F17)</f>
        <v>964611</v>
      </c>
      <c r="G16" s="1547"/>
      <c r="H16" s="1546">
        <f>SUM(D16-F16)</f>
        <v>-202930</v>
      </c>
      <c r="I16" s="1548"/>
      <c r="J16" s="1546">
        <f>SUM('Acct Summary 7-8'!C81,'Acct Summary 7-8'!D81,'Acct Summary 7-8'!F81,'Acct Summary 7-8'!I81)</f>
        <v>447623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Ford Special Education Coop</v>
      </c>
      <c r="E7" s="368"/>
      <c r="G7" s="247"/>
      <c r="H7" s="364"/>
      <c r="I7" s="364"/>
      <c r="J7" s="364"/>
      <c r="K7" s="364"/>
      <c r="L7" s="307"/>
      <c r="M7" s="307"/>
      <c r="N7" s="307"/>
      <c r="O7" s="307"/>
      <c r="P7" s="307"/>
    </row>
    <row r="8" spans="1:18" ht="12.75" x14ac:dyDescent="0.2">
      <c r="A8" s="307"/>
      <c r="B8" s="307"/>
      <c r="C8" s="366" t="s">
        <v>1115</v>
      </c>
      <c r="D8" s="369">
        <f>COVER!A13</f>
        <v>9027005061</v>
      </c>
      <c r="E8" s="370"/>
      <c r="G8" s="307"/>
      <c r="H8" s="307"/>
      <c r="I8" s="307"/>
      <c r="J8" s="307"/>
      <c r="K8" s="307"/>
      <c r="L8" s="307"/>
      <c r="M8" s="307"/>
      <c r="N8" s="307"/>
      <c r="O8" s="307"/>
      <c r="P8" s="307"/>
    </row>
    <row r="9" spans="1:18" ht="12.75" x14ac:dyDescent="0.2">
      <c r="A9" s="307"/>
      <c r="B9" s="307"/>
      <c r="C9" s="366" t="s">
        <v>708</v>
      </c>
      <c r="D9" s="371" t="str">
        <f>COVER!A15</f>
        <v>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447623</v>
      </c>
      <c r="I12" s="380"/>
      <c r="J12" s="380"/>
      <c r="K12" s="1559">
        <f>TRUNC((H12/H13*100000),5)/100000</f>
        <v>0.58767778110000002</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761681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1</v>
      </c>
      <c r="P16" s="211"/>
      <c r="R16" s="361"/>
    </row>
    <row r="17" spans="1:18" s="382" customFormat="1" ht="11.25" x14ac:dyDescent="0.2">
      <c r="A17" s="213"/>
      <c r="B17" s="377"/>
      <c r="C17" s="213" t="s">
        <v>792</v>
      </c>
      <c r="D17" s="213"/>
      <c r="E17" s="213"/>
      <c r="F17" s="213" t="s">
        <v>441</v>
      </c>
      <c r="G17" s="378"/>
      <c r="H17" s="1551">
        <f>SUM('Acct Summary 7-8'!C17+'Acct Summary 7-8'!D17+'Acct Summary 7-8'!F17)</f>
        <v>964611</v>
      </c>
      <c r="I17" s="380"/>
      <c r="J17" s="389"/>
      <c r="K17" s="1559">
        <f>TRUNC((H17/H18*100000),5)/100000</f>
        <v>1.2664238702999999</v>
      </c>
      <c r="L17" s="381"/>
      <c r="M17" s="390" t="s">
        <v>1161</v>
      </c>
      <c r="O17" s="1565" t="str">
        <f>IF(AND(O16="2", J20 &gt; 2),"1",IF(AND(O16 = "1", J20 &gt; 2),"2",IF(AND(O16="1", J20 &gt;1),"1","0")))</f>
        <v>1</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761681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1.8304581999999998</v>
      </c>
      <c r="K20" s="1559">
        <f>IF(K17&lt;=1,"0",IF(AND(O16="2", J20 &gt; 2),TRUNC(((K12-0.1)/(K17-1)*100),5)/100,IF(AND(O16 = "1", J20 &gt; 2),TRUNC(((K12-0.1)/(K17-1)*100),5)/100,IF(AND(O16="1", J20 &gt;1),TRUNC(((K12-0.1)/(K17-1)*100),5)/100,""))))</f>
        <v>1.8304581999999998</v>
      </c>
      <c r="L20" s="213"/>
      <c r="M20" s="337" t="s">
        <v>1135</v>
      </c>
      <c r="N20" s="337"/>
      <c r="O20" s="1563">
        <f>(O16+O17)*O18</f>
        <v>0.7</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439845</v>
      </c>
      <c r="I24" s="394"/>
      <c r="J24" s="394"/>
      <c r="K24" s="1555">
        <f>TRUNC(((H24/H25*100000)/100000),2)</f>
        <v>164.15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2679.4749999999999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424919</v>
      </c>
      <c r="D4" s="1573">
        <v>14926</v>
      </c>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7778</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432697</v>
      </c>
      <c r="D13" s="1587">
        <f t="shared" ref="D13:L13" si="0">SUM(D4:D12)</f>
        <v>14926</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67860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67860</v>
      </c>
      <c r="N23" s="1594">
        <f>SUM(N21:N22)</f>
        <v>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432697</v>
      </c>
      <c r="D39" s="1573">
        <v>14926</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67860</v>
      </c>
      <c r="N40" s="1604"/>
    </row>
    <row r="41" spans="1:14" ht="13.5" customHeight="1" thickBot="1" x14ac:dyDescent="0.25">
      <c r="A41" s="1426" t="s">
        <v>650</v>
      </c>
      <c r="B41" s="1405"/>
      <c r="C41" s="1594">
        <f>(SUM(C34,C37,C38,C39))</f>
        <v>432697</v>
      </c>
      <c r="D41" s="1594">
        <f t="shared" ref="D41:L41" si="2">SUM(D34,D37,D38:D39)</f>
        <v>14926</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67860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608131</v>
      </c>
      <c r="D4" s="1606">
        <f>'Revenues 9-14'!D109</f>
        <v>4000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79010</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70540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757681</v>
      </c>
      <c r="D8" s="1594">
        <f t="shared" ref="D8:K8" si="0">SUM(D4:D7)</f>
        <v>4000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465856</v>
      </c>
      <c r="D9" s="1613"/>
      <c r="E9" s="1586"/>
      <c r="F9" s="1586"/>
      <c r="G9" s="1614"/>
      <c r="H9" s="1586"/>
      <c r="I9" s="1609" t="s">
        <v>1159</v>
      </c>
      <c r="J9" s="1583"/>
      <c r="K9" s="1586"/>
      <c r="L9" s="325"/>
    </row>
    <row r="10" spans="1:13" s="452" customFormat="1" ht="13.5" thickBot="1" x14ac:dyDescent="0.25">
      <c r="A10" s="1426" t="s">
        <v>1163</v>
      </c>
      <c r="B10" s="1407"/>
      <c r="C10" s="1594">
        <f>SUM(C8:C9)</f>
        <v>1223537</v>
      </c>
      <c r="D10" s="1594">
        <f t="shared" ref="D10:K10" si="1">SUM(D8:D9)</f>
        <v>4000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432</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940261</v>
      </c>
      <c r="D13" s="1607">
        <f>'Expenditures 15-22'!K129</f>
        <v>3164</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20754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961447</v>
      </c>
      <c r="D17" s="1594">
        <f t="shared" si="2"/>
        <v>3164</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465856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1427303</v>
      </c>
      <c r="D19" s="1594">
        <f t="shared" si="4"/>
        <v>3164</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4" t="s">
        <v>1636</v>
      </c>
      <c r="B20" s="2235"/>
      <c r="C20" s="1622">
        <f>C8-C17</f>
        <v>-203766</v>
      </c>
      <c r="D20" s="1622">
        <f t="shared" ref="D20:K20" si="5">D8-D17</f>
        <v>836</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-203766</v>
      </c>
      <c r="D78" s="1629">
        <f t="shared" si="9"/>
        <v>836</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636463</v>
      </c>
      <c r="D79" s="1630">
        <v>14090</v>
      </c>
      <c r="E79" s="1630"/>
      <c r="F79" s="1630"/>
      <c r="G79" s="1630"/>
      <c r="H79" s="1630"/>
      <c r="I79" s="1630"/>
      <c r="J79" s="1630"/>
      <c r="K79" s="1630"/>
      <c r="L79" s="325"/>
    </row>
    <row r="80" spans="1:12" x14ac:dyDescent="0.2">
      <c r="A80" s="2236" t="s">
        <v>1772</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432697</v>
      </c>
      <c r="D81" s="1594">
        <f>SUM(D78:D80)</f>
        <v>14926</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-203766</v>
      </c>
      <c r="D82" s="461">
        <f t="shared" ref="D82:K82" si="11">(D81-D79)</f>
        <v>836</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-0.47092075979264936</v>
      </c>
      <c r="D83" s="463">
        <f t="shared" ref="D83:K83" si="12">D82/D81</f>
        <v>5.6009647594801017E-2</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8"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1779</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6076</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6076</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30</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602025</v>
      </c>
      <c r="D104" s="1573">
        <v>4000</v>
      </c>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602055</v>
      </c>
      <c r="D108" s="1633">
        <f t="shared" ref="D108:K108" si="3">SUM(D95:D107)</f>
        <v>4000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608131</v>
      </c>
      <c r="D109" s="1641">
        <f t="shared" si="4"/>
        <v>4000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79010</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79010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79010</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1780</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16095</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16095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54445</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70540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70540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757681</v>
      </c>
      <c r="D268" s="1641">
        <f t="shared" si="12"/>
        <v>4000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v>432</v>
      </c>
      <c r="F8" s="1573"/>
      <c r="G8" s="1573"/>
      <c r="H8" s="1573"/>
      <c r="I8" s="1574"/>
      <c r="J8" s="1574"/>
      <c r="K8" s="1672">
        <f t="shared" si="0"/>
        <v>432</v>
      </c>
      <c r="L8" s="1573">
        <v>5000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432</v>
      </c>
      <c r="F33" s="1674">
        <f t="shared" si="1"/>
        <v>0</v>
      </c>
      <c r="G33" s="1674">
        <f t="shared" si="1"/>
        <v>0</v>
      </c>
      <c r="H33" s="1674">
        <f t="shared" si="1"/>
        <v>0</v>
      </c>
      <c r="I33" s="1674">
        <f t="shared" si="1"/>
        <v>0</v>
      </c>
      <c r="J33" s="1674">
        <f t="shared" si="1"/>
        <v>0</v>
      </c>
      <c r="K33" s="1674">
        <f t="shared" si="1"/>
        <v>432</v>
      </c>
      <c r="L33" s="1674">
        <f t="shared" si="1"/>
        <v>5000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v>888</v>
      </c>
      <c r="G36" s="1586"/>
      <c r="H36" s="1586"/>
      <c r="I36" s="1574"/>
      <c r="J36" s="1574"/>
      <c r="K36" s="1672">
        <f t="shared" ref="K36:K41" si="2">SUM(C36:J36)</f>
        <v>888</v>
      </c>
      <c r="L36" s="1573">
        <v>1000</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64436</v>
      </c>
      <c r="D38" s="1573">
        <v>21606</v>
      </c>
      <c r="E38" s="1573">
        <v>50747</v>
      </c>
      <c r="F38" s="1573">
        <v>269</v>
      </c>
      <c r="G38" s="1573"/>
      <c r="H38" s="1573">
        <v>82</v>
      </c>
      <c r="I38" s="1574"/>
      <c r="J38" s="1574"/>
      <c r="K38" s="1672">
        <f t="shared" si="2"/>
        <v>137140</v>
      </c>
      <c r="L38" s="1573">
        <v>151200</v>
      </c>
    </row>
    <row r="39" spans="1:14" x14ac:dyDescent="0.2">
      <c r="A39" s="1274" t="s">
        <v>197</v>
      </c>
      <c r="B39" s="503">
        <v>2140</v>
      </c>
      <c r="C39" s="1573">
        <v>183223</v>
      </c>
      <c r="D39" s="1573">
        <v>21894</v>
      </c>
      <c r="E39" s="1573"/>
      <c r="F39" s="1573">
        <v>1212</v>
      </c>
      <c r="G39" s="1573"/>
      <c r="H39" s="1573"/>
      <c r="I39" s="1574"/>
      <c r="J39" s="1574"/>
      <c r="K39" s="1672">
        <f t="shared" si="2"/>
        <v>206329</v>
      </c>
      <c r="L39" s="1573">
        <v>193700</v>
      </c>
    </row>
    <row r="40" spans="1:14" x14ac:dyDescent="0.2">
      <c r="A40" s="1274" t="s">
        <v>198</v>
      </c>
      <c r="B40" s="503">
        <v>2150</v>
      </c>
      <c r="C40" s="1573">
        <v>314096</v>
      </c>
      <c r="D40" s="1573">
        <v>44960</v>
      </c>
      <c r="E40" s="1573"/>
      <c r="F40" s="1573">
        <v>2212</v>
      </c>
      <c r="G40" s="1573"/>
      <c r="H40" s="1573">
        <v>1189</v>
      </c>
      <c r="I40" s="1574"/>
      <c r="J40" s="1574"/>
      <c r="K40" s="1672">
        <f t="shared" si="2"/>
        <v>362457</v>
      </c>
      <c r="L40" s="1573">
        <v>347100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561755</v>
      </c>
      <c r="D42" s="1674">
        <f t="shared" ref="D42:L42" si="3">SUM(D36:D41)</f>
        <v>88460</v>
      </c>
      <c r="E42" s="1674">
        <f t="shared" si="3"/>
        <v>50747</v>
      </c>
      <c r="F42" s="1674">
        <f t="shared" si="3"/>
        <v>4581</v>
      </c>
      <c r="G42" s="1674">
        <f t="shared" si="3"/>
        <v>0</v>
      </c>
      <c r="H42" s="1674">
        <f t="shared" si="3"/>
        <v>1271</v>
      </c>
      <c r="I42" s="1674">
        <f t="shared" si="3"/>
        <v>0</v>
      </c>
      <c r="J42" s="1674">
        <f t="shared" si="3"/>
        <v>0</v>
      </c>
      <c r="K42" s="1674">
        <f t="shared" si="3"/>
        <v>706814</v>
      </c>
      <c r="L42" s="1674">
        <f t="shared" si="3"/>
        <v>693000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4541</v>
      </c>
      <c r="F44" s="1586">
        <v>1460</v>
      </c>
      <c r="G44" s="1586"/>
      <c r="H44" s="1586"/>
      <c r="I44" s="1574"/>
      <c r="J44" s="1574"/>
      <c r="K44" s="1678">
        <f>SUM(C44:J44)</f>
        <v>6001</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4541</v>
      </c>
      <c r="F47" s="1674">
        <f t="shared" si="4"/>
        <v>1460</v>
      </c>
      <c r="G47" s="1674">
        <f t="shared" si="4"/>
        <v>0</v>
      </c>
      <c r="H47" s="1674">
        <f t="shared" si="4"/>
        <v>0</v>
      </c>
      <c r="I47" s="1674">
        <f t="shared" si="4"/>
        <v>0</v>
      </c>
      <c r="J47" s="1674">
        <f t="shared" si="4"/>
        <v>0</v>
      </c>
      <c r="K47" s="1674">
        <f t="shared" si="4"/>
        <v>6001</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17243</v>
      </c>
      <c r="F49" s="1586"/>
      <c r="G49" s="1586"/>
      <c r="H49" s="1586"/>
      <c r="I49" s="1574"/>
      <c r="J49" s="1574"/>
      <c r="K49" s="1678">
        <f>SUM(C49:J49)</f>
        <v>17243</v>
      </c>
      <c r="L49" s="1586">
        <v>26000</v>
      </c>
    </row>
    <row r="50" spans="1:14" x14ac:dyDescent="0.2">
      <c r="A50" s="1274" t="s">
        <v>813</v>
      </c>
      <c r="B50" s="503">
        <v>2320</v>
      </c>
      <c r="C50" s="1573">
        <v>108192</v>
      </c>
      <c r="D50" s="1573">
        <v>4610</v>
      </c>
      <c r="E50" s="1573">
        <v>50098</v>
      </c>
      <c r="F50" s="1573">
        <v>4415</v>
      </c>
      <c r="G50" s="1573"/>
      <c r="H50" s="1573"/>
      <c r="I50" s="1574"/>
      <c r="J50" s="1574"/>
      <c r="K50" s="1678">
        <f>SUM(C50:J50)</f>
        <v>167315</v>
      </c>
      <c r="L50" s="1573">
        <v>196550</v>
      </c>
    </row>
    <row r="51" spans="1:14" x14ac:dyDescent="0.2">
      <c r="A51" s="1274" t="s">
        <v>42</v>
      </c>
      <c r="B51" s="503">
        <v>2330</v>
      </c>
      <c r="C51" s="1573">
        <v>29561</v>
      </c>
      <c r="D51" s="1573">
        <v>13327</v>
      </c>
      <c r="E51" s="1573"/>
      <c r="F51" s="1573"/>
      <c r="G51" s="1573"/>
      <c r="H51" s="1573"/>
      <c r="I51" s="1574"/>
      <c r="J51" s="1574"/>
      <c r="K51" s="1678">
        <f>SUM(C51:J51)</f>
        <v>42888</v>
      </c>
      <c r="L51" s="1573">
        <v>44000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137753</v>
      </c>
      <c r="D53" s="1674">
        <f t="shared" ref="D53:L53" si="5">SUM(D49:D52)</f>
        <v>17937</v>
      </c>
      <c r="E53" s="1674">
        <f t="shared" si="5"/>
        <v>67341</v>
      </c>
      <c r="F53" s="1674">
        <f t="shared" si="5"/>
        <v>4415</v>
      </c>
      <c r="G53" s="1674">
        <f t="shared" si="5"/>
        <v>0</v>
      </c>
      <c r="H53" s="1674">
        <f t="shared" si="5"/>
        <v>0</v>
      </c>
      <c r="I53" s="1674">
        <f t="shared" si="5"/>
        <v>0</v>
      </c>
      <c r="J53" s="1674">
        <f t="shared" si="5"/>
        <v>0</v>
      </c>
      <c r="K53" s="1674">
        <f t="shared" si="5"/>
        <v>227446</v>
      </c>
      <c r="L53" s="1674">
        <f t="shared" si="5"/>
        <v>266550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699508</v>
      </c>
      <c r="D74" s="1681">
        <f t="shared" ref="D74:K74" si="10">SUM(D42,D47,D53,D57,D65,D72,D73)</f>
        <v>106397</v>
      </c>
      <c r="E74" s="1681">
        <f t="shared" si="10"/>
        <v>122629</v>
      </c>
      <c r="F74" s="1681">
        <f t="shared" si="10"/>
        <v>10456</v>
      </c>
      <c r="G74" s="1681">
        <f t="shared" si="10"/>
        <v>0</v>
      </c>
      <c r="H74" s="1681">
        <f t="shared" si="10"/>
        <v>1271</v>
      </c>
      <c r="I74" s="1681">
        <f t="shared" si="10"/>
        <v>0</v>
      </c>
      <c r="J74" s="1681">
        <f t="shared" si="10"/>
        <v>0</v>
      </c>
      <c r="K74" s="1681">
        <f t="shared" si="10"/>
        <v>940261</v>
      </c>
      <c r="L74" s="1681">
        <f>SUM(L42,L47,L53,L57,L65,L72,L73)</f>
        <v>959550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20754</v>
      </c>
      <c r="F79" s="1673"/>
      <c r="G79" s="1673"/>
      <c r="H79" s="1573"/>
      <c r="I79" s="1582"/>
      <c r="J79" s="1582"/>
      <c r="K79" s="1672">
        <f t="shared" si="11"/>
        <v>20754</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v>30000</v>
      </c>
    </row>
    <row r="84" spans="1:12" ht="13.5" thickBot="1" x14ac:dyDescent="0.25">
      <c r="A84" s="1380" t="s">
        <v>1468</v>
      </c>
      <c r="B84" s="1385">
        <v>4100</v>
      </c>
      <c r="C84" s="1673"/>
      <c r="D84" s="1673"/>
      <c r="E84" s="1674">
        <f>SUM(E78:E83)</f>
        <v>20754</v>
      </c>
      <c r="F84" s="1673"/>
      <c r="G84" s="1673"/>
      <c r="H84" s="1674">
        <f>SUM(H78:H83)</f>
        <v>0</v>
      </c>
      <c r="I84" s="1582"/>
      <c r="J84" s="1582"/>
      <c r="K84" s="1674">
        <f>SUM(K78:K83)</f>
        <v>20754</v>
      </c>
      <c r="L84" s="1674">
        <f>SUM(L78:L83)</f>
        <v>30000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20754</v>
      </c>
      <c r="F102" s="1673"/>
      <c r="G102" s="1673"/>
      <c r="H102" s="1681">
        <f>SUM(H84,H92,H100,H101)</f>
        <v>0</v>
      </c>
      <c r="I102" s="1582"/>
      <c r="J102" s="1582"/>
      <c r="K102" s="1681">
        <f>SUM(K84,K92,K100,K101)</f>
        <v>20754</v>
      </c>
      <c r="L102" s="1681">
        <f>SUM(L84,L92,L100,L101)</f>
        <v>30000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v>
      </c>
      <c r="M113" s="502"/>
      <c r="N113" s="502"/>
    </row>
    <row r="114" spans="1:14" ht="12.75" customHeight="1" thickTop="1" thickBot="1" x14ac:dyDescent="0.25">
      <c r="A114" s="1380" t="s">
        <v>48</v>
      </c>
      <c r="B114" s="1388"/>
      <c r="C114" s="1674">
        <f>SUM(C33,C74,C75,C102,C112,C113)</f>
        <v>699508</v>
      </c>
      <c r="D114" s="1674">
        <f t="shared" ref="D114:K114" si="13">SUM(D33,D74,D75,D102,D112,D113)</f>
        <v>106397</v>
      </c>
      <c r="E114" s="1674">
        <f t="shared" si="13"/>
        <v>143815</v>
      </c>
      <c r="F114" s="1674">
        <f t="shared" si="13"/>
        <v>10456</v>
      </c>
      <c r="G114" s="1674">
        <f t="shared" si="13"/>
        <v>0</v>
      </c>
      <c r="H114" s="1674">
        <f>SUM(H33,H74,H75,H102,H112,H113)</f>
        <v>1271</v>
      </c>
      <c r="I114" s="1674">
        <f t="shared" si="13"/>
        <v>0</v>
      </c>
      <c r="J114" s="1674">
        <f t="shared" si="13"/>
        <v>0</v>
      </c>
      <c r="K114" s="1674">
        <f t="shared" si="13"/>
        <v>961447</v>
      </c>
      <c r="L114" s="1674">
        <f>SUM(L33,L74,L75,L102,L112,L113)</f>
        <v>999550</v>
      </c>
    </row>
    <row r="115" spans="1:14" ht="13.5" thickTop="1" x14ac:dyDescent="0.2">
      <c r="A115" s="2264" t="s">
        <v>989</v>
      </c>
      <c r="B115" s="2265"/>
      <c r="C115" s="1675"/>
      <c r="D115" s="1675"/>
      <c r="E115" s="1675"/>
      <c r="F115" s="1675"/>
      <c r="G115" s="1675"/>
      <c r="H115" s="1675"/>
      <c r="I115" s="1675"/>
      <c r="J115" s="1675"/>
      <c r="K115" s="1689">
        <f>'Revenues 9-14'!C268-'Expenditures 15-22'!K114</f>
        <v>-203766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3164</v>
      </c>
      <c r="F124" s="1573"/>
      <c r="G124" s="1573"/>
      <c r="H124" s="1573"/>
      <c r="I124" s="1574"/>
      <c r="J124" s="1574"/>
      <c r="K124" s="1674">
        <f>SUM(C124:J124)</f>
        <v>3164</v>
      </c>
      <c r="L124" s="1573">
        <v>4000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3164</v>
      </c>
      <c r="F127" s="1674">
        <f t="shared" si="14"/>
        <v>0</v>
      </c>
      <c r="G127" s="1674">
        <f t="shared" si="14"/>
        <v>0</v>
      </c>
      <c r="H127" s="1674">
        <f t="shared" si="14"/>
        <v>0</v>
      </c>
      <c r="I127" s="1674">
        <f t="shared" si="14"/>
        <v>0</v>
      </c>
      <c r="J127" s="1674">
        <f t="shared" si="14"/>
        <v>0</v>
      </c>
      <c r="K127" s="1674">
        <f t="shared" si="14"/>
        <v>3164</v>
      </c>
      <c r="L127" s="1674">
        <f t="shared" si="14"/>
        <v>4000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3164</v>
      </c>
      <c r="F129" s="1681">
        <f t="shared" si="15"/>
        <v>0</v>
      </c>
      <c r="G129" s="1681">
        <f t="shared" si="15"/>
        <v>0</v>
      </c>
      <c r="H129" s="1681">
        <f t="shared" si="15"/>
        <v>0</v>
      </c>
      <c r="I129" s="1681">
        <f t="shared" si="15"/>
        <v>0</v>
      </c>
      <c r="J129" s="1681">
        <f t="shared" si="15"/>
        <v>0</v>
      </c>
      <c r="K129" s="1681">
        <f t="shared" si="15"/>
        <v>3164</v>
      </c>
      <c r="L129" s="1681">
        <f t="shared" si="15"/>
        <v>4000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1" t="s">
        <v>616</v>
      </c>
      <c r="B151" s="2261"/>
      <c r="C151" s="1674">
        <f>SUM(C129,C130,C139,C149,C150)</f>
        <v>0</v>
      </c>
      <c r="D151" s="1674">
        <f t="shared" ref="D151:K151" si="16">SUM(D129,D130,D139,D149,D150)</f>
        <v>0</v>
      </c>
      <c r="E151" s="1674">
        <f t="shared" si="16"/>
        <v>3164</v>
      </c>
      <c r="F151" s="1674">
        <f t="shared" si="16"/>
        <v>0</v>
      </c>
      <c r="G151" s="1674">
        <f t="shared" si="16"/>
        <v>0</v>
      </c>
      <c r="H151" s="1674">
        <f t="shared" si="16"/>
        <v>0</v>
      </c>
      <c r="I151" s="1674">
        <f t="shared" si="16"/>
        <v>0</v>
      </c>
      <c r="J151" s="1674">
        <f t="shared" si="16"/>
        <v>0</v>
      </c>
      <c r="K151" s="1674">
        <f t="shared" si="16"/>
        <v>3164</v>
      </c>
      <c r="L151" s="1674">
        <f>SUM(L129,L130,L139,L149,L150)</f>
        <v>4000</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836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4" t="s">
        <v>989</v>
      </c>
      <c r="B175" s="2265"/>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4" t="s">
        <v>989</v>
      </c>
      <c r="B211" s="2265"/>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2" t="s">
        <v>502</v>
      </c>
      <c r="B295" s="2283"/>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4" t="s">
        <v>989</v>
      </c>
      <c r="B296" s="2265"/>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9" t="s">
        <v>275</v>
      </c>
      <c r="B312" s="2280"/>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4" t="s">
        <v>989</v>
      </c>
      <c r="B368" s="226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purl.org/dc/dcmitype/"/>
    <ds:schemaRef ds:uri="http://purl.org/dc/elements/1.1/"/>
    <ds:schemaRef ds:uri="http://schemas.microsoft.com/sharepoint/v3"/>
    <ds:schemaRef ds:uri="4d435f69-8686-490b-bd6d-b153bf22ab50"/>
    <ds:schemaRef ds:uri="http://schemas.microsoft.com/office/2006/metadata/properties"/>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2020-09-24T12:17:47Z</cp:lastPrinted>
  <dcterms:created xsi:type="dcterms:W3CDTF">2003-10-29T19:06:34Z</dcterms:created>
  <dcterms:modified xsi:type="dcterms:W3CDTF">2020-11-17T17:15:41Z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