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F80F7D1-5CBC-4731-92BA-B393474C675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9" i="127"/>
  <c r="B70"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<sst xmlns="http://schemas.openxmlformats.org/spreadsheetml/2006/main" count="5136" uniqueCount="2075">
  <si>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</si>
  <si>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</si>
  <si>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</si>
  <si>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</si>
  <si>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</si>
  <si>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</si>
  <si>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</si>
  <si>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</si>
  <si>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</si>
  <si>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</si>
  <si>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</si>
  <si>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</si>
  <si>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</si>
  <si>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</si>
  <si>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</si>
  <si>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</si>
  <si>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</si>
  <si>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</si>
  <si>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</si>
  <si>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</si>
  <si>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</si>
  <si>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</si>
  <si>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</si>
  <si>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</si>
  <si>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</si>
  <si>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</si>
  <si>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</si>
  <si>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</si>
  <si>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</si>
  <si>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</si>
  <si>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</si>
  <si>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</si>
  <si>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</si>
  <si>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</si>
  <si>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</si>
  <si>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</si>
  <si>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</si>
  <si>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</si>
  <si>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</si>
  <si>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</si>
  <si>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</si>
  <si>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</si>
  <si>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</si>
  <si>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</si>
  <si>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</si>
  <si>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</si>
  <si>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</si>
  <si>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</si>
  <si>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</si>
  <si>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</si>
  <si>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</si>
  <si>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</si>
  <si>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</si>
  <si>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</si>
  <si>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</si>
  <si>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</si>
  <si>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</si>
  <si>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</si>
  <si>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</si>
  <si>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</si>
  <si>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</si>
  <si>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</si>
  <si>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</si>
  <si>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</si>
  <si>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</si>
  <si>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</si>
  <si>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</si>
  <si>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</si>
  <si>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</si>
  <si>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</si>
  <si>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</si>
  <si>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</si>
  <si>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</si>
  <si>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</si>
  <si>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</si>
  <si>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</si>
  <si>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</si>
  <si>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</si>
  <si>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</si>
  <si>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</si>
  <si>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</si>
  <si>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</si>
  <si>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</si>
  <si>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</si>
  <si>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</si>
  <si>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</si>
  <si>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</si>
  <si>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</si>
  <si>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</si>
  <si>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</si>
  <si>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</si>
  <si>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</si>
  <si>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</si>
  <si>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</si>
  <si>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</si>
  <si>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</si>
  <si>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</si>
  <si>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</si>
  <si>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</si>
  <si>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</si>
  <si>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</si>
  <si>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</si>
  <si>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</si>
  <si>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</si>
  <si>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</si>
  <si>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</si>
  <si>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</si>
  <si>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</si>
  <si>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</si>
  <si>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</si>
  <si>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</si>
  <si>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</si>
  <si>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</si>
  <si>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</si>
  <si>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</si>
  <si>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</si>
  <si>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</si>
  <si>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</si>
  <si>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</si>
  <si>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</si>
  <si>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</si>
  <si>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</si>
  <si>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</si>
  <si>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</si>
  <si>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</si>
  <si>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</si>
  <si>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</si>
  <si>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</si>
  <si>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</si>
  <si>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</si>
  <si>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</si>
  <si>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</si>
  <si>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</si>
  <si>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</si>
  <si>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</si>
  <si>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</si>
  <si>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</si>
  <si>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</si>
  <si>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</si>
  <si>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</si>
  <si>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</si>
  <si>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</si>
  <si>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</si>
  <si>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</si>
  <si>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</si>
  <si>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</si>
  <si>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</si>
  <si>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</si>
  <si>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</si>
  <si>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</si>
  <si>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</si>
  <si>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</si>
  <si>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</si>
  <si>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</si>
  <si>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</si>
  <si>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</si>
  <si>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</si>
  <si>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</si>
  <si>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</si>
  <si>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</si>
  <si>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</si>
  <si>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</si>
  <si>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</si>
  <si>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</si>
  <si>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</si>
  <si>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</si>
  <si>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</si>
  <si>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</si>
  <si>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</si>
  <si>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</si>
  <si>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</si>
  <si>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</si>
  <si>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</si>
  <si>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</si>
  <si>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</si>
  <si>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</si>
  <si>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</si>
  <si>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</si>
  <si>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</si>
  <si>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</si>
  <si>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</si>
  <si>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</si>
  <si>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</si>
  <si>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</si>
  <si>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</si>
  <si>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</si>
  <si>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</si>
  <si>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</si>
  <si>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</si>
  <si>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</si>
  <si>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</si>
  <si>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</si>
  <si>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</si>
  <si>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</si>
  <si>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</si>
  <si>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</si>
  <si>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</si>
  <si>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</si>
  <si>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</si>
  <si>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</si>
  <si>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</si>
  <si>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</si>
  <si>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</si>
  <si>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</si>
  <si>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</si>
  <si>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</si>
  <si>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</si>
  <si>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</si>
  <si>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</si>
  <si>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</si>
  <si>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</si>
  <si>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</si>
  <si>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</si>
  <si>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</si>
  <si>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</si>
  <si>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</si>
  <si>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</si>
  <si>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</si>
  <si>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</si>
  <si>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</si>
  <si>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</si>
  <si>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</si>
  <si>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</si>
  <si>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</si>
  <si>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</si>
  <si>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</si>
  <si>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</si>
  <si>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</si>
  <si>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</si>
  <si>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</si>
  <si>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</si>
  <si>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</si>
  <si>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</si>
  <si>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</si>
  <si>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</si>
  <si>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</si>
  <si>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</si>
  <si>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</si>
  <si>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</si>
  <si>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</si>
  <si>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</si>
  <si>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</si>
  <si>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</si>
  <si>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</si>
  <si>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</si>
  <si>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</si>
  <si>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</si>
  <si>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</si>
  <si>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</si>
  <si>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</si>
  <si>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</si>
  <si>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</si>
  <si>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</si>
  <si>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</si>
  <si>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</si>
  <si>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</si>
  <si>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</si>
  <si>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</si>
  <si>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</si>
  <si>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</si>
  <si>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</si>
  <si>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</si>
  <si>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</si>
  <si>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</si>
  <si>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</si>
  <si>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</si>
  <si>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</si>
  <si>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</si>
  <si>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</si>
  <si>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</si>
  <si>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</si>
  <si>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</si>
  <si>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</si>
  <si>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</si>
  <si>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</si>
  <si>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</si>
  <si>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</si>
  <si>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</si>
  <si>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</si>
  <si>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</si>
  <si>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</si>
  <si>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</si>
  <si>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</si>
  <si>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</si>
  <si>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</si>
  <si>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</si>
  <si>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</si>
  <si>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</si>
  <si>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</si>
  <si>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</si>
  <si>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</si>
  <si>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</si>
  <si>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</si>
  <si>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</si>
  <si>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</si>
  <si>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</si>
  <si>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</si>
  <si>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</si>
  <si>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</si>
  <si>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</si>
  <si>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</si>
  <si>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</si>
  <si>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</si>
  <si>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</si>
  <si>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</si>
  <si>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</si>
  <si>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</si>
  <si>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</si>
  <si>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</si>
  <si>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</si>
  <si>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</si>
  <si>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</si>
  <si>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</si>
  <si>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</si>
  <si>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</si>
  <si>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</si>
  <si>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</si>
  <si>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</si>
  <si>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</si>
  <si>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</si>
  <si>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</si>
  <si>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</si>
  <si>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</si>
  <si>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</si>
  <si>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</si>
  <si>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</si>
  <si>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</si>
  <si>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</si>
  <si>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</si>
  <si>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</si>
  <si>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</si>
  <si>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</si>
  <si>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</si>
  <si>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</si>
  <si>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</si>
  <si>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</si>
  <si>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</si>
  <si>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</si>
  <si>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</si>
  <si>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</si>
  <si>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</si>
  <si>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</si>
  <si>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</si>
  <si>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</si>
  <si>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</si>
  <si>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</si>
  <si>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</si>
  <si>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</si>
  <si>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</si>
  <si>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</si>
  <si>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</si>
  <si>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</si>
  <si>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</si>
  <si>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</si>
  <si>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</si>
  <si>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</si>
  <si>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</si>
  <si>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</si>
  <si>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</si>
  <si>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</si>
  <si>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</si>
  <si>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</si>
  <si>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</si>
  <si>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</si>
  <si>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</si>
  <si>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</si>
  <si>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</si>
  <si>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</si>
  <si>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</si>
  <si>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</si>
  <si>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</si>
  <si>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</si>
  <si>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</si>
  <si>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</si>
  <si>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</si>
  <si>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</si>
  <si>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</si>
  <si>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</si>
  <si>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</si>
  <si>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</si>
  <si>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</si>
  <si>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</si>
  <si>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</si>
  <si>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</si>
  <si>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</si>
  <si>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</si>
  <si>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</si>
  <si>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</si>
  <si>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</si>
  <si>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</si>
  <si>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</si>
  <si>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</si>
  <si>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</si>
  <si>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</si>
  <si>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</si>
  <si>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</si>
  <si>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</si>
  <si>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</si>
  <si>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</si>
  <si>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</si>
  <si>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</si>
  <si>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</si>
  <si>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</si>
  <si>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</si>
  <si>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</si>
  <si>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</si>
  <si>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</si>
  <si>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</si>
  <si>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</si>
  <si>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</si>
  <si>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</si>
  <si>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</si>
  <si>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</si>
  <si>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</si>
  <si>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</si>
  <si>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</si>
  <si>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</si>
  <si>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</si>
  <si>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</si>
  <si>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</si>
  <si>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</si>
  <si>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</si>
  <si>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</si>
  <si>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</si>
  <si>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</si>
  <si>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</si>
  <si>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</si>
  <si>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</si>
  <si>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</si>
  <si>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</si>
  <si>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</si>
  <si>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</si>
  <si>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</si>
  <si>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</si>
  <si>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</si>
  <si>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</si>
  <si>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</si>
  <si>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</si>
  <si>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</si>
  <si>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</si>
  <si>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</si>
  <si>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</si>
  <si>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</si>
  <si>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</si>
  <si>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</si>
  <si>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</si>
  <si>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</si>
  <si>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</si>
  <si>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</si>
  <si>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</si>
  <si>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</si>
  <si>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</si>
  <si>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</si>
  <si>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</si>
  <si>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</si>
  <si>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</si>
  <si>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</si>
  <si>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</si>
  <si>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</si>
  <si>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</si>
  <si>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</si>
  <si>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</si>
  <si>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</si>
  <si>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</si>
  <si>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</si>
  <si>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</si>
  <si>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</si>
  <si>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</si>
  <si>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</si>
  <si>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</si>
  <si>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</si>
  <si>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</si>
  <si>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</si>
  <si>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</si>
  <si>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</si>
  <si>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</si>
  <si>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</si>
  <si>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</si>
  <si>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</si>
  <si>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</si>
  <si>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</si>
  <si>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</si>
  <si>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</si>
  <si>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</si>
  <si>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</si>
  <si>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</si>
  <si>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</si>
  <si>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</si>
  <si>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</si>
  <si>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</si>
  <si>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</si>
  <si>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</si>
  <si>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</si>
  <si>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</si>
  <si>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</si>
  <si>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</si>
  <si>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</si>
  <si>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</si>
  <si>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</si>
  <si>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</si>
  <si>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</si>
  <si>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</si>
  <si>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</si>
  <si>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</si>
  <si>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</si>
  <si>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</si>
  <si>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</si>
  <si>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</si>
  <si>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</si>
  <si>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</si>
  <si>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</si>
  <si>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</si>
  <si>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</si>
  <si>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</si>
  <si>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</si>
  <si>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</si>
  <si>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</si>
  <si>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</si>
  <si>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</si>
  <si>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</si>
  <si>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</si>
  <si>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</si>
  <si>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</si>
  <si>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</si>
  <si>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</si>
  <si>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</si>
  <si>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</si>
  <si>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</si>
  <si>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</si>
  <si>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</si>
  <si>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</si>
  <si>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</si>
  <si>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</si>
  <si>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</si>
  <si>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</si>
  <si>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</si>
  <si>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</si>
  <si>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</si>
  <si>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</si>
  <si>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</si>
  <si>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</si>
  <si>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</si>
  <si>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</si>
  <si>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</si>
  <si>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</si>
  <si>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</si>
  <si>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</si>
  <si>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</si>
  <si>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</si>
  <si>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</si>
  <si>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</si>
  <si>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</si>
  <si>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</si>
  <si>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</si>
  <si>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</si>
  <si>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</si>
  <si>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</si>
  <si>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</si>
  <si>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</si>
  <si>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</si>
  <si>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</si>
  <si>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</si>
  <si>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</si>
  <si>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</si>
  <si>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</si>
  <si>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</si>
  <si>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</si>
  <si>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</si>
  <si>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</si>
  <si>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</si>
  <si>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</si>
  <si>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</si>
  <si>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</si>
  <si>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</si>
  <si>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</si>
  <si>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</si>
  <si>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</si>
  <si>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</si>
  <si>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</si>
  <si>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</si>
  <si>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</si>
  <si>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</si>
  <si>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</si>
  <si>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</si>
  <si>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</si>
  <si>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</si>
  <si>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</si>
  <si>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</si>
  <si>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</si>
  <si>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</si>
  <si>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</si>
  <si>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</si>
  <si>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</si>
  <si>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</si>
  <si>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</si>
  <si>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</si>
  <si>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</si>
  <si>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</si>
  <si>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</si>
  <si>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</si>
  <si>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</si>
  <si>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</si>
  <si>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</si>
  <si>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</si>
  <si>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</si>
  <si>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</si>
  <si>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</si>
  <si>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</si>
  <si>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</si>
  <si>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</si>
  <si>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</si>
  <si>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</si>
  <si>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</si>
  <si>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</si>
  <si>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</si>
  <si>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</si>
  <si>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</si>
  <si>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</si>
  <si>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</si>
  <si>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</si>
  <si>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</si>
  <si>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</si>
  <si>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</si>
  <si>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</si>
  <si>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</si>
  <si>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</si>
  <si>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</si>
  <si>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</si>
  <si>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</si>
  <si>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</si>
  <si>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</si>
  <si>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</si>
  <si>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</si>
  <si>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</si>
  <si>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</si>
  <si>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</si>
  <si>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</si>
  <si>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</si>
  <si>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</si>
  <si>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</si>
  <si>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</si>
  <si>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</si>
  <si>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</si>
  <si>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</si>
  <si>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</si>
  <si>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</si>
  <si>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</si>
  <si>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</si>
  <si>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</si>
  <si>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</si>
  <si>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</si>
  <si>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</si>
  <si>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</si>
  <si>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</si>
  <si>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</si>
  <si>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</si>
  <si>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</si>
  <si>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</si>
  <si>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</si>
  <si>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</si>
  <si>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</si>
  <si>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</si>
  <si>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</si>
  <si>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</si>
  <si>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</si>
  <si>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</si>
  <si>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</si>
  <si>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</si>
  <si>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</si>
  <si>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</si>
  <si>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</si>
  <si>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</si>
  <si>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</si>
  <si>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</si>
  <si>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</si>
  <si>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</si>
  <si>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</si>
  <si>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</si>
  <si>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</si>
  <si>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</si>
  <si>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</si>
  <si>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</si>
  <si>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</si>
  <si>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</si>
  <si>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</si>
  <si>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</si>
  <si>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</si>
  <si>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</si>
  <si>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</si>
  <si>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</si>
  <si>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</si>
  <si>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</si>
  <si>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</si>
  <si>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</si>
  <si>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</si>
  <si>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</si>
  <si>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</si>
  <si>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</si>
  <si>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</si>
  <si>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</si>
  <si>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</si>
  <si>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</si>
  <si>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</si>
  <si>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</si>
  <si>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</si>
  <si>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</si>
  <si>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</si>
  <si>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</si>
  <si>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</si>
  <si>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</si>
  <si>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</si>
  <si>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</si>
  <si>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</si>
  <si>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</si>
  <si>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</si>
  <si>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</si>
  <si>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</si>
  <si>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</si>
  <si>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</si>
  <si>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</si>
  <si>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</si>
  <si>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</si>
  <si>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</si>
  <si>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</si>
  <si>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</si>
  <si>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</si>
  <si>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</si>
  <si>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</si>
  <si>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</si>
  <si>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</si>
  <si>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</si>
  <si>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</si>
  <si>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</si>
  <si>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</si>
  <si>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</si>
  <si>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</si>
  <si>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</si>
  <si>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</si>
  <si>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</si>
  <si>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</si>
  <si>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</si>
  <si>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</si>
  <si>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</si>
  <si>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</si>
  <si>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</si>
  <si>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</si>
  <si>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</si>
  <si>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</si>
  <si>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</si>
  <si>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</si>
  <si>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</si>
  <si>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</si>
  <si>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</si>
  <si>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</si>
  <si>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</si>
  <si>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</si>
  <si>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</si>
  <si>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</si>
  <si>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</si>
  <si>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</si>
  <si>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</si>
  <si>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</si>
  <si>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</si>
  <si>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</si>
  <si>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</si>
  <si>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</si>
  <si>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</si>
  <si>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</si>
  <si>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</si>
  <si>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</si>
  <si>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</si>
  <si>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</si>
  <si>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</si>
  <si>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</si>
  <si>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</si>
  <si>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</si>
  <si>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</si>
  <si>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</si>
  <si>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</si>
  <si>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</si>
  <si>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</si>
  <si>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</si>
  <si>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</si>
  <si>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</si>
  <si>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</si>
  <si>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</si>
  <si>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</si>
  <si>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</si>
  <si>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</si>
  <si>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</si>
  <si>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</si>
  <si>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</si>
  <si>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</si>
  <si>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</si>
  <si>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</si>
  <si>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</si>
  <si>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</si>
  <si>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</si>
  <si>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</si>
  <si>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</si>
  <si>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</si>
  <si>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</si>
  <si>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</si>
  <si>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</si>
  <si>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</si>
  <si>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</si>
  <si>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</si>
  <si>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</si>
  <si>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</si>
  <si>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</si>
  <si>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</si>
  <si>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</si>
  <si>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</si>
  <si>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</si>
  <si>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</si>
  <si>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</si>
  <si>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</si>
  <si>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</si>
  <si>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</si>
  <si>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</si>
  <si>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</si>
  <si>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</si>
  <si>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</si>
  <si>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</si>
  <si>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</si>
  <si>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</si>
  <si>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</si>
  <si>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</si>
  <si>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</si>
  <si>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</si>
  <si>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</si>
  <si>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</si>
  <si>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</si>
  <si>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</si>
  <si>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</si>
  <si>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</si>
  <si>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</si>
  <si>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</si>
  <si>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</si>
  <si>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</si>
  <si>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</si>
  <si>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</si>
  <si>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</si>
  <si>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</si>
  <si>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</si>
  <si>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</si>
  <si>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</si>
  <si>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</si>
  <si>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</si>
  <si>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</si>
  <si>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</si>
  <si>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</si>
  <si>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</si>
  <si>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</si>
  <si>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</si>
  <si>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</si>
  <si>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</si>
  <si>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</si>
  <si>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</si>
  <si>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</si>
  <si>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</si>
  <si>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</si>
  <si>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</si>
  <si>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</si>
  <si>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</si>
  <si>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</si>
  <si>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</si>
  <si>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</si>
  <si>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</si>
  <si>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</si>
  <si>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</si>
  <si>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</si>
  <si>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</si>
  <si>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</si>
  <si>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</si>
  <si>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</si>
  <si>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</si>
  <si>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</si>
  <si>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</si>
  <si>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</si>
  <si>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</si>
  <si>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</si>
  <si>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</si>
  <si>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</si>
  <si>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</si>
  <si>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</si>
  <si>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</si>
  <si>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</si>
  <si>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</si>
  <si>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</si>
  <si>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</si>
  <si>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</si>
  <si>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</si>
  <si>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</si>
  <si>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</si>
  <si>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</si>
  <si>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</si>
  <si>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</si>
  <si>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</si>
  <si>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</si>
  <si>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</si>
  <si>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</si>
  <si>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</si>
  <si>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</si>
  <si>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</si>
  <si>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</si>
  <si>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</si>
  <si>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</si>
  <si>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</si>
  <si>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</si>
  <si>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</si>
  <si>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</si>
  <si>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</si>
  <si>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</si>
  <si>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</si>
  <si>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</si>
  <si>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</si>
  <si>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</si>
  <si>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</si>
  <si>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</si>
  <si>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</si>
  <si>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</si>
  <si>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</si>
  <si>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</si>
  <si>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</si>
  <si>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</si>
  <si>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</si>
  <si>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</si>
  <si>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</si>
  <si>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</si>
  <si>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</si>
  <si>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</si>
  <si>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</si>
  <si>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</si>
  <si>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</si>
  <si>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</si>
  <si>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</si>
  <si>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</si>
  <si>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</si>
  <si>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</si>
  <si>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</si>
  <si>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</si>
  <si>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</si>
  <si>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</si>
  <si>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</si>
  <si>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</si>
  <si>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</si>
  <si>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</si>
  <si>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</si>
  <si>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</si>
  <si>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</si>
  <si>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</si>
  <si>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</si>
  <si>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</si>
  <si>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</si>
  <si>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</si>
  <si>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</si>
  <si>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</si>
  <si>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</si>
  <si>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</si>
  <si>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</si>
  <si>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</si>
  <si>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</si>
  <si>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</si>
  <si>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</si>
  <si>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</si>
  <si>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</si>
  <si>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</si>
  <si>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</si>
  <si>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</si>
  <si>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</si>
  <si>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</si>
  <si>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</si>
  <si>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</si>
  <si>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</si>
  <si>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</si>
  <si>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</si>
  <si>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</si>
  <si>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</si>
  <si>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</si>
  <si>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</si>
  <si>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</si>
  <si>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</si>
  <si>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</si>
  <si>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</si>
  <si>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</si>
  <si>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</si>
  <si>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</si>
  <si>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</si>
  <si>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</si>
  <si>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</si>
  <si>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</si>
  <si>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</si>
  <si>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</si>
  <si>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</si>
  <si>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</si>
  <si>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</si>
  <si>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</si>
  <si>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</si>
  <si>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</si>
  <si>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</si>
  <si>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</si>
  <si>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</si>
  <si>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</si>
  <si>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</si>
  <si>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</si>
  <si>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</si>
  <si>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</si>
  <si>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</si>
  <si>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</si>
  <si>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</si>
  <si>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</si>
  <si>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</si>
  <si>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</si>
  <si>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</si>
  <si>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</si>
  <si>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</si>
  <si>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</si>
  <si>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</si>
  <si>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</si>
  <si>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</si>
  <si>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</si>
  <si>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</si>
  <si>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</si>
  <si>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</si>
  <si>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</si>
  <si>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</si>
  <si>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</si>
  <si>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</si>
  <si>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</si>
  <si>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</si>
  <si>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</si>
  <si>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</si>
  <si>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</si>
  <si>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</si>
  <si>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</si>
  <si>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</si>
  <si>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</si>
  <si>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</si>
  <si>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</si>
  <si>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</si>
  <si>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</si>
  <si>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</si>
  <si>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</si>
  <si>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</si>
  <si>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</si>
  <si>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</si>
  <si>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</si>
  <si>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</si>
  <si>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</si>
  <si>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</si>
  <si>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</si>
  <si>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</si>
  <si>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</si>
  <si>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</si>
  <si>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</si>
  <si>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</si>
  <si>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</si>
  <si>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</si>
  <si>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</si>
  <si>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</si>
  <si>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</si>
  <si>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</si>
  <si>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</si>
  <si>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</si>
  <si>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</si>
  <si>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</si>
  <si>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</si>
  <si>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</si>
  <si>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</si>
  <si>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</si>
  <si>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</si>
  <si>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</si>
  <si>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</si>
  <si>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</si>
  <si>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</si>
  <si>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</si>
  <si>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</si>
  <si>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</si>
  <si>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</si>
  <si>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</si>
  <si>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</si>
  <si>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</si>
  <si>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</si>
  <si>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</si>
  <si>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</si>
  <si>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</si>
  <si>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</si>
  <si>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</si>
  <si>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</si>
  <si>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</si>
  <si>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</si>
  <si>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</si>
  <si>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</si>
  <si>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</si>
  <si>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</si>
  <si>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</si>
  <si>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</si>
  <si>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</si>
  <si>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</si>
  <si>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</si>
  <si>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</si>
  <si>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</si>
  <si>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</si>
  <si>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</si>
  <si>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</si>
  <si>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</si>
  <si>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</si>
  <si>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</si>
  <si>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</si>
  <si>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</si>
  <si>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</si>
  <si>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</si>
  <si>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</si>
  <si>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</si>
  <si>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</si>
  <si>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</si>
  <si>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</si>
  <si>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</si>
  <si>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</si>
  <si>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</si>
  <si>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</si>
  <si>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</si>
  <si>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</si>
  <si>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</si>
  <si>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</si>
  <si>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</si>
  <si>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</si>
  <si>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</si>
  <si>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</si>
  <si>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</si>
  <si>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</si>
  <si>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</si>
  <si>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</si>
  <si>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</si>
  <si>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</si>
  <si>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</si>
  <si>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</si>
  <si>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</si>
  <si>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</si>
  <si>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</si>
  <si>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</si>
  <si>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</si>
  <si>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</si>
  <si>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</si>
  <si>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</si>
  <si>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</si>
  <si>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</si>
  <si>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</si>
  <si>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</si>
  <si>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</si>
  <si>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</si>
  <si>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</si>
  <si>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</si>
  <si>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</si>
  <si>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</si>
  <si>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</si>
  <si>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</si>
  <si>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</si>
  <si>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</si>
  <si>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</si>
  <si>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</si>
  <si>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</si>
  <si>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</si>
  <si>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</si>
  <si>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</si>
  <si>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</si>
  <si>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</si>
  <si>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</si>
  <si>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</si>
  <si>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</si>
  <si>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</si>
  <si>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</si>
  <si>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</si>
  <si>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</si>
  <si>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</si>
  <si>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</si>
  <si>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</si>
  <si>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</si>
  <si>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</si>
  <si>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</si>
  <si>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</si>
  <si>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</si>
  <si>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</si>
  <si>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</si>
  <si>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</si>
  <si>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</si>
  <si>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</si>
  <si>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</si>
  <si>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</si>
  <si>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</si>
  <si>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</si>
  <si>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</si>
  <si>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</si>
  <si>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</si>
  <si>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</si>
  <si>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</si>
  <si>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</si>
  <si>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</si>
  <si>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</si>
  <si>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</si>
  <si>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</si>
  <si>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</si>
  <si>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</si>
  <si>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</si>
  <si>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</si>
  <si>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</si>
  <si>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</si>
  <si>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</si>
  <si>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</si>
  <si>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</si>
  <si>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</si>
  <si>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</si>
  <si>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</si>
  <si>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</si>
  <si>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</si>
  <si>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</si>
  <si>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</si>
  <si>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</si>
  <si>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</si>
  <si>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</si>
  <si>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</si>
  <si>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</si>
  <si>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</si>
  <si>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</si>
  <si>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</si>
  <si>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</si>
  <si>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</si>
  <si>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</si>
  <si>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</si>
  <si>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</si>
  <si>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</si>
  <si>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</si>
  <si>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</si>
  <si>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</si>
  <si>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</si>
  <si>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</si>
  <si>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</si>
  <si>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</si>
  <si>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</si>
  <si>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</si>
  <si>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</si>
  <si>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</si>
  <si>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</si>
  <si>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</si>
  <si>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</si>
  <si>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</si>
  <si>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</si>
  <si>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</si>
  <si>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</si>
  <si>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</si>
  <si>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</si>
  <si>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</si>
  <si>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</si>
  <si>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</si>
  <si>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</si>
  <si>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</si>
  <si>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</si>
  <si>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</si>
  <si>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</si>
  <si>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</si>
  <si>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</si>
  <si>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</si>
  <si>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</si>
  <si>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</si>
  <si>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</si>
  <si>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</si>
  <si>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</si>
  <si>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</si>
  <si>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</si>
  <si>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</si>
  <si>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</si>
  <si>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</si>
  <si>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</si>
  <si>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</si>
  <si>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</si>
  <si>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</si>
  <si>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</si>
  <si>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</si>
  <si>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</si>
  <si>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</si>
  <si>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</si>
  <si>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</si>
  <si>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</si>
  <si>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</si>
  <si>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</si>
  <si>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</si>
  <si>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</si>
  <si>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</si>
  <si>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</si>
  <si>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</si>
  <si>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</si>
  <si>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</si>
  <si>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</si>
  <si>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</si>
  <si>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</si>
  <si>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</si>
  <si>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</si>
  <si>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</si>
  <si>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</si>
  <si>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</si>
  <si>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</si>
  <si>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</si>
  <si>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</si>
  <si>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</si>
  <si>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</si>
  <si>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</si>
  <si>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</si>
  <si>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</si>
  <si>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</si>
  <si>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</si>
  <si>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</si>
  <si>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</si>
  <si>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</si>
  <si>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</si>
  <si>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</si>
  <si>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</si>
  <si>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</si>
  <si>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</si>
  <si>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</si>
  <si>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</si>
  <si>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</si>
  <si>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</si>
  <si>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</si>
  <si>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</si>
  <si>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</si>
  <si>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</si>
  <si>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</si>
  <si>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</si>
  <si>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</si>
  <si>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</si>
  <si>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</si>
  <si>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</si>
  <si>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</si>
  <si>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</si>
  <si>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</si>
  <si>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</si>
  <si>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</si>
  <si>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</si>
  <si>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</si>
  <si>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</si>
  <si>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</si>
  <si>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</si>
  <si>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</si>
  <si>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</si>
  <si>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</si>
  <si>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</si>
  <si>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</si>
  <si>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</si>
  <si>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</si>
  <si>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</si>
  <si>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</si>
  <si>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</si>
  <si>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</si>
  <si>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</si>
  <si>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</si>
  <si>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</si>
  <si>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</si>
  <si>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</si>
  <si>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</si>
  <si>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</si>
  <si>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</si>
  <si>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</si>
  <si>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</si>
  <si>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</si>
  <si>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</si>
  <si>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</si>
  <si>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</si>
  <si>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</si>
  <si>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</si>
  <si>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</si>
  <si>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</si>
  <si>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</si>
  <si>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</si>
  <si>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</si>
  <si>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</si>
  <si>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</si>
  <si>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</si>
  <si>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</si>
  <si>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</si>
  <si>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</si>
  <si>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</si>
  <si>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</si>
  <si>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</si>
  <si>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</si>
  <si>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</si>
  <si>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</si>
  <si>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</si>
  <si>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</si>
  <si>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</si>
  <si>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</si>
  <si>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</si>
  <si>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</si>
  <si>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</si>
  <si>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</si>
  <si>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</si>
  <si>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</si>
  <si>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</si>
  <si>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</si>
  <si>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</si>
  <si>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</si>
  <si>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</si>
  <si>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</si>
  <si>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</si>
  <si>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</si>
  <si>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</si>
  <si>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</si>
  <si>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</si>
  <si>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</si>
  <si>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</si>
  <si>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</si>
  <si>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</si>
  <si>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</si>
  <si>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</si>
  <si>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</si>
  <si>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</si>
  <si>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</si>
  <si>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</si>
  <si>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</si>
  <si>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</si>
  <si>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</si>
  <si>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</si>
  <si>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</si>
  <si>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</si>
  <si>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</si>
  <si>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</si>
  <si>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</si>
  <si>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</si>
  <si>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</si>
  <si>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</si>
  <si>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</si>
  <si>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</si>
  <si>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</si>
  <si>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</si>
  <si>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</si>
  <si>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</si>
  <si>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</si>
  <si>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</si>
  <si>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</si>
  <si>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</si>
  <si>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</si>
  <si>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</si>
  <si>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</si>
  <si>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</si>
  <si>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</si>
  <si>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</si>
  <si>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</si>
  <si>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</si>
  <si>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</si>
  <si>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</si>
  <si>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</si>
  <si>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</si>
  <si>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</si>
  <si>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</si>
  <si>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</si>
  <si>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</si>
  <si>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</si>
  <si>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</si>
  <si>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</si>
  <si>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</si>
  <si>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</si>
  <si>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</si>
  <si>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</si>
  <si>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</si>
  <si>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</si>
  <si>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</si>
  <si>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</si>
  <si>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</si>
  <si>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</si>
  <si>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</si>
  <si>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</si>
  <si>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</si>
  <si>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</si>
  <si>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</si>
  <si>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</si>
  <si>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</si>
  <si>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</si>
  <si>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</si>
  <si>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</si>
  <si>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</si>
  <si>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</si>
  <si>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</si>
  <si>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</si>
  <si>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</si>
  <si>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</si>
  <si>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</si>
  <si>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</si>
  <si>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</si>
  <si>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</si>
  <si>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</si>
  <si>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</si>
  <si>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</si>
  <si>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</si>
  <si>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</si>
  <si>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</si>
  <si>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</si>
  <si>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</si>
  <si>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</si>
  <si>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</si>
  <si>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</si>
  <si>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</si>
  <si>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</si>
  <si>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</si>
  <si>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</si>
  <si>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</si>
  <si>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</si>
  <si>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</si>
  <si>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</si>
  <si>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</si>
  <si>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</si>
  <si>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</si>
  <si>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</si>
  <si>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</si>
  <si>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</si>
  <si>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</si>
  <si>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</si>
  <si>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</si>
  <si>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</si>
  <si>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</si>
  <si>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</si>
  <si>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</si>
  <si>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</si>
  <si>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</si>
  <si>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</si>
  <si>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</si>
  <si>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</si>
  <si>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</si>
  <si>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</si>
  <si>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</si>
  <si>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</si>
  <si>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</si>
  <si>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</si>
  <si>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</si>
  <si>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</si>
  <si>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</si>
  <si>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</si>
  <si>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</si>
  <si>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</si>
  <si>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</si>
  <si>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</si>
  <si>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</si>
  <si>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</si>
  <si>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</si>
  <si>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</si>
  <si>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</si>
  <si>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</si>
  <si>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</si>
  <si>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</si>
  <si>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</si>
  <si>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</si>
  <si>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</si>
  <si>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</si>
  <si>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</si>
  <si>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</si>
  <si>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</si>
  <si>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</si>
  <si>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</si>
  <si>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</si>
  <si>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</si>
  <si>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</si>
  <si>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</si>
  <si>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</si>
  <si>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</si>
  <si>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</si>
  <si>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</si>
  <si>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</si>
  <si>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</si>
  <si>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</si>
  <si>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</si>
  <si>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</si>
  <si>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</si>
  <si>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</si>
  <si>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</si>
  <si>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</si>
  <si>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</si>
  <si>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</si>
  <si>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</si>
  <si>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</si>
  <si>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</si>
  <si>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</si>
  <si>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</si>
  <si>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</si>
  <si>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</si>
  <si>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</si>
  <si>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</si>
  <si>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</si>
  <si>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</si>
  <si>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</si>
  <si>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</si>
  <si>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</si>
  <si>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</si>
  <si>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</si>
  <si>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</si>
  <si>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</si>
  <si>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</si>
  <si>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</si>
  <si>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</si>
  <si>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</si>
  <si>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</si>
  <si>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</si>
  <si>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</si>
  <si>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</si>
  <si>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</si>
  <si>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</si>
  <si>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</si>
  <si>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</si>
  <si>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</si>
  <si>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</si>
  <si>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</si>
  <si>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</si>
  <si>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</si>
  <si>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</si>
  <si>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</si>
  <si>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</si>
  <si>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</si>
  <si>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</si>
  <si>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</si>
  <si>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</si>
  <si>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</si>
  <si>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</si>
  <si>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</si>
  <si>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</si>
  <si>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</si>
  <si>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</si>
  <si>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</si>
  <si>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</si>
  <si>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</si>
  <si>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</si>
  <si>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</si>
  <si>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</si>
  <si>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</si>
  <si>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</si>
  <si>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</si>
  <si>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</si>
  <si>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</si>
  <si>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</si>
  <si>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</si>
  <si>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</si>
  <si>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</si>
  <si>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</si>
  <si>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</si>
  <si>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</si>
  <si>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</si>
  <si>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</si>
  <si>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</si>
  <si>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</si>
  <si>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</si>
  <si>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</si>
  <si>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</si>
  <si>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</si>
  <si>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</si>
  <si>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</si>
  <si>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</si>
  <si>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</si>
  <si>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</si>
  <si>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</si>
  <si>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</si>
  <si>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</si>
  <si>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</si>
  <si>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</si>
  <si>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</si>
  <si>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</si>
  <si>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</si>
  <si>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</si>
  <si>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</si>
  <si>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</si>
  <si>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</si>
  <si>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</si>
  <si>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</si>
  <si>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</si>
  <si>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</si>
  <si>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</si>
  <si>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</si>
  <si>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</si>
  <si>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</si>
  <si>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</si>
  <si>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</si>
  <si>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</si>
  <si>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</si>
  <si>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</si>
  <si>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</si>
  <si>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</si>
  <si>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</si>
  <si>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</si>
  <si>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</si>
  <si>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</si>
  <si>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</si>
  <si>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</si>
  <si>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</si>
  <si>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</si>
  <si>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</si>
  <si>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</si>
  <si>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</si>
  <si>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</si>
  <si>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</si>
  <si>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</si>
  <si>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</si>
  <si>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</si>
  <si>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</si>
  <si>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</si>
  <si>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</si>
  <si>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</si>
  <si>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</si>
  <si>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</si>
  <si>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</si>
  <si>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</si>
  <si>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</si>
  <si>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</si>
  <si>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</si>
  <si>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</si>
  <si>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</si>
  <si>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</si>
  <si>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</si>
  <si>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</si>
  <si>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</si>
  <si>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</si>
  <si>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</si>
  <si>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</si>
  <si>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</si>
  <si>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</si>
  <si>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</si>
  <si>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</si>
  <si>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</si>
  <si>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</si>
  <si>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</si>
  <si>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</si>
  <si>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</si>
  <si>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</si>
  <si>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</si>
  <si>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</si>
  <si>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</si>
  <si>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</si>
  <si>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</si>
  <si>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</si>
  <si>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</si>
  <si>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</si>
  <si>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</si>
  <si>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</si>
  <si>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</si>
  <si>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</si>
  <si>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</si>
  <si>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</si>
  <si>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</si>
  <si>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</si>
  <si>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</si>
  <si>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</si>
  <si>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</si>
  <si>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</si>
  <si>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</si>
  <si>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</si>
  <si>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</si>
  <si>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</si>
  <si>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</si>
  <si>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</si>
  <si>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</si>
  <si>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</si>
  <si>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</si>
  <si>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</si>
  <si>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</si>
  <si>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</si>
  <si>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</si>
  <si>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</si>
  <si>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</si>
  <si>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</si>
  <si>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</si>
  <si>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</si>
  <si>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</si>
  <si>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</si>
  <si>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</si>
  <si>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</si>
  <si>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</si>
  <si>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</si>
  <si>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</si>
  <si>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</si>
  <si>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</si>
  <si>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</si>
  <si>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</si>
  <si>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</si>
  <si>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</si>
  <si>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</si>
  <si>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</si>
  <si>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</si>
  <si>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</si>
  <si>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</si>
  <si>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</si>
  <si>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</si>
  <si>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</si>
  <si>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</si>
  <si>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</si>
  <si>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</si>
  <si>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</si>
  <si>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</si>
  <si>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</si>
  <si>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</si>
  <si>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</si>
  <si>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</si>
  <si>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</si>
  <si>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</si>
  <si>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</si>
  <si>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</si>
  <si>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</si>
  <si>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</si>
  <si>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</si>
  <si>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</si>
  <si>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</si>
  <si>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</si>
  <si>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</si>
  <si>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</si>
  <si>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</si>
  <si>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</si>
  <si>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</si>
  <si>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</si>
  <si>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</si>
  <si>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</si>
  <si>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</si>
  <si>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</si>
  <si>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</si>
  <si>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</si>
  <si>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</si>
  <si>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</si>
  <si>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</si>
  <si>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</si>
  <si>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</si>
  <si>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</si>
  <si>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</si>
  <si>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</si>
  <si>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</si>
  <si>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</si>
  <si>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</si>
  <si>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</si>
  <si>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</si>
  <si>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</si>
  <si>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</si>
  <si>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</si>
  <si>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</si>
  <si>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</si>
  <si>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</si>
  <si>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</si>
  <si>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</si>
  <si>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</si>
  <si>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</si>
  <si>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</si>
  <si>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</si>
  <si>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</si>
  <si>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</si>
  <si>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</si>
  <si>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</si>
  <si>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</si>
  <si>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</si>
  <si>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</si>
  <si>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</si>
  <si>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</si>
  <si>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</si>
  <si>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</si>
  <si>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</si>
  <si>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</si>
  <si>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</si>
  <si>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</si>
  <si>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</si>
  <si>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</si>
  <si>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</si>
  <si>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</si>
  <si>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</si>
  <si>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</si>
  <si>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</si>
  <si>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</si>
  <si>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</si>
  <si>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</si>
  <si>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</si>
  <si>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</si>
  <si>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</si>
  <si>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</si>
  <si>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</si>
  <si>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</si>
  <si>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</si>
  <si>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</si>
  <si>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</si>
  <si>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</si>
  <si>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</si>
  <si>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</si>
  <si>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</si>
  <si>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</si>
  <si>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</si>
  <si>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</si>
  <si>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</si>
  <si>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</si>
  <si>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</si>
  <si>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</si>
  <si>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</si>
  <si>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</si>
  <si>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</si>
  <si>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</si>
  <si>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</si>
  <si>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</si>
  <si>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</si>
  <si>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</si>
  <si>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</si>
  <si>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</si>
  <si>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</si>
  <si>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</si>
  <si>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</si>
  <si>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</si>
  <si>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</si>
  <si>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</si>
  <si>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</si>
  <si>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</si>
  <si>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</si>
  <si>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</si>
  <si>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</si>
  <si>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</si>
  <si>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</si>
  <si>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</si>
  <si>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</si>
  <si>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</si>
  <si>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</si>
  <si>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</si>
  <si>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</si>
  <si>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</si>
  <si>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</si>
  <si>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</si>
  <si>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</si>
  <si>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</si>
  <si>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</si>
  <si>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</si>
  <si>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</si>
  <si>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</si>
  <si>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</si>
  <si>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</si>
  <si>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</si>
  <si>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</si>
  <si>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</si>
  <si>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</si>
  <si>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</si>
  <si>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</si>
  <si>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</si>
  <si>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</si>
  <si>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</si>
  <si>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</si>
  <si>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</si>
  <si>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</si>
  <si>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</si>
  <si>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</si>
  <si>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</si>
  <si>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</si>
  <si>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</si>
  <si>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</si>
  <si>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</si>
  <si>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</si>
  <si>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</si>
  <si>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</si>
  <si>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</si>
  <si>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</si>
  <si>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</si>
  <si>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</si>
  <si>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</si>
  <si>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</si>
  <si>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</si>
  <si>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</si>
  <si>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</si>
  <si>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</si>
  <si>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</si>
  <si>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</si>
  <si>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</si>
  <si>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</si>
  <si>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</si>
  <si>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</si>
  <si>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</si>
  <si>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</si>
  <si>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</si>
  <si>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</si>
  <si>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</si>
  <si>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</si>
  <si>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</si>
  <si>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</si>
  <si>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</si>
  <si>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</si>
  <si>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</si>
  <si>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</si>
  <si>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</si>
  <si>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</si>
  <si>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</si>
  <si>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</si>
  <si>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</si>
  <si>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</si>
  <si>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</si>
  <si>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</si>
  <si>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</si>
  <si>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</si>
  <si>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</si>
  <si>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</si>
  <si>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</si>
  <si>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</si>
  <si>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</si>
  <si>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</si>
  <si>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</si>
  <si>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</si>
  <si>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</si>
  <si>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</si>
  <si>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</si>
  <si>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</si>
  <si>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</si>
  <si>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</si>
  <si>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</si>
  <si>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</si>
  <si>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</si>
  <si>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</si>
  <si>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</si>
  <si>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</si>
  <si>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</si>
  <si>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</si>
  <si>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</si>
  <si>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</si>
  <si>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</si>
  <si>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</si>
  <si>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</si>
  <si>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</si>
  <si>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</si>
  <si>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</si>
  <si>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</si>
  <si>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</si>
  <si>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</si>
  <si>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</si>
  <si>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</si>
  <si>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</si>
  <si>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</si>
  <si>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</si>
  <si>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</si>
  <si>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</si>
  <si>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</si>
  <si>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</si>
  <si>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</si>
  <si>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</si>
  <si>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</si>
  <si>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</si>
  <si>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</si>
  <si>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</si>
  <si>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</si>
  <si>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</si>
  <si>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</si>
  <si>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</si>
  <si>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</si>
  <si>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</si>
  <si>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</si>
  <si>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</si>
  <si>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</si>
  <si>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</si>
  <si>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</si>
  <si>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</si>
  <si>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</si>
  <si>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</si>
  <si>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</si>
  <si>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</si>
  <si>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</si>
  <si>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</si>
  <si>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</si>
  <si>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</si>
  <si>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</si>
  <si>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</si>
  <si>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</si>
  <si>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</si>
  <si>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</si>
  <si>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CHAMPAIGN</t>
  </si>
  <si>
    <t>2400 W BRADLEY AVE</t>
  </si>
  <si>
    <t>Nick Elder</t>
  </si>
  <si>
    <t>nelder@efe.k12.il.us</t>
  </si>
  <si>
    <t>217-355-1382</t>
  </si>
  <si>
    <t>217-355-1396</t>
  </si>
  <si>
    <t>No applicable contracts paid in the current year</t>
  </si>
  <si>
    <t>Col 10 - Educational</t>
  </si>
  <si>
    <t>Refunds &amp; Reimbursements - $1,168</t>
  </si>
  <si>
    <t>Page 13 - Acct #4799 - CTE - Other</t>
  </si>
  <si>
    <t>Page 11 - Acct #1999 - Other Local Revenues</t>
  </si>
  <si>
    <t>Perkins Secondary Program Improvement - $324,337</t>
  </si>
  <si>
    <t>AUDITCHECK Tab - #13 Contracts Paid Error</t>
  </si>
  <si>
    <t xml:space="preserve">  Education for Employment Systems #330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</si>
</sst>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2051</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9010008046</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2074</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2062</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2061</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61821</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2063</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2064</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0</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1489669</v>
      </c>
      <c r="D12" s="1771">
        <v>43292</v>
      </c>
      <c r="E12" s="1771"/>
      <c r="F12" s="1765">
        <f>(C12+D12)-E12</f>
        <v>1532961</v>
      </c>
      <c r="G12" s="681">
        <v>10</v>
      </c>
      <c r="H12" s="619">
        <v>1345086</v>
      </c>
      <c r="I12" s="619">
        <v>54409</v>
      </c>
      <c r="J12" s="619"/>
      <c r="K12" s="1442">
        <f>(H12+I12)-J12</f>
        <v>1399495</v>
      </c>
      <c r="L12" s="1442">
        <f>F12-K12</f>
        <v>133466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1489669</v>
      </c>
      <c r="D16" s="1765">
        <f>SUM(D3,D5:D6,D8:D10,D12:D15)</f>
        <v>43292</v>
      </c>
      <c r="E16" s="1765">
        <f>SUM(E3,E5:E6,E8:E10,E12:E15)</f>
        <v>0</v>
      </c>
      <c r="F16" s="1765">
        <f>SUM(F3,F5:F6,F8:F10,F12:F15)</f>
        <v>1532961</v>
      </c>
      <c r="G16" s="681"/>
      <c r="H16" s="1435">
        <f>SUM(H3,H6,H8:H10,H12:H14,)</f>
        <v>1345086</v>
      </c>
      <c r="I16" s="1435">
        <f>SUM(I3,I6,I8:I10,I12:I14,)</f>
        <v>54409</v>
      </c>
      <c r="J16" s="1435">
        <f>SUM(J3,J6,J8:J10,J12:J14,)</f>
        <v>0</v>
      </c>
      <c r="K16" s="1435">
        <f>(H16+I16)-J16</f>
        <v>1399495</v>
      </c>
      <c r="L16" s="1435">
        <f>F16-K16</f>
        <v>133466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75938</v>
      </c>
      <c r="G17" s="676">
        <v>10</v>
      </c>
      <c r="H17" s="621"/>
      <c r="I17" s="1442">
        <f>F17/G17</f>
        <v>7593.8</v>
      </c>
      <c r="J17" s="621"/>
      <c r="K17" s="638"/>
      <c r="L17" s="638"/>
    </row>
    <row r="18" spans="1:12" ht="14.25" thickTop="1" thickBot="1" x14ac:dyDescent="0.25">
      <c r="A18" s="1440" t="s">
        <v>680</v>
      </c>
      <c r="B18" s="1441"/>
      <c r="C18" s="623"/>
      <c r="D18" s="623"/>
      <c r="E18" s="623"/>
      <c r="F18" s="686"/>
      <c r="G18" s="687"/>
      <c r="H18" s="624"/>
      <c r="I18" s="1435">
        <f>SUM(I16,I17)</f>
        <v>62002.8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1147033</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1147033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632217</v>
      </c>
      <c r="G53" s="701"/>
    </row>
    <row r="54" spans="1:7" x14ac:dyDescent="0.2">
      <c r="A54" s="705" t="s">
        <v>456</v>
      </c>
      <c r="B54" s="705" t="s">
        <v>1459</v>
      </c>
      <c r="C54" s="724" t="s">
        <v>975</v>
      </c>
      <c r="D54" s="720" t="s">
        <v>1086</v>
      </c>
      <c r="E54" s="704"/>
      <c r="F54" s="1782">
        <f>'Expenditures 15-22'!G114</f>
        <v>43292</v>
      </c>
      <c r="G54" s="701"/>
    </row>
    <row r="55" spans="1:7" x14ac:dyDescent="0.2">
      <c r="A55" s="705" t="s">
        <v>456</v>
      </c>
      <c r="B55" s="705" t="s">
        <v>1460</v>
      </c>
      <c r="C55" s="724" t="s">
        <v>975</v>
      </c>
      <c r="D55" s="720" t="s">
        <v>288</v>
      </c>
      <c r="E55" s="704"/>
      <c r="F55" s="1782">
        <f>'Expenditures 15-22'!I114</f>
        <v>75938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751447</v>
      </c>
      <c r="G77" s="701"/>
    </row>
    <row r="78" spans="1:9" s="728" customFormat="1" ht="12" customHeight="1" thickTop="1" thickBot="1" x14ac:dyDescent="0.25">
      <c r="A78" s="1450"/>
      <c r="B78" s="1448"/>
      <c r="C78" s="1445"/>
      <c r="D78" s="1449" t="s">
        <v>2012</v>
      </c>
      <c r="E78" s="1447"/>
      <c r="F78" s="1788">
        <f>(F14-F77)</f>
        <v>395586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31913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569534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324337</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925784</v>
      </c>
    </row>
    <row r="176" spans="1:7" ht="12" customHeight="1" x14ac:dyDescent="0.2">
      <c r="A176" s="1443"/>
      <c r="B176" s="1453"/>
      <c r="C176" s="1454"/>
      <c r="D176" s="1455" t="s">
        <v>2014</v>
      </c>
      <c r="E176" s="1456"/>
      <c r="F176" s="1793">
        <f>'PCTC-OEPP 27-28'!F78-F175</f>
        <v>-530198</v>
      </c>
    </row>
    <row r="177" spans="1:9" ht="12" customHeight="1" x14ac:dyDescent="0.2">
      <c r="A177" s="1443"/>
      <c r="B177" s="1453"/>
      <c r="C177" s="1454"/>
      <c r="D177" s="1455" t="s">
        <v>1794</v>
      </c>
      <c r="E177" s="1456"/>
      <c r="F177" s="1793">
        <f>'Cap Outlay Deprec 26'!I18</f>
        <v>62002.8</v>
      </c>
    </row>
    <row r="178" spans="1:9" ht="12" customHeight="1" x14ac:dyDescent="0.2">
      <c r="A178" s="1443"/>
      <c r="B178" s="1453"/>
      <c r="C178" s="1454"/>
      <c r="D178" s="1455" t="s">
        <v>2015</v>
      </c>
      <c r="E178" s="1456"/>
      <c r="F178" s="1793">
        <f>F176+F177</f>
        <v>-468195.2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66187</v>
      </c>
      <c r="F19" s="1802"/>
      <c r="G19" s="1804">
        <f>'Expenditures 15-22'!K33-SUM('Expenditures 15-22'!G33,'Expenditures 15-22'!I33)+'Expenditures 15-22'!D229</f>
        <v>66187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36806</v>
      </c>
      <c r="F21" s="1805"/>
      <c r="G21" s="1808">
        <f>'Expenditures 15-22'!K42-SUM('Expenditures 15-22'!G42,'Expenditures 15-22'!I42)+'Expenditures 15-22'!K120-SUM('Expenditures 15-22'!G120,'Expenditures 15-22'!I120)+'Expenditures 15-22'!K180-SUM('Expenditures 15-22'!G180,'Expenditures 15-22'!I180)+'Expenditures 15-22'!D238</f>
        <v>36806</v>
      </c>
      <c r="H21" s="817"/>
      <c r="I21" s="157"/>
    </row>
    <row r="22" spans="1:9" s="542" customFormat="1" ht="12" customHeight="1" x14ac:dyDescent="0.2">
      <c r="A22" s="824" t="s">
        <v>560</v>
      </c>
      <c r="B22" s="825"/>
      <c r="C22" s="823">
        <v>2200</v>
      </c>
      <c r="D22" s="1805"/>
      <c r="E22" s="1807">
        <f>'Expenditures 15-22'!K47-SUM('Expenditures 15-22'!G47,'Expenditures 15-22'!I47)+'Expenditures 15-22'!D243</f>
        <v>197683</v>
      </c>
      <c r="F22" s="1805"/>
      <c r="G22" s="1808">
        <f>'Expenditures 15-22'!K47-SUM('Expenditures 15-22'!G47,'Expenditures 15-22'!I47)+'Expenditures 15-22'!D243</f>
        <v>197683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87023</v>
      </c>
      <c r="F23" s="1805"/>
      <c r="G23" s="1807">
        <f>'Expenditures 15-22'!K53-SUM('Expenditures 15-22'!G53,'Expenditures 15-22'!I53)+'Expenditures 15-22'!D257+'Expenditures 15-22'!K330-SUM('Expenditures 15-22'!G330,'Expenditures 15-22'!I330)</f>
        <v>87023</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7203</v>
      </c>
      <c r="E27" s="1807">
        <f>E8</f>
        <v>0</v>
      </c>
      <c r="F27" s="1807">
        <f>'Expenditures 15-22'!K60-SUM('Expenditures 15-22'!G60,'Expenditures 15-22'!I60)+'Expenditures 15-22'!D264-E8</f>
        <v>7203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684</v>
      </c>
      <c r="F28" s="1809">
        <f>'Expenditures 15-22'!K61-SUM('Expenditures 15-22'!G61,'Expenditures 15-22'!I61)+'Expenditures 15-22'!K124-SUM('Expenditures 15-22'!G124,'Expenditures 15-22'!I124)+'Expenditures 15-22'!D266-E9</f>
        <v>684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7203</v>
      </c>
      <c r="E41" s="1809">
        <f>SUM(E19:E40)</f>
        <v>388383</v>
      </c>
      <c r="F41" s="1809">
        <f>SUM(F19:F39)</f>
        <v>7887</v>
      </c>
      <c r="G41" s="1809">
        <f>SUM(G19:G40)</f>
        <v>387699</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7203</v>
      </c>
      <c r="F43" s="1458" t="s">
        <v>470</v>
      </c>
      <c r="G43" s="1810">
        <f>F41</f>
        <v>7887</v>
      </c>
    </row>
    <row r="44" spans="1:7" ht="12" customHeight="1" x14ac:dyDescent="0.2">
      <c r="A44" s="817"/>
      <c r="B44" s="157"/>
      <c r="C44" s="831"/>
      <c r="D44" s="1458" t="s">
        <v>471</v>
      </c>
      <c r="E44" s="1810">
        <f>E41</f>
        <v>388383</v>
      </c>
      <c r="F44" s="1458" t="s">
        <v>471</v>
      </c>
      <c r="G44" s="1810">
        <f>G41</f>
        <v>387699</v>
      </c>
    </row>
    <row r="45" spans="1:7" ht="12" customHeight="1" x14ac:dyDescent="0.2">
      <c r="A45" s="817"/>
      <c r="B45" s="157"/>
      <c r="C45" s="157"/>
      <c r="D45" s="1459" t="s">
        <v>999</v>
      </c>
      <c r="E45" s="1811">
        <f>(E43/E44)</f>
        <v>1.8546125860297694E-2</v>
      </c>
      <c r="F45" s="1459" t="s">
        <v>999</v>
      </c>
      <c r="G45" s="1811">
        <f>(G43/G44)</f>
        <v>2.0343101220276556E-2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Education for Employment Systems #330</v>
      </c>
      <c r="D6" s="2417"/>
      <c r="E6" s="2417"/>
      <c r="F6" s="1482"/>
      <c r="G6" s="1507"/>
      <c r="L6" s="1507"/>
      <c r="M6" s="1855"/>
      <c r="N6" s="1855"/>
      <c r="O6" s="1855"/>
    </row>
    <row r="7" spans="1:15" ht="11.25" customHeight="1" thickBot="1" x14ac:dyDescent="0.3">
      <c r="A7" s="1480"/>
      <c r="B7" s="1481"/>
      <c r="C7" s="2418">
        <f>COVER!A13</f>
        <v>9010008046</v>
      </c>
      <c r="D7" s="2418"/>
      <c r="E7" s="2418"/>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Education for Employment Systems #330</v>
      </c>
      <c r="K6" s="2439"/>
      <c r="L6" s="2453"/>
      <c r="M6" s="838"/>
      <c r="N6" s="1999"/>
    </row>
    <row r="7" spans="1:14" x14ac:dyDescent="0.2">
      <c r="A7" s="2454" t="s">
        <v>864</v>
      </c>
      <c r="B7" s="2455"/>
      <c r="C7" s="2455"/>
      <c r="D7" s="2455"/>
      <c r="E7" s="2456"/>
      <c r="F7" s="839"/>
      <c r="G7" s="838"/>
      <c r="H7" s="838"/>
      <c r="I7" s="1925" t="s">
        <v>369</v>
      </c>
      <c r="J7" s="2441">
        <f>COVER!A13</f>
        <v>9010008046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87023</v>
      </c>
      <c r="F13" s="1943"/>
      <c r="G13" s="1969">
        <f>H68</f>
        <v>0</v>
      </c>
      <c r="H13" s="1945">
        <f t="shared" si="0"/>
        <v>87023</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87023</v>
      </c>
      <c r="F19" s="1951">
        <f t="shared" si="2"/>
        <v>0</v>
      </c>
      <c r="G19" s="1951">
        <f t="shared" ref="G19" si="3">SUM(G12:G17)-G18</f>
        <v>0</v>
      </c>
      <c r="H19" s="1951">
        <f t="shared" si="2"/>
        <v>87023</v>
      </c>
      <c r="I19" s="1951">
        <f t="shared" si="2"/>
        <v>0</v>
      </c>
      <c r="J19" s="1951">
        <f t="shared" si="2"/>
        <v>0</v>
      </c>
      <c r="K19" s="1951">
        <f t="shared" si="2"/>
        <v>0</v>
      </c>
      <c r="L19" s="1951">
        <f t="shared" si="2"/>
        <v>0</v>
      </c>
      <c r="M19" s="838"/>
      <c r="N19" s="1999"/>
    </row>
    <row r="20" spans="1:14" ht="13.5" thickTop="1" x14ac:dyDescent="0.2">
      <c r="A20" s="2004">
        <v>9</v>
      </c>
      <c r="B20" s="2463" t="s">
        <v>2021</v>
      </c>
      <c r="C20" s="2463"/>
      <c r="D20" s="2464"/>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Education for Employment Systems #330</v>
      </c>
      <c r="M52" s="2439"/>
      <c r="N52" s="2440"/>
    </row>
    <row r="53" spans="1:14" x14ac:dyDescent="0.2">
      <c r="A53" s="1983"/>
      <c r="B53" s="1984"/>
      <c r="C53" s="1984"/>
      <c r="D53" s="1984"/>
      <c r="E53" s="1984"/>
      <c r="F53" s="1984"/>
      <c r="G53" s="1984"/>
      <c r="H53" s="1984"/>
      <c r="I53" s="1984"/>
      <c r="J53" s="1984"/>
      <c r="K53" s="1925" t="s">
        <v>369</v>
      </c>
      <c r="L53" s="2441">
        <f>J7</f>
        <v>9010008046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1" t="s">
        <v>297</v>
      </c>
      <c r="B59" s="2422"/>
      <c r="C59" s="242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1" t="s">
        <v>236</v>
      </c>
      <c r="B60" s="2422"/>
      <c r="C60" s="242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0</v>
      </c>
      <c r="F63" s="1973"/>
      <c r="G63" s="2032"/>
      <c r="H63" s="2033"/>
      <c r="I63" s="2033"/>
      <c r="J63" s="2033"/>
      <c r="K63" s="2033"/>
      <c r="L63" s="2033"/>
      <c r="M63" s="2033"/>
      <c r="N63" s="1976">
        <f t="shared" si="4"/>
        <v>0</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0</v>
      </c>
      <c r="F65" s="1973"/>
      <c r="G65" s="2032"/>
      <c r="H65" s="2033"/>
      <c r="I65" s="2033"/>
      <c r="J65" s="2033"/>
      <c r="K65" s="2033"/>
      <c r="L65" s="2033"/>
      <c r="M65" s="2033"/>
      <c r="N65" s="1976">
        <f t="shared" si="4"/>
        <v>0</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2042</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2071</v>
      </c>
    </row>
    <row r="6" spans="1:2" x14ac:dyDescent="0.2">
      <c r="A6" s="847"/>
      <c r="B6" s="2037" t="s">
        <v>2068</v>
      </c>
    </row>
    <row r="7" spans="1:2" x14ac:dyDescent="0.2">
      <c r="A7" s="847"/>
      <c r="B7" s="307" t="s">
        <v>2069</v>
      </c>
    </row>
    <row r="8" spans="1:2" x14ac:dyDescent="0.2">
      <c r="A8" s="847"/>
    </row>
    <row r="9" spans="1:2" x14ac:dyDescent="0.2">
      <c r="A9" s="847">
        <v>2</v>
      </c>
      <c r="B9" s="2038" t="s">
        <v>2070</v>
      </c>
    </row>
    <row r="10" spans="1:2" x14ac:dyDescent="0.2">
      <c r="A10" s="847"/>
      <c r="B10" s="2037" t="s">
        <v>2068</v>
      </c>
    </row>
    <row r="11" spans="1:2" x14ac:dyDescent="0.2">
      <c r="A11" s="847"/>
      <c r="B11" s="307" t="s">
        <v>2072</v>
      </c>
    </row>
    <row r="12" spans="1:2" x14ac:dyDescent="0.2">
      <c r="A12" s="847"/>
    </row>
    <row r="13" spans="1:2" x14ac:dyDescent="0.2">
      <c r="A13" s="847">
        <v>3</v>
      </c>
      <c r="B13" s="2038" t="s">
        <v>2073</v>
      </c>
    </row>
    <row r="14" spans="1:2" x14ac:dyDescent="0.2">
      <c r="A14" s="848"/>
      <c r="B14" s="307" t="s">
        <v>2067</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c r="B69" s="253" t="str">
        <f>COVER!A17</f>
        <v xml:space="preserve">  Education for Employment Systems #330</v>
      </c>
    </row>
    <row r="70" spans="1:2" x14ac:dyDescent="0.2">
      <c r="B70" s="849">
        <f>COVER!A13</f>
        <v>9010008046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1201840</v>
      </c>
      <c r="C8" s="1813">
        <f>'Acct Summary 7-8'!D8</f>
        <v>0</v>
      </c>
      <c r="D8" s="1813">
        <f>'Acct Summary 7-8'!F8</f>
        <v>0</v>
      </c>
      <c r="E8" s="1813">
        <f>'Acct Summary 7-8'!I8</f>
        <v>0</v>
      </c>
      <c r="F8" s="1813">
        <f>SUM(B8:E8)</f>
        <v>1201840</v>
      </c>
    </row>
    <row r="9" spans="1:8" s="858" customFormat="1" ht="14.25" customHeight="1" thickBot="1" x14ac:dyDescent="0.25">
      <c r="A9" s="857" t="s">
        <v>1353</v>
      </c>
      <c r="B9" s="1814">
        <f>'Acct Summary 7-8'!C17</f>
        <v>1147033</v>
      </c>
      <c r="C9" s="1814">
        <f>'Acct Summary 7-8'!D17</f>
        <v>0</v>
      </c>
      <c r="D9" s="1814">
        <f>'Acct Summary 7-8'!F17</f>
        <v>0</v>
      </c>
      <c r="E9" s="1813"/>
      <c r="F9" s="1813">
        <f>SUM(B9:E9)</f>
        <v>1147033</v>
      </c>
    </row>
    <row r="10" spans="1:8" s="858" customFormat="1" ht="14.25" thickTop="1" thickBot="1" x14ac:dyDescent="0.25">
      <c r="A10" s="859" t="s">
        <v>1354</v>
      </c>
      <c r="B10" s="1815">
        <f>(B8-B9)</f>
        <v>54807</v>
      </c>
      <c r="C10" s="1815">
        <f>(C8-C9)</f>
        <v>0</v>
      </c>
      <c r="D10" s="1815">
        <f>(D8-D9)</f>
        <v>0</v>
      </c>
      <c r="E10" s="1814">
        <f>(E8-E9)</f>
        <v>0</v>
      </c>
      <c r="F10" s="1816">
        <f>SUM(F8-F9)</f>
        <v>54807</v>
      </c>
    </row>
    <row r="11" spans="1:8" s="858" customFormat="1" ht="14.25" thickTop="1" thickBot="1" x14ac:dyDescent="0.25">
      <c r="A11" s="860" t="s">
        <v>1903</v>
      </c>
      <c r="B11" s="1817">
        <f>'Acct Summary 7-8'!C81</f>
        <v>295470</v>
      </c>
      <c r="C11" s="1817">
        <f>'Acct Summary 7-8'!D81</f>
        <v>0</v>
      </c>
      <c r="D11" s="1817">
        <f>'Acct Summary 7-8'!F81</f>
        <v>0</v>
      </c>
      <c r="E11" s="1817">
        <f>'Acct Summary 7-8'!I81</f>
        <v>0</v>
      </c>
      <c r="F11" s="1818">
        <f>SUM(B11:E11)</f>
        <v>295470</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9010008046</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Education for Employment Systems #330</v>
      </c>
      <c r="E4" s="1828">
        <v>44119</v>
      </c>
      <c r="F4" s="1829">
        <v>44151</v>
      </c>
      <c r="G4" s="1899">
        <v>101000600</v>
      </c>
    </row>
    <row r="5" spans="1:7" ht="15" x14ac:dyDescent="0.25">
      <c r="A5" t="s">
        <v>699</v>
      </c>
      <c r="B5" s="135" t="str">
        <f>COVER!A38</f>
        <v>Nick Elder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295470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295470</v>
      </c>
      <c r="D92" s="2" t="str">
        <f t="shared" si="0"/>
        <v>Error?</v>
      </c>
      <c r="G92" s="1899">
        <v>102640600</v>
      </c>
    </row>
    <row r="93" spans="1:7" ht="15" x14ac:dyDescent="0.25">
      <c r="A93" s="5">
        <v>32</v>
      </c>
      <c r="B93" s="1832">
        <f>'Assets-Liab 5-6'!C41</f>
        <v>295470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1532961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1532961</v>
      </c>
      <c r="C279" s="2" t="s">
        <v>569</v>
      </c>
      <c r="D279" s="2" t="str">
        <f t="shared" si="3"/>
        <v>Error?</v>
      </c>
    </row>
    <row r="280" spans="1:4" x14ac:dyDescent="0.2">
      <c r="A280" s="5">
        <v>219</v>
      </c>
      <c r="B280" s="1832">
        <f>'Assets-Liab 5-6'!M40</f>
        <v>1532961</v>
      </c>
      <c r="D280" s="2" t="str">
        <f t="shared" si="3"/>
        <v>Error?</v>
      </c>
    </row>
    <row r="281" spans="1:4" x14ac:dyDescent="0.2">
      <c r="A281" s="5">
        <v>220</v>
      </c>
      <c r="B281" s="1832">
        <f>'Assets-Liab 5-6'!M41</f>
        <v>1532961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150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150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5111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5111</v>
      </c>
      <c r="C727" s="2" t="s">
        <v>569</v>
      </c>
      <c r="D727" s="2" t="str">
        <f t="shared" si="10"/>
        <v>Error?</v>
      </c>
    </row>
    <row r="728" spans="1:4" x14ac:dyDescent="0.2">
      <c r="A728" s="5">
        <v>667</v>
      </c>
      <c r="B728" s="1832">
        <f>'Expenditures 15-22'!C44</f>
        <v>146959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146959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62228</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4024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4024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218322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218472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434</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434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733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733</v>
      </c>
      <c r="C785" s="2" t="s">
        <v>569</v>
      </c>
      <c r="D785" s="2" t="str">
        <f t="shared" si="11"/>
        <v>Error?</v>
      </c>
    </row>
    <row r="786" spans="1:4" x14ac:dyDescent="0.2">
      <c r="A786" s="5">
        <v>725</v>
      </c>
      <c r="B786" s="1832">
        <f>'Expenditures 15-22'!D44</f>
        <v>37930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37930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11212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308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308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50183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50617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21352</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21352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30257</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30257</v>
      </c>
      <c r="C843" s="2" t="s">
        <v>569</v>
      </c>
      <c r="D843" s="2" t="str">
        <f t="shared" si="12"/>
        <v>Error?</v>
      </c>
    </row>
    <row r="844" spans="1:4" x14ac:dyDescent="0.2">
      <c r="A844" s="5">
        <v>783</v>
      </c>
      <c r="B844" s="1832">
        <f>'Expenditures 15-22'!E44</f>
        <v>10795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10795</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12298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2871</v>
      </c>
      <c r="D855" s="2" t="str">
        <f t="shared" si="12"/>
        <v>Error?</v>
      </c>
    </row>
    <row r="856" spans="1:4" x14ac:dyDescent="0.2">
      <c r="A856" s="5">
        <v>795</v>
      </c>
      <c r="B856" s="1832">
        <f>'Expenditures 15-22'!E61</f>
        <v>684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3555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56905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109542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44251</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44251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705</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705</v>
      </c>
      <c r="C901" s="2" t="s">
        <v>569</v>
      </c>
      <c r="D901" s="2" t="str">
        <f t="shared" si="13"/>
        <v>Error?</v>
      </c>
    </row>
    <row r="902" spans="1:4" x14ac:dyDescent="0.2">
      <c r="A902" s="5">
        <v>841</v>
      </c>
      <c r="B902" s="1832">
        <f>'Expenditures 15-22'!F44</f>
        <v>1999</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1999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435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3139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47390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43292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43292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43292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850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850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600932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601782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185417</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185417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36806</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36806</v>
      </c>
      <c r="C1115" s="2" t="s">
        <v>569</v>
      </c>
      <c r="D1115" s="2" t="str">
        <f t="shared" si="16"/>
        <v>Error?</v>
      </c>
    </row>
    <row r="1116" spans="1:4" x14ac:dyDescent="0.2">
      <c r="A1116" s="5">
        <v>1055</v>
      </c>
      <c r="B1116" s="1832">
        <f>'Expenditures 15-22'!K44</f>
        <v>197683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197683</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87023</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7203</v>
      </c>
      <c r="C1127" s="2" t="s">
        <v>569</v>
      </c>
      <c r="D1127" s="2" t="str">
        <f t="shared" si="16"/>
        <v>Error?</v>
      </c>
    </row>
    <row r="1128" spans="1:4" x14ac:dyDescent="0.2">
      <c r="A1128" s="5">
        <v>1067</v>
      </c>
      <c r="B1128" s="1832">
        <f>'Expenditures 15-22'!K61</f>
        <v>684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7887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329399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632217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1147033</v>
      </c>
      <c r="C1152" s="2" t="s">
        <v>569</v>
      </c>
      <c r="D1152" s="2" t="str">
        <f t="shared" si="17"/>
        <v>Error?</v>
      </c>
    </row>
    <row r="1153" spans="1:4" x14ac:dyDescent="0.2">
      <c r="A1153" s="5">
        <v>1092</v>
      </c>
      <c r="B1153" s="1832">
        <f>'Expenditures 15-22'!K115</f>
        <v>54807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240663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295470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1489669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1489669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43292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43292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1532961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1532961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1345086</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1345086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54409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54409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1399495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1399495</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133466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133466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335734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367019</v>
      </c>
      <c r="C2088" s="2" t="s">
        <v>569</v>
      </c>
      <c r="D2088" s="2" t="str">
        <f t="shared" si="31"/>
        <v>Error?</v>
      </c>
    </row>
    <row r="2089" spans="1:4" x14ac:dyDescent="0.2">
      <c r="A2089" s="5">
        <v>2028</v>
      </c>
      <c r="B2089" s="1832">
        <f>'Expenditures 15-22'!K92</f>
        <v>265198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307969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569534</v>
      </c>
      <c r="C2553" s="2" t="s">
        <v>569</v>
      </c>
      <c r="D2553" s="2" t="str">
        <f t="shared" si="38"/>
        <v>Error?</v>
      </c>
    </row>
    <row r="2554" spans="1:4" x14ac:dyDescent="0.2">
      <c r="A2554" s="5">
        <v>2493</v>
      </c>
      <c r="B2554" s="1832">
        <f>'Acct Summary 7-8'!C7</f>
        <v>324337</v>
      </c>
      <c r="C2554" s="2" t="s">
        <v>569</v>
      </c>
      <c r="D2554" s="2" t="str">
        <f t="shared" si="38"/>
        <v>Error?</v>
      </c>
    </row>
    <row r="2555" spans="1:4" x14ac:dyDescent="0.2">
      <c r="A2555" s="5">
        <v>2494</v>
      </c>
      <c r="B2555" s="1832">
        <f>'Acct Summary 7-8'!C8</f>
        <v>1201840</v>
      </c>
      <c r="C2555" s="2" t="s">
        <v>569</v>
      </c>
      <c r="D2555" s="2" t="str">
        <f t="shared" si="38"/>
        <v>Error?</v>
      </c>
    </row>
    <row r="2556" spans="1:4" x14ac:dyDescent="0.2">
      <c r="A2556" s="5">
        <v>2495</v>
      </c>
      <c r="B2556" s="1832">
        <f>'Acct Summary 7-8'!C12</f>
        <v>185417</v>
      </c>
      <c r="C2556" s="2" t="s">
        <v>569</v>
      </c>
      <c r="D2556" s="2" t="str">
        <f t="shared" si="38"/>
        <v>Error?</v>
      </c>
    </row>
    <row r="2557" spans="1:4" x14ac:dyDescent="0.2">
      <c r="A2557" s="5">
        <v>2496</v>
      </c>
      <c r="B2557" s="1832">
        <f>'Acct Summary 7-8'!C13</f>
        <v>329399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632217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1147033</v>
      </c>
      <c r="C2561" s="2" t="s">
        <v>569</v>
      </c>
      <c r="D2561" s="2" t="str">
        <f t="shared" si="39"/>
        <v>Error?</v>
      </c>
    </row>
    <row r="2562" spans="1:4" x14ac:dyDescent="0.2">
      <c r="A2562" s="5">
        <v>2501</v>
      </c>
      <c r="B2562" s="1832">
        <f>'Acct Summary 7-8'!C20</f>
        <v>54807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62228</v>
      </c>
      <c r="D2718" s="2" t="str">
        <f t="shared" si="41"/>
        <v>Error?</v>
      </c>
    </row>
    <row r="2719" spans="1:4" x14ac:dyDescent="0.2">
      <c r="A2719" s="5">
        <v>2658</v>
      </c>
      <c r="B2719" s="1832">
        <f>'Expenditures 15-22'!D51</f>
        <v>11212</v>
      </c>
      <c r="D2719" s="2" t="str">
        <f t="shared" si="41"/>
        <v>Error?</v>
      </c>
    </row>
    <row r="2720" spans="1:4" x14ac:dyDescent="0.2">
      <c r="A2720" s="5">
        <v>2659</v>
      </c>
      <c r="B2720" s="1832">
        <f>'Expenditures 15-22'!E51</f>
        <v>12298</v>
      </c>
      <c r="D2720" s="2" t="str">
        <f t="shared" si="41"/>
        <v>Error?</v>
      </c>
    </row>
    <row r="2721" spans="1:4" x14ac:dyDescent="0.2">
      <c r="A2721" s="5">
        <v>2660</v>
      </c>
      <c r="B2721" s="1832">
        <f>'Expenditures 15-22'!F51</f>
        <v>435</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850</v>
      </c>
      <c r="D2723" s="2" t="str">
        <f t="shared" si="41"/>
        <v>Error?</v>
      </c>
    </row>
    <row r="2724" spans="1:4" x14ac:dyDescent="0.2">
      <c r="A2724" s="5">
        <v>2663</v>
      </c>
      <c r="B2724" s="1832">
        <f>'Expenditures 15-22'!K51</f>
        <v>87023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31285</v>
      </c>
      <c r="C2789" s="2" t="s">
        <v>569</v>
      </c>
      <c r="D2789" s="2" t="str">
        <f t="shared" si="42"/>
        <v>Error?</v>
      </c>
    </row>
    <row r="2790" spans="1:4" x14ac:dyDescent="0.2">
      <c r="A2790" s="5">
        <v>2729</v>
      </c>
      <c r="B2790" s="1832">
        <f>'Expenditures 15-22'!E102</f>
        <v>31285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31285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335734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367019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54807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295470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87318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1289158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87318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1234351</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295470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324337</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31913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274485</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274485</v>
      </c>
      <c r="C5087" s="2" t="s">
        <v>569</v>
      </c>
      <c r="D5087" s="2" t="str">
        <f t="shared" si="78"/>
        <v>Error?</v>
      </c>
    </row>
    <row r="5088" spans="1:4" x14ac:dyDescent="0.2">
      <c r="A5088" s="5">
        <v>5027</v>
      </c>
      <c r="B5088" s="1832">
        <f>'Revenues 9-14'!C65</f>
        <v>403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403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1168</v>
      </c>
      <c r="D5119" s="2" t="str">
        <f t="shared" ref="D5119:D5182" si="79">IF(ISBLANK(B5119),"OK",IF(A5119-B5119=0,"OK","Error?"))</f>
        <v>Error?</v>
      </c>
    </row>
    <row r="5120" spans="1:4" x14ac:dyDescent="0.2">
      <c r="A5120" s="5">
        <v>5059</v>
      </c>
      <c r="B5120" s="1832">
        <f>'Revenues 9-14'!C108</f>
        <v>33081</v>
      </c>
      <c r="C5120" s="2" t="s">
        <v>569</v>
      </c>
      <c r="D5120" s="2" t="str">
        <f t="shared" si="79"/>
        <v>Error?</v>
      </c>
    </row>
    <row r="5121" spans="1:4" x14ac:dyDescent="0.2">
      <c r="A5121" s="5">
        <v>5060</v>
      </c>
      <c r="B5121" s="1832">
        <f>'Revenues 9-14'!C109</f>
        <v>307969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569534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569534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569534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569534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324337</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324337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324337</v>
      </c>
      <c r="C5326" s="2" t="s">
        <v>569</v>
      </c>
      <c r="D5326" s="2" t="str">
        <f t="shared" si="82"/>
        <v>Error?</v>
      </c>
    </row>
    <row r="5327" spans="1:5" x14ac:dyDescent="0.2">
      <c r="A5327" s="5">
        <v>5266</v>
      </c>
      <c r="B5327" s="1832">
        <f>'Revenues 9-14'!C268</f>
        <v>1201840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54807</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0.18549091278302365</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75938</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75938</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265198</v>
      </c>
      <c r="D6989" s="2" t="str">
        <f t="shared" si="108"/>
        <v>Error?</v>
      </c>
    </row>
    <row r="6990" spans="1:4" x14ac:dyDescent="0.2">
      <c r="A6990">
        <v>6929</v>
      </c>
      <c r="B6990" s="1832">
        <f>'Expenditures 15-22'!K89</f>
        <v>265198</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265198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75938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75938</v>
      </c>
      <c r="D7624" s="2" t="str">
        <f t="shared" si="124"/>
        <v>Error?</v>
      </c>
      <c r="E7624" s="2" t="s">
        <v>19</v>
      </c>
    </row>
    <row r="7625" spans="1:5" x14ac:dyDescent="0.2">
      <c r="A7625">
        <f t="shared" si="123"/>
        <v>7564</v>
      </c>
      <c r="B7625" s="1832">
        <f>'Cap Outlay Deprec 26'!I17</f>
        <v>7593.8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62002.8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1147033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751447</v>
      </c>
      <c r="D7834" s="2" t="str">
        <f t="shared" si="129"/>
        <v>Error?</v>
      </c>
      <c r="E7834" s="4" t="s">
        <v>1998</v>
      </c>
    </row>
    <row r="7835" spans="1:5" x14ac:dyDescent="0.2">
      <c r="A7835">
        <v>7774</v>
      </c>
      <c r="B7835" s="1832">
        <f>'PCTC-OEPP 27-28'!F78</f>
        <v>395586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31913</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569534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324337</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925784</v>
      </c>
      <c r="D7877" s="2" t="str">
        <f t="shared" si="129"/>
        <v>Error?</v>
      </c>
      <c r="E7877" s="4" t="s">
        <v>1998</v>
      </c>
    </row>
    <row r="7878" spans="1:5" x14ac:dyDescent="0.2">
      <c r="A7878">
        <v>7817</v>
      </c>
      <c r="B7878" s="1832">
        <f>'PCTC-OEPP 27-28'!F176</f>
        <v>-530198</v>
      </c>
      <c r="D7878" s="2" t="str">
        <f t="shared" si="129"/>
        <v>Error?</v>
      </c>
      <c r="E7878" s="4" t="s">
        <v>1998</v>
      </c>
    </row>
    <row r="7879" spans="1:5" x14ac:dyDescent="0.2">
      <c r="A7879">
        <v>7818</v>
      </c>
      <c r="B7879" s="1832">
        <f>'PCTC-OEPP 27-28'!F178</f>
        <v>-468195.2</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Education for Employment Systems #330</v>
      </c>
      <c r="B7" s="2518"/>
      <c r="C7" s="2518"/>
      <c r="D7" s="2556"/>
      <c r="E7" s="2557">
        <f>COVER!A13</f>
        <v>9010008046</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Nick Elder</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2400 W BRADLEY AVE</v>
      </c>
      <c r="B14" s="2543"/>
      <c r="C14" s="2543"/>
      <c r="D14" s="2543"/>
      <c r="E14" s="2543"/>
      <c r="F14" s="2544"/>
      <c r="G14" s="974" t="s">
        <v>1175</v>
      </c>
      <c r="H14" s="972"/>
      <c r="I14" s="972"/>
      <c r="J14" s="972"/>
      <c r="K14" s="972"/>
      <c r="L14" s="973"/>
    </row>
    <row r="15" spans="1:29" ht="13.5" customHeight="1" x14ac:dyDescent="0.2">
      <c r="A15" s="2530" t="str">
        <f>COVER!A21</f>
        <v>CHAMPAIGN</v>
      </c>
      <c r="B15" s="2543"/>
      <c r="C15" s="2543"/>
      <c r="D15" s="2543"/>
      <c r="E15" s="2543"/>
      <c r="F15" s="2544"/>
      <c r="G15" s="2540" t="str">
        <f>COVER!T15</f>
        <v>RUSS LEIGH</v>
      </c>
      <c r="H15" s="2541"/>
      <c r="I15" s="2541"/>
      <c r="J15" s="2541"/>
      <c r="K15" s="2541"/>
      <c r="L15" s="2542"/>
    </row>
    <row r="16" spans="1:29" ht="12.2" customHeight="1" x14ac:dyDescent="0.2">
      <c r="A16" s="2520">
        <f>COVER!A25</f>
        <v>61821</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Education for Employment Systems #330</v>
      </c>
      <c r="B1" s="2560"/>
      <c r="C1" s="2560"/>
      <c r="D1" s="2560"/>
    </row>
    <row r="2" spans="1:11" s="991" customFormat="1" ht="12.75" x14ac:dyDescent="0.2">
      <c r="A2" s="2561">
        <f>'Single Audit Cover'!E7</f>
        <v>9010008046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Education for Employment Systems #330</v>
      </c>
      <c r="B1" s="2564"/>
      <c r="C1" s="2564"/>
      <c r="D1" s="2564"/>
      <c r="E1" s="2564"/>
    </row>
    <row r="2" spans="1:5" x14ac:dyDescent="0.2">
      <c r="A2" s="2565">
        <f>'Single Audit Cover'!E7</f>
        <v>9010008046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324337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324337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324337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324337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Education for Employment Systems #330</v>
      </c>
      <c r="C1" s="2568"/>
      <c r="D1" s="2568"/>
      <c r="E1" s="2568"/>
      <c r="F1" s="2568"/>
      <c r="G1" s="2568"/>
      <c r="H1" s="2568"/>
      <c r="I1" s="2568"/>
      <c r="J1" s="2568"/>
      <c r="K1" s="2568"/>
      <c r="L1" s="2568"/>
      <c r="M1" s="2568"/>
    </row>
    <row r="2" spans="2:14" ht="15" x14ac:dyDescent="0.2">
      <c r="B2" s="2569">
        <f>'Single Audit Cover'!E7</f>
        <v>9010008046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Education for Employment Systems #330</v>
      </c>
      <c r="B1" s="2573"/>
      <c r="C1" s="2573"/>
      <c r="D1" s="2573"/>
      <c r="E1" s="2573"/>
      <c r="F1" s="2573"/>
    </row>
    <row r="2" spans="1:7" ht="13.5" customHeight="1" x14ac:dyDescent="0.2">
      <c r="A2" s="2569">
        <f>'Single Audit Cover'!E7</f>
        <v>9010008046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Education for Employment Systems #330</v>
      </c>
      <c r="C1" s="2589"/>
      <c r="D1" s="2589"/>
      <c r="E1" s="2589"/>
      <c r="F1" s="2589"/>
      <c r="G1" s="2589"/>
      <c r="H1" s="2589"/>
      <c r="I1" s="2589"/>
      <c r="J1" s="1178"/>
    </row>
    <row r="2" spans="2:10" s="295" customFormat="1" ht="12.75" customHeight="1" x14ac:dyDescent="0.2">
      <c r="B2" s="2590">
        <f>'Single Audit Cover'!E7</f>
        <v>9010008046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Education for Employment Systems #330</v>
      </c>
      <c r="C1" s="2588"/>
      <c r="D1" s="2588"/>
      <c r="E1" s="2588"/>
      <c r="F1" s="2588"/>
      <c r="G1" s="2588"/>
      <c r="H1" s="2588"/>
      <c r="I1" s="2588"/>
      <c r="J1" s="2588"/>
      <c r="K1" s="2588"/>
      <c r="L1" s="1144"/>
      <c r="M1" s="1144"/>
    </row>
    <row r="2" spans="1:13" ht="12" customHeight="1" x14ac:dyDescent="0.2">
      <c r="B2" s="2590">
        <f>'Single Audit Cover'!E7</f>
        <v>9010008046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Education for Employment Systems #330</v>
      </c>
      <c r="C1" s="2615"/>
      <c r="D1" s="2615"/>
      <c r="E1" s="2615"/>
      <c r="F1" s="2615"/>
      <c r="G1" s="2615"/>
      <c r="H1" s="2615"/>
      <c r="I1" s="2615"/>
      <c r="J1" s="2615"/>
      <c r="K1" s="2615"/>
      <c r="L1" s="1221"/>
    </row>
    <row r="2" spans="1:12" ht="12.75" customHeight="1" x14ac:dyDescent="0.2">
      <c r="B2" s="2616">
        <f>'Single Audit Cover'!E7</f>
        <v>9010008046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Education for Employment Systems #330</v>
      </c>
      <c r="C1" s="2588"/>
      <c r="D1" s="2588"/>
      <c r="E1" s="1240"/>
    </row>
    <row r="2" spans="2:5" s="1058" customFormat="1" ht="12.75" customHeight="1" x14ac:dyDescent="0.2">
      <c r="B2" s="2590">
        <f>'Single Audit Cover'!E7</f>
        <v>9010008046</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1201840</v>
      </c>
      <c r="E16" s="1547"/>
      <c r="F16" s="1546">
        <f>SUM('Acct Summary 7-8'!C17,'Acct Summary 7-8'!D17,'Acct Summary 7-8'!F17)</f>
        <v>1147033</v>
      </c>
      <c r="G16" s="1547"/>
      <c r="H16" s="1546">
        <f>SUM(D16-F16)</f>
        <v>54807</v>
      </c>
      <c r="I16" s="1548"/>
      <c r="J16" s="1546">
        <f>SUM('Acct Summary 7-8'!C81,'Acct Summary 7-8'!D81,'Acct Summary 7-8'!F81,'Acct Summary 7-8'!I81)</f>
        <v>295470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Education for Employment Systems #330</v>
      </c>
      <c r="E7" s="368"/>
      <c r="G7" s="247"/>
      <c r="H7" s="364"/>
      <c r="I7" s="364"/>
      <c r="J7" s="364"/>
      <c r="K7" s="364"/>
      <c r="L7" s="307"/>
      <c r="M7" s="307"/>
      <c r="N7" s="307"/>
      <c r="O7" s="307"/>
      <c r="P7" s="307"/>
    </row>
    <row r="8" spans="1:18" ht="12.75" x14ac:dyDescent="0.2">
      <c r="A8" s="307"/>
      <c r="B8" s="307"/>
      <c r="C8" s="366" t="s">
        <v>1115</v>
      </c>
      <c r="D8" s="369">
        <f>COVER!A13</f>
        <v>9010008046</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295470</v>
      </c>
      <c r="I12" s="380"/>
      <c r="J12" s="380"/>
      <c r="K12" s="1559">
        <f>TRUNC((H12/H13*100000),5)/100000</f>
        <v>0.24584803299999999</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1201840</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1147033</v>
      </c>
      <c r="I17" s="380"/>
      <c r="J17" s="389"/>
      <c r="K17" s="1559">
        <f>TRUNC((H17/H18*100000),5)/100000</f>
        <v>0.95439742390000004</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1201840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295470</v>
      </c>
      <c r="I24" s="394"/>
      <c r="J24" s="394"/>
      <c r="K24" s="1555">
        <f>TRUNC(((H24/H25*100000)/100000),2)</f>
        <v>92.73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3186.2027800000001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295470</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295470</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1532961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1532961</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295470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1532961</v>
      </c>
      <c r="N40" s="1604"/>
    </row>
    <row r="41" spans="1:14" ht="13.5" customHeight="1" thickBot="1" x14ac:dyDescent="0.25">
      <c r="A41" s="1426" t="s">
        <v>650</v>
      </c>
      <c r="B41" s="1405"/>
      <c r="C41" s="1594">
        <f>(SUM(C34,C37,C38,C39))</f>
        <v>295470</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1532961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307969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569534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324337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1201840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87318</v>
      </c>
      <c r="D9" s="1613"/>
      <c r="E9" s="1586"/>
      <c r="F9" s="1586"/>
      <c r="G9" s="1614"/>
      <c r="H9" s="1586"/>
      <c r="I9" s="1609" t="s">
        <v>1159</v>
      </c>
      <c r="J9" s="1583"/>
      <c r="K9" s="1586"/>
      <c r="L9" s="325"/>
    </row>
    <row r="10" spans="1:13" s="452" customFormat="1" ht="13.5" thickBot="1" x14ac:dyDescent="0.25">
      <c r="A10" s="1426" t="s">
        <v>1163</v>
      </c>
      <c r="B10" s="1407"/>
      <c r="C10" s="1594">
        <f>SUM(C8:C9)</f>
        <v>1289158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185417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329399</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632217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1147033</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87318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1234351</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3" t="s">
        <v>1636</v>
      </c>
      <c r="B20" s="2234"/>
      <c r="C20" s="1622">
        <f>C8-C17</f>
        <v>54807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54807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240663</v>
      </c>
      <c r="D79" s="1630"/>
      <c r="E79" s="1630"/>
      <c r="F79" s="1630"/>
      <c r="G79" s="1630"/>
      <c r="H79" s="1630"/>
      <c r="I79" s="1630"/>
      <c r="J79" s="1630"/>
      <c r="K79" s="1630"/>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295470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54807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0.18549091278302365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274485</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274485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403</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403</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31913</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1168</v>
      </c>
      <c r="D107" s="1573"/>
      <c r="E107" s="1573"/>
      <c r="F107" s="1573"/>
      <c r="G107" s="1573"/>
      <c r="H107" s="1573"/>
      <c r="I107" s="1573"/>
      <c r="J107" s="1574"/>
      <c r="K107" s="1573"/>
    </row>
    <row r="108" spans="1:12" ht="12.75" customHeight="1" thickBot="1" x14ac:dyDescent="0.25">
      <c r="A108" s="1406" t="s">
        <v>484</v>
      </c>
      <c r="B108" s="1408"/>
      <c r="C108" s="1633">
        <f>SUM(C95:C107)</f>
        <v>33081</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307969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569534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569534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569534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569534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324337</v>
      </c>
      <c r="D220" s="1573"/>
      <c r="E220" s="1575"/>
      <c r="F220" s="1575"/>
      <c r="G220" s="1573"/>
      <c r="H220" s="1575"/>
      <c r="I220" s="1575"/>
      <c r="J220" s="1575"/>
      <c r="K220" s="1575"/>
    </row>
    <row r="221" spans="1:11" ht="12.75" customHeight="1" thickBot="1" x14ac:dyDescent="0.25">
      <c r="A221" s="1415" t="s">
        <v>1076</v>
      </c>
      <c r="B221" s="1416"/>
      <c r="C221" s="1633">
        <f>SUM(C219:C220)</f>
        <v>324337</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324337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324337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1201840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150</v>
      </c>
      <c r="D13" s="1573">
        <v>434</v>
      </c>
      <c r="E13" s="1573">
        <v>21352</v>
      </c>
      <c r="F13" s="1573">
        <v>44251</v>
      </c>
      <c r="G13" s="1573">
        <v>43292</v>
      </c>
      <c r="H13" s="1573"/>
      <c r="I13" s="1574">
        <v>75938</v>
      </c>
      <c r="J13" s="1574"/>
      <c r="K13" s="1672">
        <f t="shared" si="0"/>
        <v>185417</v>
      </c>
      <c r="L13" s="1573">
        <v>196362</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150</v>
      </c>
      <c r="D33" s="1674">
        <f t="shared" ref="D33:L33" si="1">SUM(D5:D32)</f>
        <v>434</v>
      </c>
      <c r="E33" s="1674">
        <f t="shared" si="1"/>
        <v>21352</v>
      </c>
      <c r="F33" s="1674">
        <f t="shared" si="1"/>
        <v>44251</v>
      </c>
      <c r="G33" s="1674">
        <f t="shared" si="1"/>
        <v>43292</v>
      </c>
      <c r="H33" s="1674">
        <f t="shared" si="1"/>
        <v>0</v>
      </c>
      <c r="I33" s="1674">
        <f t="shared" si="1"/>
        <v>75938</v>
      </c>
      <c r="J33" s="1674">
        <f t="shared" si="1"/>
        <v>0</v>
      </c>
      <c r="K33" s="1674">
        <f t="shared" si="1"/>
        <v>185417</v>
      </c>
      <c r="L33" s="1674">
        <f t="shared" si="1"/>
        <v>196362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5111</v>
      </c>
      <c r="D37" s="1573">
        <v>733</v>
      </c>
      <c r="E37" s="1573">
        <v>30257</v>
      </c>
      <c r="F37" s="1573">
        <v>705</v>
      </c>
      <c r="G37" s="1573"/>
      <c r="H37" s="1573"/>
      <c r="I37" s="1574"/>
      <c r="J37" s="1574"/>
      <c r="K37" s="1672">
        <f t="shared" si="2"/>
        <v>36806</v>
      </c>
      <c r="L37" s="1573">
        <v>38050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5111</v>
      </c>
      <c r="D42" s="1674">
        <f t="shared" ref="D42:L42" si="3">SUM(D36:D41)</f>
        <v>733</v>
      </c>
      <c r="E42" s="1674">
        <f t="shared" si="3"/>
        <v>30257</v>
      </c>
      <c r="F42" s="1674">
        <f t="shared" si="3"/>
        <v>705</v>
      </c>
      <c r="G42" s="1674">
        <f t="shared" si="3"/>
        <v>0</v>
      </c>
      <c r="H42" s="1674">
        <f t="shared" si="3"/>
        <v>0</v>
      </c>
      <c r="I42" s="1674">
        <f t="shared" si="3"/>
        <v>0</v>
      </c>
      <c r="J42" s="1674">
        <f t="shared" si="3"/>
        <v>0</v>
      </c>
      <c r="K42" s="1674">
        <f t="shared" si="3"/>
        <v>36806</v>
      </c>
      <c r="L42" s="1674">
        <f t="shared" si="3"/>
        <v>38050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146959</v>
      </c>
      <c r="D44" s="1586">
        <v>37930</v>
      </c>
      <c r="E44" s="1586">
        <v>10795</v>
      </c>
      <c r="F44" s="1586">
        <v>1999</v>
      </c>
      <c r="G44" s="1586"/>
      <c r="H44" s="1586"/>
      <c r="I44" s="1574"/>
      <c r="J44" s="1574"/>
      <c r="K44" s="1678">
        <f>SUM(C44:J44)</f>
        <v>197683</v>
      </c>
      <c r="L44" s="1586">
        <v>202906</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v>1000</v>
      </c>
    </row>
    <row r="47" spans="1:14" ht="12.75" customHeight="1" thickBot="1" x14ac:dyDescent="0.25">
      <c r="A47" s="1380" t="s">
        <v>557</v>
      </c>
      <c r="B47" s="1381" t="s">
        <v>32</v>
      </c>
      <c r="C47" s="1674">
        <f>SUM(C44:C46)</f>
        <v>146959</v>
      </c>
      <c r="D47" s="1674">
        <f t="shared" ref="D47:K47" si="4">SUM(D44:D46)</f>
        <v>37930</v>
      </c>
      <c r="E47" s="1674">
        <f t="shared" si="4"/>
        <v>10795</v>
      </c>
      <c r="F47" s="1674">
        <f t="shared" si="4"/>
        <v>1999</v>
      </c>
      <c r="G47" s="1674">
        <f t="shared" si="4"/>
        <v>0</v>
      </c>
      <c r="H47" s="1674">
        <f t="shared" si="4"/>
        <v>0</v>
      </c>
      <c r="I47" s="1674">
        <f t="shared" si="4"/>
        <v>0</v>
      </c>
      <c r="J47" s="1674">
        <f t="shared" si="4"/>
        <v>0</v>
      </c>
      <c r="K47" s="1674">
        <f t="shared" si="4"/>
        <v>197683</v>
      </c>
      <c r="L47" s="1674">
        <f>SUM(L44:L46)</f>
        <v>203906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62228</v>
      </c>
      <c r="D51" s="1573">
        <v>11212</v>
      </c>
      <c r="E51" s="1573">
        <v>12298</v>
      </c>
      <c r="F51" s="1573">
        <v>435</v>
      </c>
      <c r="G51" s="1573"/>
      <c r="H51" s="1573">
        <v>850</v>
      </c>
      <c r="I51" s="1574"/>
      <c r="J51" s="1574"/>
      <c r="K51" s="1678">
        <f>SUM(C51:J51)</f>
        <v>87023</v>
      </c>
      <c r="L51" s="1573">
        <v>93952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62228</v>
      </c>
      <c r="D53" s="1674">
        <f t="shared" ref="D53:L53" si="5">SUM(D49:D52)</f>
        <v>11212</v>
      </c>
      <c r="E53" s="1674">
        <f t="shared" si="5"/>
        <v>12298</v>
      </c>
      <c r="F53" s="1674">
        <f t="shared" si="5"/>
        <v>435</v>
      </c>
      <c r="G53" s="1674">
        <f t="shared" si="5"/>
        <v>0</v>
      </c>
      <c r="H53" s="1674">
        <f t="shared" si="5"/>
        <v>850</v>
      </c>
      <c r="I53" s="1674">
        <f t="shared" si="5"/>
        <v>0</v>
      </c>
      <c r="J53" s="1674">
        <f t="shared" si="5"/>
        <v>0</v>
      </c>
      <c r="K53" s="1674">
        <f t="shared" si="5"/>
        <v>87023</v>
      </c>
      <c r="L53" s="1674">
        <f t="shared" si="5"/>
        <v>93952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4024</v>
      </c>
      <c r="D60" s="1573">
        <v>308</v>
      </c>
      <c r="E60" s="1573">
        <v>2871</v>
      </c>
      <c r="F60" s="1573"/>
      <c r="G60" s="1573"/>
      <c r="H60" s="1573"/>
      <c r="I60" s="1574"/>
      <c r="J60" s="1574"/>
      <c r="K60" s="1678">
        <f t="shared" si="7"/>
        <v>7203</v>
      </c>
      <c r="L60" s="1573">
        <v>6282</v>
      </c>
      <c r="M60" s="501"/>
      <c r="N60" s="501"/>
    </row>
    <row r="61" spans="1:14" s="321" customFormat="1" x14ac:dyDescent="0.2">
      <c r="A61" s="1274" t="s">
        <v>195</v>
      </c>
      <c r="B61" s="503">
        <v>2540</v>
      </c>
      <c r="C61" s="1573"/>
      <c r="D61" s="1573"/>
      <c r="E61" s="1573">
        <v>684</v>
      </c>
      <c r="F61" s="1573"/>
      <c r="G61" s="1573"/>
      <c r="H61" s="1573"/>
      <c r="I61" s="1574"/>
      <c r="J61" s="1574"/>
      <c r="K61" s="1678">
        <f t="shared" si="7"/>
        <v>684</v>
      </c>
      <c r="L61" s="1573">
        <v>1684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4024</v>
      </c>
      <c r="D65" s="1674">
        <f t="shared" ref="D65:L65" si="8">SUM(D59:D64)</f>
        <v>308</v>
      </c>
      <c r="E65" s="1674">
        <f t="shared" si="8"/>
        <v>3555</v>
      </c>
      <c r="F65" s="1674">
        <f t="shared" si="8"/>
        <v>0</v>
      </c>
      <c r="G65" s="1674">
        <f t="shared" si="8"/>
        <v>0</v>
      </c>
      <c r="H65" s="1674">
        <f t="shared" si="8"/>
        <v>0</v>
      </c>
      <c r="I65" s="1674">
        <f t="shared" si="8"/>
        <v>0</v>
      </c>
      <c r="J65" s="1674">
        <f t="shared" si="8"/>
        <v>0</v>
      </c>
      <c r="K65" s="1674">
        <f t="shared" si="8"/>
        <v>7887</v>
      </c>
      <c r="L65" s="1674">
        <f t="shared" si="8"/>
        <v>7966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218322</v>
      </c>
      <c r="D74" s="1681">
        <f t="shared" ref="D74:K74" si="10">SUM(D42,D47,D53,D57,D65,D72,D73)</f>
        <v>50183</v>
      </c>
      <c r="E74" s="1681">
        <f t="shared" si="10"/>
        <v>56905</v>
      </c>
      <c r="F74" s="1681">
        <f t="shared" si="10"/>
        <v>3139</v>
      </c>
      <c r="G74" s="1681">
        <f t="shared" si="10"/>
        <v>0</v>
      </c>
      <c r="H74" s="1681">
        <f t="shared" si="10"/>
        <v>850</v>
      </c>
      <c r="I74" s="1681">
        <f t="shared" si="10"/>
        <v>0</v>
      </c>
      <c r="J74" s="1681">
        <f t="shared" si="10"/>
        <v>0</v>
      </c>
      <c r="K74" s="1681">
        <f t="shared" si="10"/>
        <v>329399</v>
      </c>
      <c r="L74" s="1681">
        <f>SUM(L42,L47,L53,L57,L65,L72,L73)</f>
        <v>343874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31285</v>
      </c>
      <c r="F81" s="1673"/>
      <c r="G81" s="1673"/>
      <c r="H81" s="1573">
        <v>335734</v>
      </c>
      <c r="I81" s="1582"/>
      <c r="J81" s="1582"/>
      <c r="K81" s="1672">
        <f t="shared" si="11"/>
        <v>367019</v>
      </c>
      <c r="L81" s="1573">
        <v>448390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31285</v>
      </c>
      <c r="F84" s="1673"/>
      <c r="G84" s="1673"/>
      <c r="H84" s="1674">
        <f>SUM(H78:H83)</f>
        <v>335734</v>
      </c>
      <c r="I84" s="1582"/>
      <c r="J84" s="1582"/>
      <c r="K84" s="1674">
        <f>SUM(K78:K83)</f>
        <v>367019</v>
      </c>
      <c r="L84" s="1674">
        <f>SUM(L78:L83)</f>
        <v>448390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265198</v>
      </c>
      <c r="I89" s="1582"/>
      <c r="J89" s="1582"/>
      <c r="K89" s="1681">
        <f t="shared" si="12"/>
        <v>265198</v>
      </c>
      <c r="L89" s="1626">
        <v>340000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265198</v>
      </c>
      <c r="I92" s="1582"/>
      <c r="J92" s="1582"/>
      <c r="K92" s="1681">
        <f t="shared" si="12"/>
        <v>265198</v>
      </c>
      <c r="L92" s="1674">
        <f>SUM(L85:L91)</f>
        <v>340000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31285</v>
      </c>
      <c r="F102" s="1673"/>
      <c r="G102" s="1673"/>
      <c r="H102" s="1681">
        <f>SUM(H84,H92,H100,H101)</f>
        <v>600932</v>
      </c>
      <c r="I102" s="1582"/>
      <c r="J102" s="1582"/>
      <c r="K102" s="1681">
        <f>SUM(K84,K92,K100,K101)</f>
        <v>632217</v>
      </c>
      <c r="L102" s="1681">
        <f>SUM(L84,L92,L100,L101)</f>
        <v>788390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218472</v>
      </c>
      <c r="D114" s="1674">
        <f t="shared" ref="D114:K114" si="13">SUM(D33,D74,D75,D102,D112,D113)</f>
        <v>50617</v>
      </c>
      <c r="E114" s="1674">
        <f t="shared" si="13"/>
        <v>109542</v>
      </c>
      <c r="F114" s="1674">
        <f t="shared" si="13"/>
        <v>47390</v>
      </c>
      <c r="G114" s="1674">
        <f t="shared" si="13"/>
        <v>43292</v>
      </c>
      <c r="H114" s="1674">
        <f>SUM(H33,H74,H75,H102,H112,H113)</f>
        <v>601782</v>
      </c>
      <c r="I114" s="1674">
        <f t="shared" si="13"/>
        <v>75938</v>
      </c>
      <c r="J114" s="1674">
        <f t="shared" si="13"/>
        <v>0</v>
      </c>
      <c r="K114" s="1674">
        <f t="shared" si="13"/>
        <v>1147033</v>
      </c>
      <c r="L114" s="1674">
        <f>SUM(L33,L74,L75,L102,L112,L113)</f>
        <v>1328626</v>
      </c>
    </row>
    <row r="115" spans="1:14" ht="13.5" thickTop="1" x14ac:dyDescent="0.2">
      <c r="A115" s="2263" t="s">
        <v>989</v>
      </c>
      <c r="B115" s="2264"/>
      <c r="C115" s="1675"/>
      <c r="D115" s="1675"/>
      <c r="E115" s="1675"/>
      <c r="F115" s="1675"/>
      <c r="G115" s="1675"/>
      <c r="H115" s="1675"/>
      <c r="I115" s="1675"/>
      <c r="J115" s="1675"/>
      <c r="K115" s="1689">
        <f>'Revenues 9-14'!C268-'Expenditures 15-22'!K114</f>
        <v>54807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3" t="s">
        <v>989</v>
      </c>
      <c r="B175" s="226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3" t="s">
        <v>989</v>
      </c>
      <c r="B211" s="2264"/>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3" t="s">
        <v>989</v>
      </c>
      <c r="B296" s="2264"/>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schemas.microsoft.com/sharepoint/v3"/>
    <ds:schemaRef ds:uri="d21dc803-237d-4c68-8692-8d731fd29118"/>
    <ds:schemaRef ds:uri="http://purl.org/dc/elements/1.1/"/>
    <ds:schemaRef ds:uri="http://purl.org/dc/terms/"/>
    <ds:schemaRef ds:uri="6ce3111e-7420-4802-b50a-75d4e9a0b980"/>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2020-11-16T13:56:58Z</cp:lastPrinted>
  <dcterms:created xsi:type="dcterms:W3CDTF">2003-10-29T19:06:34Z</dcterms:created>
  <dcterms:modified xsi:type="dcterms:W3CDTF">2020-11-17T00:12:57Z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