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BDAF253-4783-43DD-9399-59CFE3C2E41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31" i="108" l="1"/>
  <c r="E16" i="184"/>
  <c r="H16"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F42"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N57" i="184"/>
  <c r="N68" i="184" s="1"/>
  <c r="E68" i="184"/>
  <c r="K77" i="4"/>
  <c r="B3587" i="106" s="1"/>
  <c r="D3587" i="106" s="1"/>
  <c r="K365" i="29"/>
  <c r="K16" i="4" s="1"/>
  <c r="B1381" i="106"/>
  <c r="D1381" i="106" s="1"/>
  <c r="E367" i="29"/>
  <c r="B3636" i="106" s="1"/>
  <c r="D3636" i="106" s="1"/>
  <c r="B3635" i="106"/>
  <c r="H19" i="184"/>
  <c r="L20" i="184" s="1"/>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K367" i="29" l="1"/>
  <c r="B3678" i="106" s="1"/>
  <c r="D3678"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<sst xmlns="http://schemas.openxmlformats.org/spreadsheetml/2006/main" count="5158" uniqueCount="2088">
  <si>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</si>
  <si>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</si>
  <si>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</si>
  <si>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</si>
  <si>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</si>
  <si>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</si>
  <si>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</si>
  <si>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</si>
  <si>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</si>
  <si>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</si>
  <si>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</si>
  <si>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</si>
  <si>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</si>
  <si>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</si>
  <si>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</si>
  <si>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</si>
  <si>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</si>
  <si>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</si>
  <si>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</si>
  <si>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</si>
  <si>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</si>
  <si>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</si>
  <si>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</si>
  <si>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</si>
  <si>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</si>
  <si>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</si>
  <si>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</si>
  <si>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</si>
  <si>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</si>
  <si>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</si>
  <si>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</si>
  <si>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</si>
  <si>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</si>
  <si>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</si>
  <si>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</si>
  <si>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</si>
  <si>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</si>
  <si>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</si>
  <si>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</si>
  <si>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</si>
  <si>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</si>
  <si>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</si>
  <si>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</si>
  <si>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</si>
  <si>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</si>
  <si>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</si>
  <si>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</si>
  <si>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</si>
  <si>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</si>
  <si>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</si>
  <si>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</si>
  <si>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</si>
  <si>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</si>
  <si>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</si>
  <si>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</si>
  <si>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</si>
  <si>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</si>
  <si>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</si>
  <si>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</si>
  <si>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</si>
  <si>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</si>
  <si>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</si>
  <si>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</si>
  <si>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</si>
  <si>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</si>
  <si>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</si>
  <si>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</si>
  <si>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</si>
  <si>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</si>
  <si>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</si>
  <si>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</si>
  <si>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</si>
  <si>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</si>
  <si>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</si>
  <si>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</si>
  <si>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</si>
  <si>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</si>
  <si>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</si>
  <si>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</si>
  <si>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</si>
  <si>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</si>
  <si>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</si>
  <si>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</si>
  <si>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</si>
  <si>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</si>
  <si>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</si>
  <si>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</si>
  <si>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</si>
  <si>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</si>
  <si>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</si>
  <si>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</si>
  <si>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</si>
  <si>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</si>
  <si>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</si>
  <si>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</si>
  <si>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</si>
  <si>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</si>
  <si>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</si>
  <si>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</si>
  <si>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</si>
  <si>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</si>
  <si>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</si>
  <si>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</si>
  <si>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</si>
  <si>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</si>
  <si>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</si>
  <si>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</si>
  <si>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</si>
  <si>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</si>
  <si>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</si>
  <si>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</si>
  <si>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</si>
  <si>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</si>
  <si>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</si>
  <si>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</si>
  <si>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</si>
  <si>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</si>
  <si>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</si>
  <si>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</si>
  <si>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</si>
  <si>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</si>
  <si>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</si>
  <si>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</si>
  <si>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</si>
  <si>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</si>
  <si>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</si>
  <si>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</si>
  <si>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</si>
  <si>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</si>
  <si>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</si>
  <si>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</si>
  <si>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</si>
  <si>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</si>
  <si>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</si>
  <si>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</si>
  <si>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</si>
  <si>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</si>
  <si>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</si>
  <si>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</si>
  <si>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</si>
  <si>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</si>
  <si>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</si>
  <si>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</si>
  <si>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</si>
  <si>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</si>
  <si>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</si>
  <si>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</si>
  <si>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</si>
  <si>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</si>
  <si>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</si>
  <si>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</si>
  <si>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</si>
  <si>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</si>
  <si>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</si>
  <si>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</si>
  <si>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</si>
  <si>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</si>
  <si>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</si>
  <si>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</si>
  <si>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</si>
  <si>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</si>
  <si>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</si>
  <si>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</si>
  <si>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</si>
  <si>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</si>
  <si>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</si>
  <si>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</si>
  <si>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</si>
  <si>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</si>
  <si>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</si>
  <si>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</si>
  <si>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</si>
  <si>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</si>
  <si>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</si>
  <si>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</si>
  <si>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</si>
  <si>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</si>
  <si>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</si>
  <si>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</si>
  <si>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</si>
  <si>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</si>
  <si>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</si>
  <si>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</si>
  <si>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</si>
  <si>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</si>
  <si>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</si>
  <si>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</si>
  <si>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</si>
  <si>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</si>
  <si>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</si>
  <si>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</si>
  <si>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</si>
  <si>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</si>
  <si>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</si>
  <si>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</si>
  <si>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</si>
  <si>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</si>
  <si>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</si>
  <si>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</si>
  <si>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</si>
  <si>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</si>
  <si>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</si>
  <si>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</si>
  <si>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</si>
  <si>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</si>
  <si>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</si>
  <si>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</si>
  <si>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</si>
  <si>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</si>
  <si>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</si>
  <si>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</si>
  <si>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</si>
  <si>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</si>
  <si>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</si>
  <si>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</si>
  <si>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</si>
  <si>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</si>
  <si>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</si>
  <si>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</si>
  <si>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</si>
  <si>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</si>
  <si>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</si>
  <si>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</si>
  <si>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</si>
  <si>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</si>
  <si>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</si>
  <si>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</si>
  <si>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</si>
  <si>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</si>
  <si>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</si>
  <si>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</si>
  <si>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</si>
  <si>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</si>
  <si>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</si>
  <si>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</si>
  <si>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</si>
  <si>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</si>
  <si>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</si>
  <si>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</si>
  <si>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</si>
  <si>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</si>
  <si>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</si>
  <si>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</si>
  <si>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</si>
  <si>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</si>
  <si>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</si>
  <si>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</si>
  <si>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</si>
  <si>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</si>
  <si>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</si>
  <si>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</si>
  <si>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</si>
  <si>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</si>
  <si>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</si>
  <si>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</si>
  <si>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</si>
  <si>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</si>
  <si>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</si>
  <si>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</si>
  <si>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</si>
  <si>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</si>
  <si>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</si>
  <si>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</si>
  <si>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</si>
  <si>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</si>
  <si>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</si>
  <si>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</si>
  <si>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</si>
  <si>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</si>
  <si>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</si>
  <si>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</si>
  <si>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</si>
  <si>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</si>
  <si>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</si>
  <si>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</si>
  <si>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</si>
  <si>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</si>
  <si>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</si>
  <si>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</si>
  <si>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</si>
  <si>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</si>
  <si>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</si>
  <si>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</si>
  <si>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</si>
  <si>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</si>
  <si>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</si>
  <si>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</si>
  <si>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</si>
  <si>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</si>
  <si>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</si>
  <si>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</si>
  <si>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</si>
  <si>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</si>
  <si>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</si>
  <si>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</si>
  <si>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</si>
  <si>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</si>
  <si>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</si>
  <si>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</si>
  <si>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</si>
  <si>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</si>
  <si>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</si>
  <si>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</si>
  <si>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</si>
  <si>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</si>
  <si>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</si>
  <si>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</si>
  <si>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</si>
  <si>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</si>
  <si>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</si>
  <si>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</si>
  <si>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</si>
  <si>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</si>
  <si>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</si>
  <si>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</si>
  <si>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</si>
  <si>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</si>
  <si>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</si>
  <si>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</si>
  <si>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</si>
  <si>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</si>
  <si>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</si>
  <si>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</si>
  <si>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</si>
  <si>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</si>
  <si>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</si>
  <si>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</si>
  <si>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</si>
  <si>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</si>
  <si>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</si>
  <si>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</si>
  <si>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</si>
  <si>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</si>
  <si>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</si>
  <si>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</si>
  <si>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</si>
  <si>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</si>
  <si>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</si>
  <si>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</si>
  <si>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</si>
  <si>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</si>
  <si>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</si>
  <si>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</si>
  <si>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</si>
  <si>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</si>
  <si>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</si>
  <si>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</si>
  <si>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</si>
  <si>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</si>
  <si>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</si>
  <si>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</si>
  <si>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</si>
  <si>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</si>
  <si>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</si>
  <si>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</si>
  <si>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</si>
  <si>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</si>
  <si>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</si>
  <si>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</si>
  <si>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</si>
  <si>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</si>
  <si>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</si>
  <si>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</si>
  <si>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</si>
  <si>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</si>
  <si>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</si>
  <si>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</si>
  <si>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</si>
  <si>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</si>
  <si>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</si>
  <si>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</si>
  <si>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</si>
  <si>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</si>
  <si>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</si>
  <si>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</si>
  <si>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</si>
  <si>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</si>
  <si>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</si>
  <si>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</si>
  <si>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</si>
  <si>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</si>
  <si>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</si>
  <si>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</si>
  <si>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</si>
  <si>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</si>
  <si>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</si>
  <si>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</si>
  <si>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</si>
  <si>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</si>
  <si>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</si>
  <si>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</si>
  <si>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</si>
  <si>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</si>
  <si>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</si>
  <si>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</si>
  <si>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</si>
  <si>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</si>
  <si>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</si>
  <si>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</si>
  <si>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</si>
  <si>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</si>
  <si>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</si>
  <si>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</si>
  <si>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</si>
  <si>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</si>
  <si>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</si>
  <si>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</si>
  <si>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</si>
  <si>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</si>
  <si>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</si>
  <si>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</si>
  <si>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</si>
  <si>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</si>
  <si>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</si>
  <si>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</si>
  <si>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</si>
  <si>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</si>
  <si>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</si>
  <si>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</si>
  <si>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</si>
  <si>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</si>
  <si>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</si>
  <si>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</si>
  <si>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</si>
  <si>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</si>
  <si>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</si>
  <si>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</si>
  <si>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</si>
  <si>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</si>
  <si>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</si>
  <si>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</si>
  <si>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</si>
  <si>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</si>
  <si>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</si>
  <si>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</si>
  <si>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</si>
  <si>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</si>
  <si>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</si>
  <si>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</si>
  <si>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</si>
  <si>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</si>
  <si>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</si>
  <si>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</si>
  <si>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</si>
  <si>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</si>
  <si>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</si>
  <si>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</si>
  <si>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</si>
  <si>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</si>
  <si>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</si>
  <si>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</si>
  <si>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</si>
  <si>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</si>
  <si>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</si>
  <si>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</si>
  <si>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</si>
  <si>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</si>
  <si>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</si>
  <si>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</si>
  <si>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</si>
  <si>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</si>
  <si>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</si>
  <si>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</si>
  <si>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</si>
  <si>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</si>
  <si>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</si>
  <si>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</si>
  <si>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</si>
  <si>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</si>
  <si>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</si>
  <si>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</si>
  <si>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</si>
  <si>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</si>
  <si>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</si>
  <si>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</si>
  <si>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</si>
  <si>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</si>
  <si>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</si>
  <si>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</si>
  <si>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</si>
  <si>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</si>
  <si>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</si>
  <si>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</si>
  <si>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</si>
  <si>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</si>
  <si>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</si>
  <si>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</si>
  <si>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</si>
  <si>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</si>
  <si>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</si>
  <si>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</si>
  <si>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</si>
  <si>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</si>
  <si>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</si>
  <si>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</si>
  <si>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</si>
  <si>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</si>
  <si>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</si>
  <si>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</si>
  <si>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</si>
  <si>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</si>
  <si>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</si>
  <si>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</si>
  <si>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</si>
  <si>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</si>
  <si>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</si>
  <si>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</si>
  <si>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</si>
  <si>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</si>
  <si>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</si>
  <si>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</si>
  <si>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</si>
  <si>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</si>
  <si>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</si>
  <si>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</si>
  <si>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</si>
  <si>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</si>
  <si>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</si>
  <si>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</si>
  <si>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</si>
  <si>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</si>
  <si>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</si>
  <si>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</si>
  <si>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</si>
  <si>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</si>
  <si>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</si>
  <si>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</si>
  <si>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</si>
  <si>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</si>
  <si>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</si>
  <si>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</si>
  <si>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</si>
  <si>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</si>
  <si>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</si>
  <si>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</si>
  <si>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</si>
  <si>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</si>
  <si>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</si>
  <si>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</si>
  <si>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</si>
  <si>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</si>
  <si>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</si>
  <si>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</si>
  <si>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</si>
  <si>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</si>
  <si>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</si>
  <si>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</si>
  <si>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</si>
  <si>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</si>
  <si>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</si>
  <si>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</si>
  <si>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</si>
  <si>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</si>
  <si>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</si>
  <si>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</si>
  <si>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</si>
  <si>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</si>
  <si>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</si>
  <si>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</si>
  <si>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</si>
  <si>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</si>
  <si>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</si>
  <si>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</si>
  <si>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</si>
  <si>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</si>
  <si>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</si>
  <si>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</si>
  <si>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</si>
  <si>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</si>
  <si>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</si>
  <si>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</si>
  <si>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</si>
  <si>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</si>
  <si>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</si>
  <si>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</si>
  <si>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</si>
  <si>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</si>
  <si>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</si>
  <si>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</si>
  <si>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</si>
  <si>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</si>
  <si>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</si>
  <si>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</si>
  <si>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</si>
  <si>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</si>
  <si>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</si>
  <si>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</si>
  <si>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</si>
  <si>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</si>
  <si>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</si>
  <si>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</si>
  <si>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</si>
  <si>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</si>
  <si>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</si>
  <si>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</si>
  <si>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</si>
  <si>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</si>
  <si>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</si>
  <si>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</si>
  <si>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</si>
  <si>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</si>
  <si>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</si>
  <si>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</si>
  <si>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</si>
  <si>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</si>
  <si>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</si>
  <si>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</si>
  <si>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</si>
  <si>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</si>
  <si>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</si>
  <si>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</si>
  <si>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</si>
  <si>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</si>
  <si>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</si>
  <si>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</si>
  <si>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</si>
  <si>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</si>
  <si>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</si>
  <si>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</si>
  <si>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</si>
  <si>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</si>
  <si>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</si>
  <si>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</si>
  <si>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</si>
  <si>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</si>
  <si>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</si>
  <si>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</si>
  <si>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</si>
  <si>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</si>
  <si>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</si>
  <si>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</si>
  <si>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</si>
  <si>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</si>
  <si>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</si>
  <si>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</si>
  <si>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</si>
  <si>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</si>
  <si>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</si>
  <si>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</si>
  <si>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</si>
  <si>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</si>
  <si>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</si>
  <si>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</si>
  <si>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</si>
  <si>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</si>
  <si>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</si>
  <si>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</si>
  <si>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</si>
  <si>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</si>
  <si>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</si>
  <si>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</si>
  <si>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</si>
  <si>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</si>
  <si>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</si>
  <si>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</si>
  <si>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</si>
  <si>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</si>
  <si>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</si>
  <si>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</si>
  <si>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</si>
  <si>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</si>
  <si>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</si>
  <si>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</si>
  <si>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</si>
  <si>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</si>
  <si>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</si>
  <si>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</si>
  <si>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</si>
  <si>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</si>
  <si>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</si>
  <si>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</si>
  <si>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</si>
  <si>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</si>
  <si>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</si>
  <si>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</si>
  <si>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</si>
  <si>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</si>
  <si>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</si>
  <si>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</si>
  <si>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</si>
  <si>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</si>
  <si>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</si>
  <si>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</si>
  <si>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</si>
  <si>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</si>
  <si>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</si>
  <si>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</si>
  <si>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</si>
  <si>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</si>
  <si>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</si>
  <si>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</si>
  <si>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</si>
  <si>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</si>
  <si>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</si>
  <si>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</si>
  <si>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</si>
  <si>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</si>
  <si>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</si>
  <si>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</si>
  <si>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</si>
  <si>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</si>
  <si>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</si>
  <si>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</si>
  <si>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</si>
  <si>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</si>
  <si>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</si>
  <si>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</si>
  <si>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</si>
  <si>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</si>
  <si>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</si>
  <si>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</si>
  <si>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</si>
  <si>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</si>
  <si>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</si>
  <si>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</si>
  <si>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</si>
  <si>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</si>
  <si>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</si>
  <si>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</si>
  <si>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</si>
  <si>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</si>
  <si>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</si>
  <si>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</si>
  <si>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</si>
  <si>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</si>
  <si>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</si>
  <si>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</si>
  <si>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</si>
  <si>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</si>
  <si>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</si>
  <si>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</si>
  <si>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</si>
  <si>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</si>
  <si>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</si>
  <si>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</si>
  <si>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</si>
  <si>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</si>
  <si>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</si>
  <si>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</si>
  <si>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</si>
  <si>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</si>
  <si>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</si>
  <si>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</si>
  <si>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</si>
  <si>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</si>
  <si>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</si>
  <si>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</si>
  <si>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</si>
  <si>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</si>
  <si>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</si>
  <si>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</si>
  <si>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</si>
  <si>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</si>
  <si>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</si>
  <si>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</si>
  <si>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</si>
  <si>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</si>
  <si>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</si>
  <si>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</si>
  <si>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</si>
  <si>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</si>
  <si>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</si>
  <si>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</si>
  <si>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</si>
  <si>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</si>
  <si>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</si>
  <si>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</si>
  <si>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</si>
  <si>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</si>
  <si>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</si>
  <si>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</si>
  <si>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</si>
  <si>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</si>
  <si>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</si>
  <si>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</si>
  <si>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</si>
  <si>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</si>
  <si>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</si>
  <si>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</si>
  <si>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</si>
  <si>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</si>
  <si>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</si>
  <si>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</si>
  <si>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</si>
  <si>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</si>
  <si>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</si>
  <si>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</si>
  <si>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</si>
  <si>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</si>
  <si>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</si>
  <si>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</si>
  <si>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</si>
  <si>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</si>
  <si>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</si>
  <si>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</si>
  <si>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</si>
  <si>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</si>
  <si>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</si>
  <si>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</si>
  <si>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</si>
  <si>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</si>
  <si>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</si>
  <si>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</si>
  <si>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</si>
  <si>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</si>
  <si>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</si>
  <si>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</si>
  <si>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</si>
  <si>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</si>
  <si>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</si>
  <si>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</si>
  <si>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</si>
  <si>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</si>
  <si>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</si>
  <si>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</si>
  <si>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</si>
  <si>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</si>
  <si>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</si>
  <si>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</si>
  <si>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</si>
  <si>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</si>
  <si>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</si>
  <si>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</si>
  <si>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</si>
  <si>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</si>
  <si>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</si>
  <si>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</si>
  <si>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</si>
  <si>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</si>
  <si>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</si>
  <si>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</si>
  <si>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</si>
  <si>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</si>
  <si>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</si>
  <si>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</si>
  <si>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</si>
  <si>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</si>
  <si>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</si>
  <si>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</si>
  <si>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</si>
  <si>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</si>
  <si>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</si>
  <si>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</si>
  <si>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</si>
  <si>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</si>
  <si>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</si>
  <si>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</si>
  <si>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</si>
  <si>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</si>
  <si>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</si>
  <si>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</si>
  <si>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</si>
  <si>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</si>
  <si>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</si>
  <si>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</si>
  <si>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</si>
  <si>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</si>
  <si>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</si>
  <si>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</si>
  <si>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</si>
  <si>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</si>
  <si>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</si>
  <si>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</si>
  <si>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</si>
  <si>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</si>
  <si>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</si>
  <si>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</si>
  <si>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</si>
  <si>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</si>
  <si>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</si>
  <si>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</si>
  <si>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</si>
  <si>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</si>
  <si>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</si>
  <si>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</si>
  <si>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</si>
  <si>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</si>
  <si>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</si>
  <si>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</si>
  <si>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</si>
  <si>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</si>
  <si>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</si>
  <si>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</si>
  <si>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</si>
  <si>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</si>
  <si>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</si>
  <si>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</si>
  <si>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</si>
  <si>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</si>
  <si>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</si>
  <si>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</si>
  <si>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</si>
  <si>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</si>
  <si>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</si>
  <si>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</si>
  <si>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</si>
  <si>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</si>
  <si>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</si>
  <si>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</si>
  <si>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</si>
  <si>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</si>
  <si>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</si>
  <si>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</si>
  <si>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</si>
  <si>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</si>
  <si>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</si>
  <si>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</si>
  <si>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</si>
  <si>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</si>
  <si>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</si>
  <si>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</si>
  <si>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</si>
  <si>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</si>
  <si>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</si>
  <si>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</si>
  <si>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</si>
  <si>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</si>
  <si>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</si>
  <si>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</si>
  <si>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</si>
  <si>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</si>
  <si>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</si>
  <si>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</si>
  <si>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</si>
  <si>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</si>
  <si>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</si>
  <si>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</si>
  <si>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</si>
  <si>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</si>
  <si>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</si>
  <si>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</si>
  <si>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</si>
  <si>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</si>
  <si>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</si>
  <si>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</si>
  <si>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</si>
  <si>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</si>
  <si>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</si>
  <si>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</si>
  <si>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</si>
  <si>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</si>
  <si>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</si>
  <si>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</si>
  <si>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</si>
  <si>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</si>
  <si>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</si>
  <si>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</si>
  <si>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</si>
  <si>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</si>
  <si>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</si>
  <si>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</si>
  <si>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</si>
  <si>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</si>
  <si>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</si>
  <si>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</si>
  <si>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</si>
  <si>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</si>
  <si>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</si>
  <si>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</si>
  <si>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</si>
  <si>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</si>
  <si>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</si>
  <si>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</si>
  <si>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</si>
  <si>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</si>
  <si>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</si>
  <si>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</si>
  <si>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</si>
  <si>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</si>
  <si>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</si>
  <si>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</si>
  <si>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</si>
  <si>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</si>
  <si>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</si>
  <si>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</si>
  <si>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</si>
  <si>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</si>
  <si>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</si>
  <si>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</si>
  <si>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</si>
  <si>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</si>
  <si>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</si>
  <si>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</si>
  <si>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</si>
  <si>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</si>
  <si>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</si>
  <si>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</si>
  <si>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</si>
  <si>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</si>
  <si>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</si>
  <si>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</si>
  <si>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</si>
  <si>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</si>
  <si>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</si>
  <si>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</si>
  <si>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</si>
  <si>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</si>
  <si>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</si>
  <si>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</si>
  <si>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</si>
  <si>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</si>
  <si>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</si>
  <si>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</si>
  <si>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</si>
  <si>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</si>
  <si>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</si>
  <si>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</si>
  <si>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</si>
  <si>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</si>
  <si>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</si>
  <si>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</si>
  <si>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</si>
  <si>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</si>
  <si>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</si>
  <si>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</si>
  <si>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</si>
  <si>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</si>
  <si>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</si>
  <si>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</si>
  <si>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</si>
  <si>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</si>
  <si>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</si>
  <si>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</si>
  <si>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</si>
  <si>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</si>
  <si>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</si>
  <si>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</si>
  <si>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</si>
  <si>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</si>
  <si>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</si>
  <si>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</si>
  <si>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</si>
  <si>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</si>
  <si>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</si>
  <si>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</si>
  <si>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</si>
  <si>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</si>
  <si>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</si>
  <si>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</si>
  <si>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</si>
  <si>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</si>
  <si>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</si>
  <si>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</si>
  <si>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</si>
  <si>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</si>
  <si>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</si>
  <si>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</si>
  <si>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</si>
  <si>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</si>
  <si>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</si>
  <si>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</si>
  <si>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</si>
  <si>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</si>
  <si>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</si>
  <si>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</si>
  <si>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</si>
  <si>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</si>
  <si>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</si>
  <si>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</si>
  <si>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</si>
  <si>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</si>
  <si>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</si>
  <si>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</si>
  <si>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</si>
  <si>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</si>
  <si>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</si>
  <si>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</si>
  <si>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</si>
  <si>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</si>
  <si>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</si>
  <si>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</si>
  <si>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</si>
  <si>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</si>
  <si>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</si>
  <si>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</si>
  <si>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</si>
  <si>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</si>
  <si>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</si>
  <si>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</si>
  <si>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</si>
  <si>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</si>
  <si>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</si>
  <si>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</si>
  <si>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</si>
  <si>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</si>
  <si>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</si>
  <si>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</si>
  <si>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</si>
  <si>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</si>
  <si>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</si>
  <si>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</si>
  <si>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</si>
  <si>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</si>
  <si>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</si>
  <si>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</si>
  <si>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</si>
  <si>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</si>
  <si>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</si>
  <si>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</si>
  <si>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</si>
  <si>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</si>
  <si>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</si>
  <si>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</si>
  <si>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</si>
  <si>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</si>
  <si>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</si>
  <si>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</si>
  <si>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</si>
  <si>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</si>
  <si>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</si>
  <si>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</si>
  <si>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</si>
  <si>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</si>
  <si>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</si>
  <si>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</si>
  <si>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</si>
  <si>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</si>
  <si>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</si>
  <si>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</si>
  <si>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</si>
  <si>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</si>
  <si>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</si>
  <si>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</si>
  <si>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</si>
  <si>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</si>
  <si>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</si>
  <si>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</si>
  <si>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</si>
  <si>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</si>
  <si>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</si>
  <si>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</si>
  <si>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</si>
  <si>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</si>
  <si>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</si>
  <si>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</si>
  <si>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</si>
  <si>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</si>
  <si>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</si>
  <si>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</si>
  <si>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</si>
  <si>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</si>
  <si>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</si>
  <si>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</si>
  <si>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</si>
  <si>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</si>
  <si>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</si>
  <si>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</si>
  <si>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</si>
  <si>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</si>
  <si>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</si>
  <si>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</si>
  <si>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</si>
  <si>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</si>
  <si>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</si>
  <si>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</si>
  <si>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</si>
  <si>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</si>
  <si>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</si>
  <si>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</si>
  <si>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</si>
  <si>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</si>
  <si>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</si>
  <si>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</si>
  <si>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</si>
  <si>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</si>
  <si>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</si>
  <si>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</si>
  <si>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</si>
  <si>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</si>
  <si>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</si>
  <si>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</si>
  <si>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</si>
  <si>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</si>
  <si>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</si>
  <si>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</si>
  <si>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</si>
  <si>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</si>
  <si>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</si>
  <si>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</si>
  <si>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</si>
  <si>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</si>
  <si>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</si>
  <si>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</si>
  <si>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</si>
  <si>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</si>
  <si>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</si>
  <si>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</si>
  <si>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</si>
  <si>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</si>
  <si>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</si>
  <si>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</si>
  <si>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</si>
  <si>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</si>
  <si>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</si>
  <si>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</si>
  <si>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</si>
  <si>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</si>
  <si>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</si>
  <si>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</si>
  <si>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</si>
  <si>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</si>
  <si>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</si>
  <si>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</si>
  <si>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</si>
  <si>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</si>
  <si>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</si>
  <si>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</si>
  <si>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</si>
  <si>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</si>
  <si>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</si>
  <si>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</si>
  <si>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</si>
  <si>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</si>
  <si>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</si>
  <si>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</si>
  <si>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</si>
  <si>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</si>
  <si>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</si>
  <si>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</si>
  <si>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</si>
  <si>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</si>
  <si>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</si>
  <si>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</si>
  <si>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</si>
  <si>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</si>
  <si>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</si>
  <si>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</si>
  <si>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</si>
  <si>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</si>
  <si>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</si>
  <si>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</si>
  <si>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</si>
  <si>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</si>
  <si>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</si>
  <si>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</si>
  <si>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</si>
  <si>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</si>
  <si>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</si>
  <si>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</si>
  <si>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</si>
  <si>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</si>
  <si>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</si>
  <si>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</si>
  <si>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</si>
  <si>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</si>
  <si>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</si>
  <si>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</si>
  <si>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</si>
  <si>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</si>
  <si>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</si>
  <si>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</si>
  <si>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</si>
  <si>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</si>
  <si>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</si>
  <si>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</si>
  <si>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</si>
  <si>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</si>
  <si>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</si>
  <si>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</si>
  <si>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</si>
  <si>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</si>
  <si>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</si>
  <si>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</si>
  <si>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</si>
  <si>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</si>
  <si>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</si>
  <si>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</si>
  <si>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</si>
  <si>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</si>
  <si>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</si>
  <si>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</si>
  <si>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</si>
  <si>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</si>
  <si>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</si>
  <si>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</si>
  <si>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</si>
  <si>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</si>
  <si>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</si>
  <si>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</si>
  <si>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</si>
  <si>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</si>
  <si>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</si>
  <si>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</si>
  <si>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</si>
  <si>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</si>
  <si>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</si>
  <si>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</si>
  <si>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</si>
  <si>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</si>
  <si>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</si>
  <si>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</si>
  <si>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</si>
  <si>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</si>
  <si>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</si>
  <si>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</si>
  <si>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</si>
  <si>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</si>
  <si>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</si>
  <si>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</si>
  <si>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</si>
  <si>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</si>
  <si>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</si>
  <si>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</si>
  <si>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</si>
  <si>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</si>
  <si>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</si>
  <si>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</si>
  <si>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</si>
  <si>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</si>
  <si>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</si>
  <si>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</si>
  <si>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</si>
  <si>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</si>
  <si>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</si>
  <si>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</si>
  <si>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</si>
  <si>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</si>
  <si>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</si>
  <si>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</si>
  <si>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</si>
  <si>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</si>
  <si>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</si>
  <si>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</si>
  <si>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</si>
  <si>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</si>
  <si>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</si>
  <si>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</si>
  <si>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</si>
  <si>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</si>
  <si>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</si>
  <si>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</si>
  <si>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</si>
  <si>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</si>
  <si>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</si>
  <si>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</si>
  <si>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</si>
  <si>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</si>
  <si>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</si>
  <si>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</si>
  <si>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</si>
  <si>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</si>
  <si>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</si>
  <si>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</si>
  <si>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</si>
  <si>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</si>
  <si>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</si>
  <si>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</si>
  <si>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</si>
  <si>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</si>
  <si>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</si>
  <si>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</si>
  <si>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</si>
  <si>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</si>
  <si>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</si>
  <si>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</si>
  <si>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</si>
  <si>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</si>
  <si>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</si>
  <si>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</si>
  <si>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</si>
  <si>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</si>
  <si>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</si>
  <si>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</si>
  <si>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</si>
  <si>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</si>
  <si>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</si>
  <si>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</si>
  <si>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</si>
  <si>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</si>
  <si>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</si>
  <si>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</si>
  <si>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</si>
  <si>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</si>
  <si>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</si>
  <si>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</si>
  <si>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</si>
  <si>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</si>
  <si>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</si>
  <si>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</si>
  <si>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</si>
  <si>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</si>
  <si>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</si>
  <si>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</si>
  <si>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</si>
  <si>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</si>
  <si>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</si>
  <si>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</si>
  <si>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</si>
  <si>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</si>
  <si>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</si>
  <si>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</si>
  <si>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</si>
  <si>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</si>
  <si>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</si>
  <si>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</si>
  <si>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</si>
  <si>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</si>
  <si>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</si>
  <si>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</si>
  <si>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</si>
  <si>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</si>
  <si>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</si>
  <si>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</si>
  <si>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</si>
  <si>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</si>
  <si>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</si>
  <si>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</si>
  <si>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</si>
  <si>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</si>
  <si>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</si>
  <si>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</si>
  <si>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</si>
  <si>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</si>
  <si>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</si>
  <si>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</si>
  <si>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</si>
  <si>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</si>
  <si>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</si>
  <si>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</si>
  <si>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</si>
  <si>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</si>
  <si>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</si>
  <si>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</si>
  <si>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</si>
  <si>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</si>
  <si>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</si>
  <si>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</si>
  <si>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</si>
  <si>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</si>
  <si>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</si>
  <si>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</si>
  <si>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</si>
  <si>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</si>
  <si>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</si>
  <si>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</si>
  <si>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</si>
  <si>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</si>
  <si>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</si>
  <si>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</si>
  <si>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</si>
  <si>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</si>
  <si>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</si>
  <si>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</si>
  <si>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</si>
  <si>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</si>
  <si>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</si>
  <si>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</si>
  <si>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</si>
  <si>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</si>
  <si>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</si>
  <si>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</si>
  <si>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</si>
  <si>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</si>
  <si>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</si>
  <si>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</si>
  <si>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</si>
  <si>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</si>
  <si>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</si>
  <si>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</si>
  <si>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</si>
  <si>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</si>
  <si>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</si>
  <si>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</si>
  <si>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</si>
  <si>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</si>
  <si>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</si>
  <si>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</si>
  <si>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</si>
  <si>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</si>
  <si>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</si>
  <si>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</si>
  <si>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</si>
  <si>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</si>
  <si>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</si>
  <si>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</si>
  <si>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</si>
  <si>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</si>
  <si>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</si>
  <si>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</si>
  <si>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</si>
  <si>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</si>
  <si>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</si>
  <si>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</si>
  <si>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</si>
  <si>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</si>
  <si>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</si>
  <si>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</si>
  <si>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</si>
  <si>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</si>
  <si>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</si>
  <si>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</si>
  <si>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</si>
  <si>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</si>
  <si>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</si>
  <si>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</si>
  <si>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</si>
  <si>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</si>
  <si>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</si>
  <si>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</si>
  <si>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</si>
  <si>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</si>
  <si>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</si>
  <si>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</si>
  <si>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</si>
  <si>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</si>
  <si>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</si>
  <si>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</si>
  <si>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</si>
  <si>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</si>
  <si>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</si>
  <si>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</si>
  <si>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</si>
  <si>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</si>
  <si>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</si>
  <si>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</si>
  <si>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</si>
  <si>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</si>
  <si>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</si>
  <si>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</si>
  <si>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</si>
  <si>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</si>
  <si>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</si>
  <si>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</si>
  <si>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</si>
  <si>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</si>
  <si>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</si>
  <si>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</si>
  <si>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</si>
  <si>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</si>
  <si>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</si>
  <si>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</si>
  <si>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</si>
  <si>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</si>
  <si>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</si>
  <si>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</si>
  <si>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</si>
  <si>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</si>
  <si>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</si>
  <si>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</si>
  <si>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</si>
  <si>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</si>
  <si>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</si>
  <si>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</si>
  <si>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</si>
  <si>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</si>
  <si>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</si>
  <si>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</si>
  <si>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</si>
  <si>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</si>
  <si>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</si>
  <si>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</si>
  <si>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</si>
  <si>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</si>
  <si>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</si>
  <si>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</si>
  <si>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</si>
  <si>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</si>
  <si>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</si>
  <si>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</si>
  <si>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</si>
  <si>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</si>
  <si>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</si>
  <si>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</si>
  <si>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</si>
  <si>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</si>
  <si>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</si>
  <si>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</si>
  <si>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</si>
  <si>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</si>
  <si>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</si>
  <si>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</si>
  <si>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</si>
  <si>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</si>
  <si>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</si>
  <si>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</si>
  <si>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</si>
  <si>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</si>
  <si>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</si>
  <si>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</si>
  <si>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</si>
  <si>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</si>
  <si>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</si>
  <si>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</si>
  <si>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</si>
  <si>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</si>
  <si>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</si>
  <si>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</si>
  <si>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</si>
  <si>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</si>
  <si>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</si>
  <si>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</si>
  <si>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</si>
  <si>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</si>
  <si>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</si>
  <si>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</si>
  <si>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</si>
  <si>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</si>
  <si>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</si>
  <si>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</si>
  <si>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</si>
  <si>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</si>
  <si>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</si>
  <si>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</si>
  <si>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</si>
  <si>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</si>
  <si>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</si>
  <si>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</si>
  <si>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</si>
  <si>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</si>
  <si>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</si>
  <si>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</si>
  <si>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</si>
  <si>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</si>
  <si>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</si>
  <si>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</si>
  <si>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</si>
  <si>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</si>
  <si>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</si>
  <si>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</si>
  <si>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</si>
  <si>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</si>
  <si>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</si>
  <si>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</si>
  <si>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</si>
  <si>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</si>
  <si>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</si>
  <si>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</si>
  <si>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</si>
  <si>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</si>
  <si>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</si>
  <si>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</si>
  <si>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</si>
  <si>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</si>
  <si>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</si>
  <si>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</si>
  <si>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</si>
  <si>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</si>
  <si>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</si>
  <si>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</si>
  <si>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</si>
  <si>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</si>
  <si>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</si>
  <si>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</si>
  <si>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</si>
  <si>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</si>
  <si>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</si>
  <si>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</si>
  <si>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</si>
  <si>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</si>
  <si>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</si>
  <si>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</si>
  <si>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</si>
  <si>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</si>
  <si>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</si>
  <si>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</si>
  <si>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</si>
  <si>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</si>
  <si>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</si>
  <si>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</si>
  <si>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</si>
  <si>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</si>
  <si>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</si>
  <si>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</si>
  <si>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</si>
  <si>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</si>
  <si>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</si>
  <si>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</si>
  <si>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</si>
  <si>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</si>
  <si>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</si>
  <si>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</si>
  <si>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</si>
  <si>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</si>
  <si>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</si>
  <si>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</si>
  <si>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</si>
  <si>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</si>
  <si>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</si>
  <si>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</si>
  <si>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</si>
  <si>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</si>
  <si>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</si>
  <si>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</si>
  <si>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</si>
  <si>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</si>
  <si>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</si>
  <si>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</si>
  <si>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</si>
  <si>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</si>
  <si>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</si>
  <si>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</si>
  <si>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</si>
  <si>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</si>
  <si>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</si>
  <si>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</si>
  <si>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</si>
  <si>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</si>
  <si>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</si>
  <si>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</si>
  <si>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</si>
  <si>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</si>
  <si>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</si>
  <si>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</si>
  <si>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</si>
  <si>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</si>
  <si>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</si>
  <si>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</si>
  <si>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</si>
  <si>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</si>
  <si>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</si>
  <si>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</si>
  <si>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</si>
  <si>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</si>
  <si>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</si>
  <si>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</si>
  <si>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</si>
  <si>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</si>
  <si>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</si>
  <si>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</si>
  <si>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</si>
  <si>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</si>
  <si>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</si>
  <si>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</si>
  <si>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</si>
  <si>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</si>
  <si>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</si>
  <si>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</si>
  <si>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</si>
  <si>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</si>
  <si>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</si>
  <si>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</si>
  <si>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</si>
  <si>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</si>
  <si>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</si>
  <si>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</si>
  <si>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</si>
  <si>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</si>
  <si>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</si>
  <si>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</si>
  <si>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</si>
  <si>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</si>
  <si>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</si>
  <si>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</si>
  <si>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</si>
  <si>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</si>
  <si>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</si>
  <si>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</si>
  <si>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</si>
  <si>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</si>
  <si>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</si>
  <si>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</si>
  <si>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</si>
  <si>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</si>
  <si>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</si>
  <si>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</si>
  <si>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</si>
  <si>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</si>
  <si>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</si>
  <si>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</si>
  <si>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</si>
  <si>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</si>
  <si>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</si>
  <si>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</si>
  <si>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</si>
  <si>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</si>
  <si>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</si>
  <si>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</si>
  <si>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</si>
  <si>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</si>
  <si>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</si>
  <si>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</si>
  <si>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</si>
  <si>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</si>
  <si>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</si>
  <si>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</si>
  <si>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</si>
  <si>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</si>
  <si>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</si>
  <si>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</si>
  <si>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</si>
  <si>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</si>
  <si>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</si>
  <si>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</si>
  <si>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</si>
  <si>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</si>
  <si>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</si>
  <si>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</si>
  <si>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</si>
  <si>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</si>
  <si>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</si>
  <si>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</si>
  <si>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</si>
  <si>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</si>
  <si>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</si>
  <si>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</si>
  <si>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</si>
  <si>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</si>
  <si>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</si>
  <si>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</si>
  <si>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</si>
  <si>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</si>
  <si>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</si>
  <si>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</si>
  <si>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</si>
  <si>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</si>
  <si>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</si>
  <si>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</si>
  <si>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</si>
  <si>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</si>
  <si>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</si>
  <si>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</si>
  <si>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</si>
  <si>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</si>
  <si>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</si>
  <si>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</si>
  <si>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</si>
  <si>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</si>
  <si>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</si>
  <si>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</si>
  <si>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</si>
  <si>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</si>
  <si>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</si>
  <si>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</si>
  <si>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</si>
  <si>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</si>
  <si>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</si>
  <si>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</si>
  <si>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</si>
  <si>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</si>
  <si>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</si>
  <si>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</si>
  <si>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</si>
  <si>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</si>
  <si>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</si>
  <si>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</si>
  <si>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</si>
  <si>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</si>
  <si>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</si>
  <si>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</si>
  <si>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</si>
  <si>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</si>
  <si>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</si>
  <si>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</si>
  <si>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</si>
  <si>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</si>
  <si>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</si>
  <si>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</si>
  <si>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</si>
  <si>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</si>
  <si>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</si>
  <si>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</si>
  <si>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</si>
  <si>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</si>
  <si>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</si>
  <si>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</si>
  <si>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</si>
  <si>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</si>
  <si>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</si>
  <si>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</si>
  <si>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</si>
  <si>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</si>
  <si>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</si>
  <si>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</si>
  <si>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</si>
  <si>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</si>
  <si>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</si>
  <si>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</si>
  <si>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</si>
  <si>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</si>
  <si>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</si>
  <si>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</si>
  <si>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</si>
  <si>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</si>
  <si>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</si>
  <si>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</si>
  <si>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</si>
  <si>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</si>
  <si>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</si>
  <si>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</si>
  <si>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</si>
  <si>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</si>
  <si>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</si>
  <si>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</si>
  <si>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</si>
  <si>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</si>
  <si>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</si>
  <si>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</si>
  <si>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</si>
  <si>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</si>
  <si>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</si>
  <si>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</si>
  <si>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</si>
  <si>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</si>
  <si>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</si>
  <si>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</si>
  <si>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</si>
  <si>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</si>
  <si>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</si>
  <si>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</si>
  <si>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</si>
  <si>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</si>
  <si>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</si>
  <si>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</si>
  <si>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</si>
  <si>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</si>
  <si>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</si>
  <si>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</si>
  <si>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</si>
  <si>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</si>
  <si>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</si>
  <si>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</si>
  <si>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</si>
  <si>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</si>
  <si>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</si>
  <si>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</si>
  <si>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</si>
  <si>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</si>
  <si>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</si>
  <si>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</si>
  <si>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</si>
  <si>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</si>
  <si>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</si>
  <si>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</si>
  <si>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</si>
  <si>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</si>
  <si>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</si>
  <si>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</si>
  <si>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</si>
  <si>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</si>
  <si>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</si>
  <si>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</si>
  <si>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</si>
  <si>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</si>
  <si>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</si>
  <si>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</si>
  <si>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</si>
  <si>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</si>
  <si>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</si>
  <si>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</si>
  <si>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</si>
  <si>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</si>
  <si>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</si>
  <si>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</si>
  <si>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</si>
  <si>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</si>
  <si>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</si>
  <si>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</si>
  <si>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</si>
  <si>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</si>
  <si>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</si>
  <si>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</si>
  <si>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</si>
  <si>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</si>
  <si>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</si>
  <si>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</si>
  <si>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</si>
  <si>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</si>
  <si>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</si>
  <si>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</si>
  <si>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</si>
  <si>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</si>
  <si>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</si>
  <si>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</si>
  <si>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</si>
  <si>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</si>
  <si>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</si>
  <si>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</si>
  <si>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</si>
  <si>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</si>
  <si>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</si>
  <si>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</si>
  <si>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</si>
  <si>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</si>
  <si>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</si>
  <si>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</si>
  <si>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</si>
  <si>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</si>
  <si>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</si>
  <si>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</si>
  <si>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</si>
  <si>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</si>
  <si>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</si>
  <si>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</si>
  <si>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</si>
  <si>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</si>
  <si>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</si>
  <si>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</si>
  <si>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</si>
  <si>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</si>
  <si>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</si>
  <si>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</si>
  <si>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</si>
  <si>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</si>
  <si>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</si>
  <si>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</si>
  <si>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</si>
  <si>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</si>
  <si>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</si>
  <si>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</si>
  <si>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</si>
  <si>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</si>
  <si>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</si>
  <si>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</si>
  <si>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</si>
  <si>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</si>
  <si>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</si>
  <si>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</si>
  <si>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</si>
  <si>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</si>
  <si>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</si>
  <si>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</si>
  <si>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</si>
  <si>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</si>
  <si>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</si>
  <si>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</si>
  <si>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</si>
  <si>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</si>
  <si>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</si>
  <si>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</si>
  <si>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</si>
  <si>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</si>
  <si>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</si>
  <si>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</si>
  <si>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</si>
  <si>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</si>
  <si>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</si>
  <si>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</si>
  <si>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</si>
  <si>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</si>
  <si>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</si>
  <si>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</si>
  <si>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</si>
  <si>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</si>
  <si>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</si>
  <si>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</si>
  <si>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</si>
  <si>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</si>
  <si>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</si>
  <si>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</si>
  <si>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</si>
  <si>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</si>
  <si>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</si>
  <si>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</si>
  <si>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</si>
  <si>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</si>
  <si>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</si>
  <si>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</si>
  <si>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</si>
  <si>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</si>
  <si>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</si>
  <si>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</si>
  <si>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</si>
  <si>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 xml:space="preserve">Cook </t>
  </si>
  <si>
    <t>4625 West 107th Street</t>
  </si>
  <si>
    <t>Oak Lawn</t>
  </si>
  <si>
    <t>canna@macspartnership.com</t>
  </si>
  <si>
    <t>Worth</t>
  </si>
  <si>
    <t>Debbie Canna</t>
  </si>
  <si>
    <t>Terry LaBella</t>
  </si>
  <si>
    <t>talabella@sbc.global.net</t>
  </si>
  <si>
    <t>708-952-9340</t>
  </si>
  <si>
    <t>Dr. Vanessa Kinder</t>
  </si>
  <si>
    <t>vkinder@s-cook.org</t>
  </si>
  <si>
    <t>708-754-6600</t>
  </si>
  <si>
    <t>RSM US LLP</t>
  </si>
  <si>
    <t>John George</t>
  </si>
  <si>
    <t>One South Wacker Drive Suite 800</t>
  </si>
  <si>
    <t>Chicago</t>
  </si>
  <si>
    <t>IL</t>
  </si>
  <si>
    <t>312-634-3400</t>
  </si>
  <si>
    <t>066-003346</t>
  </si>
  <si>
    <t>John.George@rsmus.com</t>
  </si>
  <si>
    <t>RSM US LLP (See PDF on Opinion-Notes 36 tab)</t>
  </si>
  <si>
    <t>Revenue 9-14 tab - Revenue source 4799 amount is CTE Perkins - Secondary disbursed by ISBE under revenue source 4745</t>
  </si>
  <si>
    <t>Worth Township Treasurer</t>
  </si>
  <si>
    <t>NA - No Single Audit</t>
  </si>
  <si>
    <t>None</t>
  </si>
  <si>
    <t>N/A - Form required for Districts vs. Joint Agreements</t>
  </si>
  <si>
    <t>Audit Check issue #2 and "DeficitAFRSUM Calc 37" tab - All information is entered.  Form is showing as incomplete since the System has no fund balance</t>
  </si>
  <si>
    <t>Audit Check issue #10 - The System has no fund balance</t>
  </si>
  <si>
    <t>Audit Check issue #11 - The System does not receive on-behalf payments</t>
  </si>
  <si>
    <t>Audit Check issue #15 - The System has no contracts to enter</t>
  </si>
  <si>
    <t>Signed Cover Page</t>
  </si>
  <si>
    <t>Signed Page 2</t>
  </si>
  <si>
    <t>Financial and GAS Report</t>
  </si>
  <si>
    <t>GAS report is the last two pages</t>
  </si>
  <si>
    <t>708-422-6230</t>
  </si>
  <si>
    <t xml:space="preserve">  Moraine Area Career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</si>
</sst>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34998626667073579"/>
    <pageSetUpPr fitToPage="1"/>
  </sheetPr>
  <dimension ref="A1:AF48"/>
  <sheetViews>
    <sheetView showGridLines="0" tabSelected="1" topLeftCell="A3"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0"/>
      <c r="C3" s="150"/>
      <c r="D3" s="151"/>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0"/>
      <c r="C5" s="26" t="s">
        <v>904</v>
      </c>
      <c r="D5" s="81"/>
      <c r="E5" s="81"/>
      <c r="H5" s="38"/>
      <c r="I5" s="2124" t="s">
        <v>675</v>
      </c>
      <c r="J5" s="2069"/>
      <c r="K5" s="2069"/>
      <c r="L5" s="2069"/>
      <c r="M5" s="2069"/>
      <c r="N5" s="2069"/>
      <c r="O5" s="2069"/>
      <c r="P5" s="2069"/>
      <c r="Q5" s="2069"/>
      <c r="R5" s="2069"/>
      <c r="S5" s="2069"/>
      <c r="AF5" s="1826"/>
    </row>
    <row r="6" spans="1:32" ht="14.1" customHeight="1" x14ac:dyDescent="0.2">
      <c r="B6" s="100" t="s">
        <v>2051</v>
      </c>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3"/>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4" t="s">
        <v>2051</v>
      </c>
      <c r="P12" s="97" t="s">
        <v>200</v>
      </c>
      <c r="Q12" s="71"/>
      <c r="R12" s="30"/>
      <c r="S12" s="30"/>
      <c r="T12" s="82" t="s">
        <v>263</v>
      </c>
      <c r="U12" s="48"/>
      <c r="V12" s="48"/>
      <c r="W12" s="48"/>
      <c r="X12" s="48"/>
      <c r="Y12" s="43"/>
      <c r="Z12" s="43"/>
      <c r="AA12" s="44"/>
    </row>
    <row r="13" spans="1:32" ht="13.5" customHeight="1" x14ac:dyDescent="0.2">
      <c r="A13" s="2085">
        <v>7016218046</v>
      </c>
      <c r="B13" s="2086"/>
      <c r="C13" s="2086"/>
      <c r="D13" s="2086"/>
      <c r="E13" s="2086"/>
      <c r="F13" s="2086"/>
      <c r="G13" s="2086"/>
      <c r="H13" s="2087"/>
      <c r="I13" s="31"/>
      <c r="J13" s="30"/>
      <c r="K13" s="28"/>
      <c r="L13" s="30"/>
      <c r="M13" s="30"/>
      <c r="N13" s="30"/>
      <c r="O13" s="30"/>
      <c r="P13" s="30"/>
      <c r="Q13" s="30"/>
      <c r="R13" s="30"/>
      <c r="S13" s="30"/>
      <c r="T13" s="2090" t="s">
        <v>2064</v>
      </c>
      <c r="U13" s="2091"/>
      <c r="V13" s="2091"/>
      <c r="W13" s="2091"/>
      <c r="X13" s="2091"/>
      <c r="Y13" s="2092"/>
      <c r="Z13" s="2092"/>
      <c r="AA13" s="2093"/>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3" t="s">
        <v>2052</v>
      </c>
      <c r="B15" s="2088"/>
      <c r="C15" s="2088"/>
      <c r="D15" s="2088"/>
      <c r="E15" s="2088"/>
      <c r="F15" s="2088"/>
      <c r="G15" s="2088"/>
      <c r="H15" s="2089"/>
      <c r="T15" s="2051" t="s">
        <v>2065</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2087</v>
      </c>
      <c r="B17" s="2113"/>
      <c r="C17" s="2113"/>
      <c r="D17" s="2113"/>
      <c r="E17" s="2113"/>
      <c r="F17" s="2113"/>
      <c r="G17" s="2113"/>
      <c r="H17" s="2114"/>
      <c r="T17" s="2100" t="s">
        <v>2066</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3" t="s">
        <v>672</v>
      </c>
      <c r="AA18" s="44"/>
    </row>
    <row r="19" spans="1:27" ht="13.5" customHeight="1" x14ac:dyDescent="0.2">
      <c r="A19" s="2083" t="s">
        <v>2053</v>
      </c>
      <c r="B19" s="2084"/>
      <c r="C19" s="2084"/>
      <c r="D19" s="2084"/>
      <c r="E19" s="2084"/>
      <c r="F19" s="2084"/>
      <c r="G19" s="2084"/>
      <c r="H19" s="2082"/>
      <c r="I19" s="30"/>
      <c r="J19" s="96"/>
      <c r="K19" s="40"/>
      <c r="L19" s="38"/>
      <c r="M19" s="108" t="s">
        <v>312</v>
      </c>
      <c r="P19" s="27"/>
      <c r="Q19" s="27"/>
      <c r="R19" s="27"/>
      <c r="S19" s="31"/>
      <c r="T19" s="2083" t="s">
        <v>2067</v>
      </c>
      <c r="U19" s="2081"/>
      <c r="V19" s="2081"/>
      <c r="W19" s="2082"/>
      <c r="X19" s="2098" t="s">
        <v>2068</v>
      </c>
      <c r="Y19" s="2099"/>
      <c r="Z19" s="2096">
        <v>60606</v>
      </c>
      <c r="AA19" s="209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0" t="s">
        <v>2054</v>
      </c>
      <c r="B21" s="2081"/>
      <c r="C21" s="2081"/>
      <c r="D21" s="2081"/>
      <c r="E21" s="2081"/>
      <c r="F21" s="2081"/>
      <c r="G21" s="2081"/>
      <c r="H21" s="2082"/>
      <c r="I21" s="2106" t="s">
        <v>673</v>
      </c>
      <c r="J21" s="2069"/>
      <c r="K21" s="2069"/>
      <c r="L21" s="2069"/>
      <c r="M21" s="2069"/>
      <c r="N21" s="2069"/>
      <c r="O21" s="2069"/>
      <c r="P21" s="2069"/>
      <c r="Q21" s="2069"/>
      <c r="R21" s="2069"/>
      <c r="S21" s="2070"/>
      <c r="T21" s="2048" t="s">
        <v>2069</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4" t="s">
        <v>1307</v>
      </c>
      <c r="Z22" s="43"/>
      <c r="AA22" s="44"/>
    </row>
    <row r="23" spans="1:27" ht="13.5" customHeight="1" x14ac:dyDescent="0.2">
      <c r="A23" s="2103" t="s">
        <v>2055</v>
      </c>
      <c r="B23" s="2104"/>
      <c r="C23" s="2104"/>
      <c r="D23" s="2104"/>
      <c r="E23" s="2104"/>
      <c r="F23" s="2104"/>
      <c r="G23" s="2104"/>
      <c r="H23" s="2105"/>
      <c r="T23" s="2043" t="s">
        <v>2070</v>
      </c>
      <c r="U23" s="2044"/>
      <c r="V23" s="2044"/>
      <c r="W23" s="2044"/>
      <c r="X23" s="2059">
        <v>44530</v>
      </c>
      <c r="Y23" s="2060"/>
      <c r="Z23" s="2060"/>
      <c r="AA23" s="2061"/>
    </row>
    <row r="24" spans="1:27" ht="14.1" customHeight="1" x14ac:dyDescent="0.2">
      <c r="A24" s="85" t="s">
        <v>672</v>
      </c>
      <c r="B24" s="46"/>
      <c r="C24" s="46"/>
      <c r="D24" s="46"/>
      <c r="E24" s="46"/>
      <c r="F24" s="46"/>
      <c r="G24" s="46"/>
      <c r="H24" s="58"/>
      <c r="J24" s="2145" t="str">
        <f>IF(B5="x",IF(AUDITCHECK!D29="AFR form Incomplete.","",IF(AUDITCHECK!D29="Deficit reduction plan is required.","School District must complete a deficit reduction plan in the 2020-2021 Budget",)),"")</f>
        <v/>
      </c>
      <c r="K24" s="2145"/>
      <c r="L24" s="2145"/>
      <c r="M24" s="2145"/>
      <c r="N24" s="2145"/>
      <c r="O24" s="2145"/>
      <c r="P24" s="2145"/>
      <c r="Q24" s="2145"/>
      <c r="R24" s="2145"/>
      <c r="S24" s="2146"/>
      <c r="T24" s="101" t="s">
        <v>528</v>
      </c>
      <c r="U24" s="102"/>
      <c r="V24" s="102"/>
      <c r="W24" s="102"/>
      <c r="X24" s="103"/>
      <c r="Y24" s="103"/>
      <c r="Z24" s="103"/>
      <c r="AA24" s="104"/>
    </row>
    <row r="25" spans="1:27" ht="14.1" customHeight="1" x14ac:dyDescent="0.2">
      <c r="A25" s="2080">
        <v>60453</v>
      </c>
      <c r="B25" s="2081"/>
      <c r="C25" s="2081"/>
      <c r="D25" s="2081"/>
      <c r="E25" s="2081"/>
      <c r="F25" s="2081"/>
      <c r="G25" s="2081"/>
      <c r="H25" s="2082"/>
      <c r="I25" s="109"/>
      <c r="J25" s="2147"/>
      <c r="K25" s="2147"/>
      <c r="L25" s="2147"/>
      <c r="M25" s="2147"/>
      <c r="N25" s="2147"/>
      <c r="O25" s="2147"/>
      <c r="P25" s="2147"/>
      <c r="Q25" s="2147"/>
      <c r="R25" s="2147"/>
      <c r="S25" s="2148"/>
      <c r="T25" s="2040" t="s">
        <v>2071</v>
      </c>
      <c r="U25" s="2041"/>
      <c r="V25" s="2041"/>
      <c r="W25" s="2041"/>
      <c r="X25" s="2041"/>
      <c r="Y25" s="2041"/>
      <c r="Z25" s="2041"/>
      <c r="AA25" s="204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38" t="s">
        <v>1494</v>
      </c>
      <c r="J27" s="2111"/>
      <c r="K27" s="2111"/>
      <c r="L27" s="2111"/>
      <c r="M27" s="2111"/>
      <c r="N27" s="2111"/>
      <c r="O27" s="2111"/>
      <c r="P27" s="2111"/>
      <c r="Q27" s="2111"/>
      <c r="R27" s="2111"/>
      <c r="S27" s="2112"/>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t="s">
        <v>2056</v>
      </c>
      <c r="Q35" s="2081"/>
      <c r="R35" s="208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3" t="s">
        <v>2057</v>
      </c>
      <c r="B38" s="2113"/>
      <c r="C38" s="2113"/>
      <c r="D38" s="2113"/>
      <c r="E38" s="2113"/>
      <c r="F38" s="2081"/>
      <c r="G38" s="2081"/>
      <c r="H38" s="2082"/>
      <c r="I38" s="2132" t="s">
        <v>2058</v>
      </c>
      <c r="J38" s="2052"/>
      <c r="K38" s="2052"/>
      <c r="L38" s="2052"/>
      <c r="M38" s="2052"/>
      <c r="N38" s="2052"/>
      <c r="O38" s="2052"/>
      <c r="P38" s="2053"/>
      <c r="Q38" s="2053"/>
      <c r="R38" s="2053"/>
      <c r="S38" s="2054"/>
      <c r="T38" s="2051" t="s">
        <v>2061</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2055</v>
      </c>
      <c r="B40" s="2140"/>
      <c r="C40" s="2141"/>
      <c r="D40" s="2141"/>
      <c r="E40" s="2141"/>
      <c r="F40" s="2142"/>
      <c r="G40" s="2142"/>
      <c r="H40" s="2143"/>
      <c r="I40" s="2055" t="s">
        <v>2059</v>
      </c>
      <c r="J40" s="2057"/>
      <c r="K40" s="2057"/>
      <c r="L40" s="2057"/>
      <c r="M40" s="2057"/>
      <c r="N40" s="2057"/>
      <c r="O40" s="2057"/>
      <c r="P40" s="2057"/>
      <c r="Q40" s="2057"/>
      <c r="R40" s="2057"/>
      <c r="S40" s="2058"/>
      <c r="T40" s="2055" t="s">
        <v>2062</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2086</v>
      </c>
      <c r="B42" s="2130"/>
      <c r="C42" s="2131"/>
      <c r="D42" s="2144"/>
      <c r="E42" s="2130"/>
      <c r="F42" s="2130"/>
      <c r="G42" s="2130"/>
      <c r="H42" s="2131"/>
      <c r="I42" s="2050" t="s">
        <v>2060</v>
      </c>
      <c r="J42" s="2046"/>
      <c r="K42" s="2046"/>
      <c r="L42" s="2046"/>
      <c r="M42" s="2046"/>
      <c r="N42" s="2046"/>
      <c r="O42" s="2047"/>
      <c r="P42" s="2045"/>
      <c r="Q42" s="2046"/>
      <c r="R42" s="2046"/>
      <c r="S42" s="2047"/>
      <c r="T42" s="2050" t="s">
        <v>2063</v>
      </c>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H36"/>
  <sheetViews>
    <sheetView showGridLines="0" defaultGridColor="0" colorId="8" zoomScale="110" zoomScaleNormal="110" workbookViewId="0">
      <selection activeCell="H4" sqref="H4"/>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88"/>
      <c r="B3" s="1293"/>
      <c r="C3" s="1294"/>
      <c r="D3" s="1295" t="s">
        <v>254</v>
      </c>
      <c r="E3" s="1294"/>
      <c r="F3" s="1295" t="s">
        <v>255</v>
      </c>
    </row>
    <row r="4" spans="1:8" ht="13.7" customHeight="1" x14ac:dyDescent="0.2">
      <c r="A4" s="578" t="s">
        <v>1145</v>
      </c>
      <c r="B4" s="1720">
        <f>'Revenues 9-14'!C5</f>
        <v>0</v>
      </c>
      <c r="C4" s="1721"/>
      <c r="D4" s="1722">
        <f>B4-C4</f>
        <v>0</v>
      </c>
      <c r="E4" s="1721"/>
      <c r="F4" s="1722">
        <f>E4-C4</f>
        <v>0</v>
      </c>
    </row>
    <row r="5" spans="1:8" ht="13.7" customHeight="1" x14ac:dyDescent="0.2">
      <c r="A5" s="578" t="s">
        <v>865</v>
      </c>
      <c r="B5" s="1723">
        <f>'Revenues 9-14'!D5</f>
        <v>0</v>
      </c>
      <c r="C5" s="1663"/>
      <c r="D5" s="1724">
        <f t="shared" ref="D5:D18" si="0">B5-C5</f>
        <v>0</v>
      </c>
      <c r="E5" s="1663"/>
      <c r="F5" s="1724">
        <f>E5-C5</f>
        <v>0</v>
      </c>
    </row>
    <row r="6" spans="1:8" ht="13.7" customHeight="1" x14ac:dyDescent="0.2">
      <c r="A6" s="578" t="s">
        <v>408</v>
      </c>
      <c r="B6" s="1723">
        <f>'Revenues 9-14'!E5</f>
        <v>0</v>
      </c>
      <c r="C6" s="1663"/>
      <c r="D6" s="1724">
        <f t="shared" si="0"/>
        <v>0</v>
      </c>
      <c r="E6" s="1663"/>
      <c r="F6" s="1724">
        <f t="shared" ref="F6:F18" si="1">E6-C6</f>
        <v>0</v>
      </c>
    </row>
    <row r="7" spans="1:8" ht="13.7" customHeight="1" x14ac:dyDescent="0.2">
      <c r="A7" s="578" t="s">
        <v>154</v>
      </c>
      <c r="B7" s="1723">
        <f>'Revenues 9-14'!F5</f>
        <v>0</v>
      </c>
      <c r="C7" s="1663"/>
      <c r="D7" s="1724">
        <f t="shared" si="0"/>
        <v>0</v>
      </c>
      <c r="E7" s="1663"/>
      <c r="F7" s="1724">
        <f t="shared" si="1"/>
        <v>0</v>
      </c>
    </row>
    <row r="8" spans="1:8" ht="13.7" customHeight="1" x14ac:dyDescent="0.2">
      <c r="A8" s="578" t="s">
        <v>1169</v>
      </c>
      <c r="B8" s="1723">
        <f>'Revenues 9-14'!G5</f>
        <v>0</v>
      </c>
      <c r="C8" s="1663"/>
      <c r="D8" s="1724">
        <f t="shared" si="0"/>
        <v>0</v>
      </c>
      <c r="E8" s="1663"/>
      <c r="F8" s="1724">
        <f t="shared" si="1"/>
        <v>0</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0</v>
      </c>
      <c r="C10" s="1663"/>
      <c r="D10" s="1724">
        <f t="shared" si="0"/>
        <v>0</v>
      </c>
      <c r="E10" s="1663"/>
      <c r="F10" s="1724">
        <f t="shared" si="1"/>
        <v>0</v>
      </c>
    </row>
    <row r="11" spans="1:8" x14ac:dyDescent="0.2">
      <c r="A11" s="578" t="s">
        <v>406</v>
      </c>
      <c r="B11" s="1723">
        <f>'Revenues 9-14'!J5</f>
        <v>0</v>
      </c>
      <c r="C11" s="1663"/>
      <c r="D11" s="1724">
        <f t="shared" si="0"/>
        <v>0</v>
      </c>
      <c r="E11" s="1663"/>
      <c r="F11" s="1724">
        <f t="shared" si="1"/>
        <v>0</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0</v>
      </c>
      <c r="C14" s="1663"/>
      <c r="D14" s="1724">
        <f t="shared" si="0"/>
        <v>0</v>
      </c>
      <c r="E14" s="1663"/>
      <c r="F14" s="1724">
        <f t="shared" si="1"/>
        <v>0</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0</v>
      </c>
      <c r="C16" s="1663"/>
      <c r="D16" s="1724">
        <f t="shared" si="0"/>
        <v>0</v>
      </c>
      <c r="E16" s="1663"/>
      <c r="F16" s="1724">
        <f t="shared" si="1"/>
        <v>0</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0</v>
      </c>
      <c r="C19" s="1725">
        <f>SUM(C4:C18)</f>
        <v>0</v>
      </c>
      <c r="D19" s="1725">
        <f>SUM(D4:D18)</f>
        <v>0</v>
      </c>
      <c r="E19" s="1725">
        <f>SUM(E4:E18)</f>
        <v>0</v>
      </c>
      <c r="F19" s="1725">
        <f>SUM(F4:F18)</f>
        <v>0</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fitToPage="1"/>
  </sheetPr>
  <dimension ref="A1:K59"/>
  <sheetViews>
    <sheetView showGridLines="0" defaultGridColor="0" colorId="8" zoomScale="110" zoomScaleNormal="110" workbookViewId="0">
      <selection activeCell="H4" sqref="H4"/>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3" t="s">
        <v>625</v>
      </c>
      <c r="B1" s="2294"/>
      <c r="C1" s="584"/>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2"/>
    </row>
    <row r="16" spans="1:7" s="196"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2"/>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2"/>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2"/>
    </row>
    <row r="26" spans="1:11" ht="15.75" customHeight="1" thickTop="1" x14ac:dyDescent="0.2">
      <c r="A26" s="2289" t="s">
        <v>652</v>
      </c>
      <c r="B26" s="2290"/>
      <c r="C26" s="588"/>
      <c r="D26" s="588"/>
      <c r="E26" s="588"/>
      <c r="F26" s="589"/>
    </row>
    <row r="27" spans="1:11" ht="13.5" thickBot="1" x14ac:dyDescent="0.25">
      <c r="A27" s="2291" t="s">
        <v>1061</v>
      </c>
      <c r="B27" s="2292"/>
      <c r="C27" s="1663"/>
      <c r="D27" s="1663"/>
      <c r="E27" s="1663"/>
      <c r="F27" s="1731">
        <f>SUM(C27+D27)-E27</f>
        <v>0</v>
      </c>
      <c r="G27" s="472"/>
    </row>
    <row r="28" spans="1:11" ht="7.5" customHeight="1" thickTop="1" x14ac:dyDescent="0.2">
      <c r="A28" s="488"/>
    </row>
    <row r="29" spans="1:11" ht="23.25" customHeight="1" x14ac:dyDescent="0.2">
      <c r="A29" s="2317" t="s">
        <v>578</v>
      </c>
      <c r="B29" s="2294"/>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c r="B31" s="594"/>
      <c r="C31" s="1733"/>
      <c r="D31" s="1734"/>
      <c r="E31" s="1733"/>
      <c r="F31" s="1733"/>
      <c r="G31" s="1733"/>
      <c r="H31" s="1733"/>
      <c r="I31" s="1735">
        <f>((E31+F31)-H31)+G31</f>
        <v>0</v>
      </c>
      <c r="J31" s="1733"/>
      <c r="K31" s="595"/>
    </row>
    <row r="32" spans="1:11" ht="12" customHeight="1" x14ac:dyDescent="0.2">
      <c r="A32" s="593"/>
      <c r="B32" s="594"/>
      <c r="C32" s="1733"/>
      <c r="D32" s="1734"/>
      <c r="E32" s="1733"/>
      <c r="F32" s="1733"/>
      <c r="G32" s="1733"/>
      <c r="H32" s="1733"/>
      <c r="I32" s="1735">
        <f>((E32+F32)-H32)+G32</f>
        <v>0</v>
      </c>
      <c r="J32" s="1733"/>
      <c r="K32" s="595"/>
    </row>
    <row r="33" spans="1:11" ht="12" customHeight="1" x14ac:dyDescent="0.2">
      <c r="A33" s="593"/>
      <c r="B33" s="594"/>
      <c r="C33" s="1733"/>
      <c r="D33" s="1734"/>
      <c r="E33" s="1733"/>
      <c r="F33" s="1733"/>
      <c r="G33" s="1733"/>
      <c r="H33" s="1733"/>
      <c r="I33" s="1735">
        <f t="shared" ref="I33:I48" si="1">((E33+F33)-H33)+G33</f>
        <v>0</v>
      </c>
      <c r="J33" s="1733"/>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0</v>
      </c>
      <c r="D49" s="1741"/>
      <c r="E49" s="1735">
        <f t="shared" ref="E49:J49" si="2">SUM(E31:E48)</f>
        <v>0</v>
      </c>
      <c r="F49" s="1735">
        <f t="shared" si="2"/>
        <v>0</v>
      </c>
      <c r="G49" s="1735">
        <f t="shared" si="2"/>
        <v>0</v>
      </c>
      <c r="H49" s="1735">
        <f t="shared" si="2"/>
        <v>0</v>
      </c>
      <c r="I49" s="1735">
        <f t="shared" si="2"/>
        <v>0</v>
      </c>
      <c r="J49" s="1735">
        <f t="shared" si="2"/>
        <v>0</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08" t="s">
        <v>580</v>
      </c>
      <c r="C52" s="2309"/>
      <c r="D52" s="2309"/>
      <c r="E52" s="602" t="s">
        <v>840</v>
      </c>
      <c r="F52" s="2310"/>
      <c r="G52" s="2311"/>
      <c r="H52" s="595"/>
      <c r="I52" s="595"/>
      <c r="J52" s="599"/>
    </row>
    <row r="53" spans="1:11" ht="11.25" customHeight="1" x14ac:dyDescent="0.2">
      <c r="A53" s="603" t="s">
        <v>907</v>
      </c>
      <c r="B53" s="604" t="s">
        <v>945</v>
      </c>
      <c r="C53" s="599"/>
      <c r="D53" s="596"/>
      <c r="E53" s="602" t="s">
        <v>494</v>
      </c>
      <c r="F53" s="2312"/>
      <c r="G53" s="2313"/>
      <c r="H53" s="595"/>
      <c r="I53" s="595"/>
      <c r="J53" s="599"/>
    </row>
    <row r="54" spans="1:11" ht="11.25" customHeight="1" x14ac:dyDescent="0.2">
      <c r="A54" s="605" t="s">
        <v>908</v>
      </c>
      <c r="B54" s="600" t="s">
        <v>946</v>
      </c>
      <c r="C54" s="599"/>
      <c r="D54" s="596"/>
      <c r="E54" s="602" t="s">
        <v>495</v>
      </c>
      <c r="F54" s="2312"/>
      <c r="G54" s="2313"/>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14999847407452621"/>
  </sheetPr>
  <dimension ref="A1:O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4" t="s">
        <v>851</v>
      </c>
      <c r="B1" s="2345"/>
      <c r="C1" s="2345"/>
      <c r="D1" s="2345"/>
      <c r="E1" s="2345"/>
      <c r="F1" s="2345"/>
      <c r="G1" s="2346"/>
      <c r="H1" s="1297"/>
      <c r="I1" s="613"/>
      <c r="J1" s="399"/>
    </row>
    <row r="2" spans="1:11" ht="26.25" x14ac:dyDescent="0.2">
      <c r="A2" s="2321" t="s">
        <v>1658</v>
      </c>
      <c r="B2" s="2322"/>
      <c r="C2" s="2322"/>
      <c r="D2" s="2322"/>
      <c r="E2" s="2323"/>
      <c r="F2" s="614" t="s">
        <v>898</v>
      </c>
      <c r="G2" s="615" t="s">
        <v>1655</v>
      </c>
      <c r="H2" s="615" t="s">
        <v>407</v>
      </c>
      <c r="I2" s="615" t="s">
        <v>1148</v>
      </c>
      <c r="J2" s="615" t="s">
        <v>1789</v>
      </c>
      <c r="K2" s="615" t="s">
        <v>137</v>
      </c>
    </row>
    <row r="3" spans="1:11" x14ac:dyDescent="0.2">
      <c r="A3" s="2324" t="str">
        <f>"Cash Basis Fund Balance as of July 1, "&amp;'AFR20'!E2-1</f>
        <v>Cash Basis Fund Balance as of July 1, 2019</v>
      </c>
      <c r="B3" s="2325"/>
      <c r="C3" s="2325"/>
      <c r="D3" s="2325"/>
      <c r="E3" s="2326"/>
      <c r="F3" s="616"/>
      <c r="G3" s="1743"/>
      <c r="H3" s="1743"/>
      <c r="I3" s="1743"/>
      <c r="J3" s="1744"/>
      <c r="K3" s="1744"/>
    </row>
    <row r="4" spans="1:11" x14ac:dyDescent="0.2">
      <c r="A4" s="2327" t="s">
        <v>366</v>
      </c>
      <c r="B4" s="2328"/>
      <c r="C4" s="2328"/>
      <c r="D4" s="2328"/>
      <c r="E4" s="2309"/>
      <c r="F4" s="619"/>
      <c r="G4" s="1745"/>
      <c r="H4" s="1746"/>
      <c r="I4" s="1745"/>
      <c r="J4" s="1747"/>
      <c r="K4" s="1747"/>
    </row>
    <row r="5" spans="1:11" x14ac:dyDescent="0.2">
      <c r="A5" s="2347" t="s">
        <v>1060</v>
      </c>
      <c r="B5" s="2318"/>
      <c r="C5" s="2318"/>
      <c r="D5" s="2318"/>
      <c r="E5" s="2348"/>
      <c r="F5" s="621" t="s">
        <v>843</v>
      </c>
      <c r="G5" s="1748"/>
      <c r="H5" s="1743"/>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47" t="s">
        <v>1790</v>
      </c>
      <c r="B10" s="2318"/>
      <c r="C10" s="2318"/>
      <c r="D10" s="2318"/>
      <c r="E10" s="2349"/>
      <c r="F10" s="632" t="s">
        <v>857</v>
      </c>
      <c r="G10" s="1752"/>
      <c r="H10" s="1753"/>
      <c r="I10" s="1743"/>
      <c r="J10" s="1744"/>
      <c r="K10" s="1744"/>
    </row>
    <row r="11" spans="1:11" x14ac:dyDescent="0.2">
      <c r="A11" s="2347" t="s">
        <v>159</v>
      </c>
      <c r="B11" s="2318"/>
      <c r="C11" s="2318"/>
      <c r="D11" s="2318"/>
      <c r="E11" s="2348"/>
      <c r="F11" s="621" t="s">
        <v>847</v>
      </c>
      <c r="G11" s="1748"/>
      <c r="H11" s="1743"/>
      <c r="I11" s="1743"/>
      <c r="J11" s="1744"/>
      <c r="K11" s="1750"/>
    </row>
    <row r="12" spans="1:11" ht="13.5" thickBot="1" x14ac:dyDescent="0.25">
      <c r="A12" s="2335" t="s">
        <v>899</v>
      </c>
      <c r="B12" s="2336"/>
      <c r="C12" s="2336"/>
      <c r="D12" s="2336"/>
      <c r="E12" s="2337"/>
      <c r="F12" s="1432"/>
      <c r="G12" s="1754">
        <f>SUM(G5:G11)</f>
        <v>0</v>
      </c>
      <c r="H12" s="1754">
        <f>SUM(H5:H11)</f>
        <v>0</v>
      </c>
      <c r="I12" s="1754">
        <f>SUM(I5:I11)</f>
        <v>0</v>
      </c>
      <c r="J12" s="1754">
        <f>SUM(J5:J11)</f>
        <v>0</v>
      </c>
      <c r="K12" s="1754">
        <f>SUM(K5:K11)</f>
        <v>0</v>
      </c>
    </row>
    <row r="13" spans="1:11" ht="13.5" thickTop="1" x14ac:dyDescent="0.2">
      <c r="A13" s="2329" t="s">
        <v>367</v>
      </c>
      <c r="B13" s="2330"/>
      <c r="C13" s="2330"/>
      <c r="D13" s="2330"/>
      <c r="E13" s="2331"/>
      <c r="F13" s="633"/>
      <c r="G13" s="1755"/>
      <c r="H13" s="1756"/>
      <c r="I13" s="1757"/>
      <c r="J13" s="1757"/>
      <c r="K13" s="1757"/>
    </row>
    <row r="14" spans="1:11" x14ac:dyDescent="0.2">
      <c r="A14" s="2353" t="s">
        <v>453</v>
      </c>
      <c r="B14" s="2353"/>
      <c r="C14" s="2353"/>
      <c r="D14" s="2353"/>
      <c r="E14" s="2354"/>
      <c r="F14" s="634" t="s">
        <v>849</v>
      </c>
      <c r="G14" s="1752"/>
      <c r="H14" s="1743"/>
      <c r="I14" s="1748"/>
      <c r="J14" s="1750"/>
      <c r="K14" s="1744"/>
    </row>
    <row r="15" spans="1:11" x14ac:dyDescent="0.2">
      <c r="A15" s="2318" t="s">
        <v>4</v>
      </c>
      <c r="B15" s="2318"/>
      <c r="C15" s="2318"/>
      <c r="D15" s="2318"/>
      <c r="E15" s="2348"/>
      <c r="F15" s="634" t="s">
        <v>850</v>
      </c>
      <c r="G15" s="1748"/>
      <c r="H15" s="1743"/>
      <c r="I15" s="1743"/>
      <c r="J15" s="1744"/>
      <c r="K15" s="1744"/>
    </row>
    <row r="16" spans="1:11" x14ac:dyDescent="0.2">
      <c r="A16" s="2318" t="s">
        <v>295</v>
      </c>
      <c r="B16" s="2318"/>
      <c r="C16" s="2318"/>
      <c r="D16" s="2318"/>
      <c r="E16" s="2348"/>
      <c r="F16" s="634" t="s">
        <v>917</v>
      </c>
      <c r="G16" s="1749"/>
      <c r="H16" s="1745"/>
      <c r="I16" s="1745"/>
      <c r="J16" s="1747"/>
      <c r="K16" s="1747"/>
    </row>
    <row r="17" spans="1:15" x14ac:dyDescent="0.2">
      <c r="A17" s="2342" t="s">
        <v>929</v>
      </c>
      <c r="B17" s="2342"/>
      <c r="C17" s="2342"/>
      <c r="D17" s="2342"/>
      <c r="E17" s="2343"/>
      <c r="F17" s="635"/>
      <c r="G17" s="1758"/>
      <c r="H17" s="1759"/>
      <c r="I17" s="1759"/>
      <c r="J17" s="1760"/>
      <c r="K17" s="1761"/>
    </row>
    <row r="18" spans="1:15" x14ac:dyDescent="0.2">
      <c r="A18" s="2332" t="s">
        <v>365</v>
      </c>
      <c r="B18" s="2333"/>
      <c r="C18" s="2333"/>
      <c r="D18" s="2333"/>
      <c r="E18" s="2334"/>
      <c r="F18" s="634" t="s">
        <v>926</v>
      </c>
      <c r="G18" s="1752"/>
      <c r="H18" s="1752"/>
      <c r="I18" s="1752"/>
      <c r="J18" s="1744"/>
      <c r="K18" s="1762"/>
    </row>
    <row r="19" spans="1:15" ht="21.75" customHeight="1" x14ac:dyDescent="0.2">
      <c r="A19" s="2355" t="s">
        <v>1786</v>
      </c>
      <c r="B19" s="2355"/>
      <c r="C19" s="2355"/>
      <c r="D19" s="2355"/>
      <c r="E19" s="2356"/>
      <c r="F19" s="634" t="s">
        <v>927</v>
      </c>
      <c r="G19" s="1752"/>
      <c r="H19" s="1752"/>
      <c r="I19" s="1752"/>
      <c r="J19" s="1744"/>
      <c r="K19" s="1762"/>
    </row>
    <row r="20" spans="1:15" x14ac:dyDescent="0.2">
      <c r="A20" s="2332" t="s">
        <v>1791</v>
      </c>
      <c r="B20" s="2333"/>
      <c r="C20" s="2333"/>
      <c r="D20" s="2333"/>
      <c r="E20" s="2334"/>
      <c r="F20" s="634"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4"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50"/>
      <c r="I31" s="2351"/>
      <c r="J31" s="2351"/>
      <c r="K31" s="2351"/>
    </row>
    <row r="32" spans="1:15" x14ac:dyDescent="0.2">
      <c r="A32" s="648"/>
      <c r="B32" s="231"/>
      <c r="C32" s="231"/>
      <c r="D32" s="231"/>
      <c r="E32" s="644"/>
      <c r="F32" s="650" t="s">
        <v>537</v>
      </c>
      <c r="G32" s="617"/>
      <c r="H32" s="2352"/>
      <c r="I32" s="2351"/>
      <c r="J32" s="2351"/>
      <c r="K32" s="2351"/>
    </row>
    <row r="33" spans="1:11" ht="1.5" customHeight="1" x14ac:dyDescent="0.2">
      <c r="A33" s="651" t="s">
        <v>1159</v>
      </c>
      <c r="B33" s="340"/>
      <c r="C33" s="340"/>
      <c r="D33" s="340"/>
      <c r="E33" s="340"/>
      <c r="F33" s="340"/>
      <c r="G33" s="652"/>
      <c r="H33" s="2352"/>
      <c r="I33" s="2351"/>
      <c r="J33" s="2351"/>
      <c r="K33" s="2351"/>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8" t="s">
        <v>538</v>
      </c>
      <c r="B41" s="2319"/>
      <c r="C41" s="2319"/>
      <c r="D41" s="2319"/>
      <c r="E41" s="2319"/>
      <c r="F41" s="232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sheetPr>
  <dimension ref="A1:N27"/>
  <sheetViews>
    <sheetView showGridLines="0" defaultGridColor="0" colorId="8" zoomScale="110" zoomScaleNormal="110" workbookViewId="0">
      <selection activeCell="H4" sqref="H4"/>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9" t="s">
        <v>1875</v>
      </c>
      <c r="B1" s="2360"/>
      <c r="C1" s="2361"/>
      <c r="D1" s="665"/>
      <c r="E1" s="666"/>
      <c r="F1" s="666"/>
      <c r="G1" s="667"/>
      <c r="H1" s="668"/>
      <c r="I1" s="669"/>
      <c r="J1" s="2357"/>
      <c r="K1" s="2358"/>
      <c r="L1" s="2358"/>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c r="D5" s="1769"/>
      <c r="E5" s="1769"/>
      <c r="F5" s="1764">
        <f>(C5+D5)-E5</f>
        <v>0</v>
      </c>
      <c r="G5" s="675"/>
      <c r="H5" s="679"/>
      <c r="I5" s="679"/>
      <c r="J5" s="679"/>
      <c r="K5" s="636"/>
      <c r="L5" s="1441">
        <f>F5-K5</f>
        <v>0</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c r="D8" s="1770"/>
      <c r="E8" s="1770"/>
      <c r="F8" s="1764">
        <f>(C8+D8)-E8</f>
        <v>0</v>
      </c>
      <c r="G8" s="680">
        <v>50</v>
      </c>
      <c r="H8" s="618"/>
      <c r="I8" s="618"/>
      <c r="J8" s="618"/>
      <c r="K8" s="1441">
        <f>(H8+I8)-J8</f>
        <v>0</v>
      </c>
      <c r="L8" s="1441">
        <f>F8-K8</f>
        <v>0</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c r="D10" s="1771"/>
      <c r="E10" s="1771"/>
      <c r="F10" s="1772">
        <f>(C10+D10)-E10</f>
        <v>0</v>
      </c>
      <c r="G10" s="680">
        <v>20</v>
      </c>
      <c r="H10" s="682"/>
      <c r="I10" s="682"/>
      <c r="J10" s="682"/>
      <c r="K10" s="1441">
        <f>(H10+I10)-J10</f>
        <v>0</v>
      </c>
      <c r="L10" s="1441">
        <f>F10-K10</f>
        <v>0</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c r="D12" s="1770"/>
      <c r="E12" s="1770"/>
      <c r="F12" s="1764">
        <f>(C12+D12)-E12</f>
        <v>0</v>
      </c>
      <c r="G12" s="680">
        <v>10</v>
      </c>
      <c r="H12" s="618"/>
      <c r="I12" s="618"/>
      <c r="J12" s="618"/>
      <c r="K12" s="1441">
        <f>(H12+I12)-J12</f>
        <v>0</v>
      </c>
      <c r="L12" s="1441">
        <f>F12-K12</f>
        <v>0</v>
      </c>
    </row>
    <row r="13" spans="1:14" ht="14.25" thickTop="1" thickBot="1" x14ac:dyDescent="0.25">
      <c r="A13" s="683" t="s">
        <v>1112</v>
      </c>
      <c r="B13" s="678">
        <v>252</v>
      </c>
      <c r="C13" s="1770"/>
      <c r="D13" s="1770"/>
      <c r="E13" s="1770"/>
      <c r="F13" s="1764">
        <f>(C13+D13)-E13</f>
        <v>0</v>
      </c>
      <c r="G13" s="680">
        <v>5</v>
      </c>
      <c r="H13" s="618"/>
      <c r="I13" s="618"/>
      <c r="J13" s="618"/>
      <c r="K13" s="1441">
        <f>(H13+I13)-J13</f>
        <v>0</v>
      </c>
      <c r="L13" s="1441">
        <f>F13-K13</f>
        <v>0</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c r="E15" s="1770"/>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0</v>
      </c>
      <c r="D16" s="1764">
        <f>SUM(D3,D5:D6,D8:D10,D12:D15)</f>
        <v>0</v>
      </c>
      <c r="E16" s="1764">
        <f>SUM(E3,E5:E6,E8:E10,E12:E15)</f>
        <v>0</v>
      </c>
      <c r="F16" s="1764">
        <f>SUM(F3,F5:F6,F8:F10,F12:F15)</f>
        <v>0</v>
      </c>
      <c r="G16" s="680"/>
      <c r="H16" s="1434">
        <f>SUM(H3,H6,H8:H10,H12:H14,)</f>
        <v>0</v>
      </c>
      <c r="I16" s="1434">
        <f>SUM(I3,I6,I8:I10,I12:I14,)</f>
        <v>0</v>
      </c>
      <c r="J16" s="1434">
        <f>SUM(J3,J6,J8:J10,J12:J14,)</f>
        <v>0</v>
      </c>
      <c r="K16" s="1434">
        <f>(H16+I16)-J16</f>
        <v>0</v>
      </c>
      <c r="L16" s="1434">
        <f>F16-K16</f>
        <v>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14999847407452621"/>
  </sheetPr>
  <dimension ref="A1:I203"/>
  <sheetViews>
    <sheetView showGridLines="0" defaultGridColor="0" colorId="8" zoomScale="110" zoomScaleNormal="110" workbookViewId="0">
      <selection activeCell="H4" sqref="H4"/>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0"/>
      <c r="I1" s="700"/>
    </row>
    <row r="2" spans="1:9" ht="15" customHeight="1" thickBot="1" x14ac:dyDescent="0.25">
      <c r="A2" s="2368" t="s">
        <v>474</v>
      </c>
      <c r="B2" s="2369"/>
      <c r="C2" s="2369"/>
      <c r="D2" s="2369"/>
      <c r="E2" s="2369"/>
      <c r="F2" s="2370"/>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1557308</v>
      </c>
      <c r="G8" s="700"/>
    </row>
    <row r="9" spans="1:9" x14ac:dyDescent="0.2">
      <c r="A9" s="704" t="s">
        <v>457</v>
      </c>
      <c r="B9" s="705" t="s">
        <v>1848</v>
      </c>
      <c r="C9" s="706"/>
      <c r="D9" s="704" t="s">
        <v>498</v>
      </c>
      <c r="E9" s="703"/>
      <c r="F9" s="1774">
        <f>'Expenditures 15-22'!K151</f>
        <v>0</v>
      </c>
      <c r="G9" s="707"/>
    </row>
    <row r="10" spans="1:9" x14ac:dyDescent="0.2">
      <c r="A10" s="704" t="s">
        <v>496</v>
      </c>
      <c r="B10" s="705" t="s">
        <v>1849</v>
      </c>
      <c r="C10" s="706"/>
      <c r="D10" s="704" t="s">
        <v>498</v>
      </c>
      <c r="E10" s="703"/>
      <c r="F10" s="1774">
        <f>'Expenditures 15-22'!K174</f>
        <v>0</v>
      </c>
      <c r="G10" s="707"/>
    </row>
    <row r="11" spans="1:9" x14ac:dyDescent="0.2">
      <c r="A11" s="704" t="s">
        <v>458</v>
      </c>
      <c r="B11" s="705" t="s">
        <v>1850</v>
      </c>
      <c r="C11" s="706"/>
      <c r="D11" s="704" t="s">
        <v>498</v>
      </c>
      <c r="E11" s="703"/>
      <c r="F11" s="1774">
        <f>'Expenditures 15-22'!K210</f>
        <v>0</v>
      </c>
      <c r="G11" s="707"/>
    </row>
    <row r="12" spans="1:9" x14ac:dyDescent="0.2">
      <c r="A12" s="704" t="s">
        <v>459</v>
      </c>
      <c r="B12" s="705" t="s">
        <v>1851</v>
      </c>
      <c r="C12" s="706"/>
      <c r="D12" s="704" t="s">
        <v>498</v>
      </c>
      <c r="E12" s="703"/>
      <c r="F12" s="1774">
        <f>'Expenditures 15-22'!K295</f>
        <v>0</v>
      </c>
      <c r="G12" s="707"/>
    </row>
    <row r="13" spans="1:9" x14ac:dyDescent="0.2">
      <c r="A13" s="704" t="s">
        <v>106</v>
      </c>
      <c r="B13" s="705" t="s">
        <v>1852</v>
      </c>
      <c r="C13" s="706"/>
      <c r="D13" s="704" t="s">
        <v>498</v>
      </c>
      <c r="E13" s="703"/>
      <c r="F13" s="1774">
        <f>'Expenditures 15-22'!K342</f>
        <v>0</v>
      </c>
      <c r="G13" s="708"/>
    </row>
    <row r="14" spans="1:9" ht="12" customHeight="1" thickBot="1" x14ac:dyDescent="0.25">
      <c r="A14" s="1442"/>
      <c r="B14" s="1443"/>
      <c r="C14" s="1444"/>
      <c r="D14" s="1445" t="s">
        <v>498</v>
      </c>
      <c r="E14" s="1446" t="s">
        <v>952</v>
      </c>
      <c r="F14" s="1775">
        <f>SUM(F8:F13)</f>
        <v>1557308</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0</v>
      </c>
      <c r="G52" s="700"/>
    </row>
    <row r="53" spans="1:7" x14ac:dyDescent="0.2">
      <c r="A53" s="704" t="s">
        <v>456</v>
      </c>
      <c r="B53" s="704" t="s">
        <v>1458</v>
      </c>
      <c r="C53" s="723">
        <f>'Expenditures 15-22'!B102</f>
        <v>4000</v>
      </c>
      <c r="D53" s="722" t="str">
        <f>'Expenditures 15-22'!A102</f>
        <v>Total Payments to Other Govt Units</v>
      </c>
      <c r="E53" s="703"/>
      <c r="F53" s="1781">
        <f>'Expenditures 15-22'!K102</f>
        <v>1257038</v>
      </c>
      <c r="G53" s="700"/>
    </row>
    <row r="54" spans="1:7" x14ac:dyDescent="0.2">
      <c r="A54" s="704" t="s">
        <v>456</v>
      </c>
      <c r="B54" s="704" t="s">
        <v>1459</v>
      </c>
      <c r="C54" s="723" t="s">
        <v>975</v>
      </c>
      <c r="D54" s="719" t="s">
        <v>1086</v>
      </c>
      <c r="E54" s="703"/>
      <c r="F54" s="1781">
        <f>'Expenditures 15-22'!G114</f>
        <v>0</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0</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0</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0</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1257038</v>
      </c>
      <c r="G77" s="700"/>
    </row>
    <row r="78" spans="1:9" s="727" customFormat="1" ht="12" customHeight="1" thickTop="1" thickBot="1" x14ac:dyDescent="0.25">
      <c r="A78" s="1449"/>
      <c r="B78" s="1447"/>
      <c r="C78" s="1444"/>
      <c r="D78" s="1448" t="s">
        <v>2012</v>
      </c>
      <c r="E78" s="1446"/>
      <c r="F78" s="1787">
        <f>(F14-F77)</f>
        <v>300270</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2"/>
      <c r="H79" s="704"/>
      <c r="I79" s="704"/>
    </row>
    <row r="80" spans="1:9" s="727" customFormat="1" ht="12" customHeight="1" thickBot="1" x14ac:dyDescent="0.25">
      <c r="A80" s="1451"/>
      <c r="B80" s="1447"/>
      <c r="C80" s="1444"/>
      <c r="D80" s="1448" t="s">
        <v>2013</v>
      </c>
      <c r="E80" s="1446" t="s">
        <v>952</v>
      </c>
      <c r="F80" s="1789" t="str">
        <f>IF(F79&gt;0,F78/F79," Complete Line 79")</f>
        <v xml:space="preserve"> Complete Line 79</v>
      </c>
      <c r="G80" s="704"/>
    </row>
    <row r="81" spans="1:7" s="727" customFormat="1" ht="8.25" customHeight="1" thickTop="1" x14ac:dyDescent="0.2">
      <c r="A81" s="733"/>
      <c r="B81" s="704"/>
      <c r="C81" s="706"/>
      <c r="D81" s="734"/>
      <c r="E81" s="703"/>
      <c r="F81" s="1790"/>
      <c r="G81" s="704"/>
    </row>
    <row r="82" spans="1:7" s="727" customFormat="1" ht="12" thickBot="1" x14ac:dyDescent="0.25">
      <c r="A82" s="2362" t="s">
        <v>1096</v>
      </c>
      <c r="B82" s="2363"/>
      <c r="C82" s="2363"/>
      <c r="D82" s="2363"/>
      <c r="E82" s="2363"/>
      <c r="F82" s="236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0</v>
      </c>
      <c r="G95" s="744"/>
    </row>
    <row r="96" spans="1:7" x14ac:dyDescent="0.2">
      <c r="A96" s="740" t="s">
        <v>139</v>
      </c>
      <c r="B96" s="740" t="s">
        <v>174</v>
      </c>
      <c r="C96" s="742">
        <v>1700</v>
      </c>
      <c r="D96" s="750" t="str">
        <f>'Revenues 9-14'!A82</f>
        <v>Total District/School Activity Income</v>
      </c>
      <c r="E96" s="738"/>
      <c r="F96" s="1792">
        <f>SUM('Revenues 9-14'!C82,'Revenues 9-14'!D82)</f>
        <v>0</v>
      </c>
      <c r="G96" s="744"/>
    </row>
    <row r="97" spans="1:7" x14ac:dyDescent="0.2">
      <c r="A97" s="740" t="s">
        <v>456</v>
      </c>
      <c r="B97" s="740" t="s">
        <v>175</v>
      </c>
      <c r="C97" s="742">
        <f>'Revenues 9-14'!B84</f>
        <v>1811</v>
      </c>
      <c r="D97" s="743" t="str">
        <f>'Revenues 9-14'!A84</f>
        <v>Rentals - Regular Textbooks</v>
      </c>
      <c r="E97" s="738"/>
      <c r="F97" s="1792">
        <f>'Revenues 9-14'!C84</f>
        <v>0</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40107</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0</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845653</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0</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0</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0</v>
      </c>
      <c r="G126" s="762"/>
    </row>
    <row r="127" spans="1:7" x14ac:dyDescent="0.2">
      <c r="A127" s="759" t="s">
        <v>663</v>
      </c>
      <c r="B127" s="759" t="s">
        <v>1931</v>
      </c>
      <c r="C127" s="764">
        <v>4300</v>
      </c>
      <c r="D127" s="765" t="str">
        <f>'Revenues 9-14'!A204</f>
        <v>Total Title I</v>
      </c>
      <c r="E127" s="738"/>
      <c r="F127" s="1792">
        <f>SUM('Revenues 9-14'!C204,'Revenues 9-14'!D204,'Revenues 9-14'!F204,'Revenues 9-14'!G204)</f>
        <v>0</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0</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0</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664469</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0</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c r="G172" s="759"/>
    </row>
    <row r="173" spans="1:7" x14ac:dyDescent="0.2">
      <c r="A173" s="1528" t="s">
        <v>659</v>
      </c>
      <c r="B173" s="1529" t="s">
        <v>1885</v>
      </c>
      <c r="C173" s="1530">
        <v>3300</v>
      </c>
      <c r="D173" s="1531" t="s">
        <v>1888</v>
      </c>
      <c r="E173" s="738"/>
      <c r="F173" s="1793"/>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1550229</v>
      </c>
    </row>
    <row r="176" spans="1:7" ht="12" customHeight="1" x14ac:dyDescent="0.2">
      <c r="A176" s="1442"/>
      <c r="B176" s="1452"/>
      <c r="C176" s="1453"/>
      <c r="D176" s="1454" t="s">
        <v>2014</v>
      </c>
      <c r="E176" s="1455"/>
      <c r="F176" s="1792">
        <f>'PCTC-OEPP 27-28'!F78-F175</f>
        <v>-1249959</v>
      </c>
    </row>
    <row r="177" spans="1:9" ht="12" customHeight="1" x14ac:dyDescent="0.2">
      <c r="A177" s="1442"/>
      <c r="B177" s="1452"/>
      <c r="C177" s="1453"/>
      <c r="D177" s="1454" t="s">
        <v>1794</v>
      </c>
      <c r="E177" s="1455"/>
      <c r="F177" s="1792">
        <f>'Cap Outlay Deprec 26'!I18</f>
        <v>0</v>
      </c>
    </row>
    <row r="178" spans="1:9" ht="12" customHeight="1" x14ac:dyDescent="0.2">
      <c r="A178" s="1442"/>
      <c r="B178" s="1452"/>
      <c r="C178" s="1453"/>
      <c r="D178" s="1454" t="s">
        <v>2015</v>
      </c>
      <c r="E178" s="1455"/>
      <c r="F178" s="1792">
        <f>F176+F177</f>
        <v>-1249959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2"/>
      <c r="I179" s="700"/>
    </row>
    <row r="180" spans="1:9" ht="12" customHeight="1" thickBot="1" x14ac:dyDescent="0.25">
      <c r="A180" s="1442"/>
      <c r="B180" s="1456"/>
      <c r="C180" s="1453"/>
      <c r="D180" s="1454" t="s">
        <v>2017</v>
      </c>
      <c r="E180" s="1455" t="s">
        <v>1528</v>
      </c>
      <c r="F180" s="1797" t="e">
        <f>F178/F179</f>
        <v>#DIV/0!</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pageSetUpPr fitToPage="1"/>
  </sheetPr>
  <dimension ref="A1:G142"/>
  <sheetViews>
    <sheetView showGridLines="0" zoomScaleNormal="100" workbookViewId="0">
      <selection activeCell="A25" sqref="A25"/>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5" t="s">
        <v>2076</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14999847407452621"/>
  </sheetPr>
  <dimension ref="A1:M46"/>
  <sheetViews>
    <sheetView showGridLines="0" defaultGridColor="0" topLeftCell="A6" colorId="8" zoomScale="110" zoomScaleNormal="110" workbookViewId="0">
      <selection activeCell="H4" sqref="H4"/>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8" t="s">
        <v>1660</v>
      </c>
      <c r="B5" s="2389"/>
      <c r="C5" s="2389"/>
      <c r="D5" s="2389"/>
      <c r="E5" s="2389"/>
      <c r="F5" s="2389"/>
      <c r="G5" s="2390"/>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c r="F10" s="804"/>
      <c r="G10" s="805"/>
      <c r="H10" s="156"/>
      <c r="I10" s="156"/>
    </row>
    <row r="11" spans="1:13" s="541"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0</v>
      </c>
      <c r="F19" s="1801"/>
      <c r="G19" s="1803">
        <f>'Expenditures 15-22'!K33-SUM('Expenditures 15-22'!G33,'Expenditures 15-22'!I33)+'Expenditures 15-22'!D229</f>
        <v>0</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0</v>
      </c>
      <c r="F21" s="1804"/>
      <c r="G21" s="1807">
        <f>'Expenditures 15-22'!K42-SUM('Expenditures 15-22'!G42,'Expenditures 15-22'!I42)+'Expenditures 15-22'!K120-SUM('Expenditures 15-22'!G120,'Expenditures 15-22'!I120)+'Expenditures 15-22'!K180-SUM('Expenditures 15-22'!G180,'Expenditures 15-22'!I180)+'Expenditures 15-22'!D238</f>
        <v>0</v>
      </c>
      <c r="H21" s="816"/>
      <c r="I21" s="156"/>
    </row>
    <row r="22" spans="1:9" s="541" customFormat="1" ht="12" customHeight="1" x14ac:dyDescent="0.2">
      <c r="A22" s="823" t="s">
        <v>560</v>
      </c>
      <c r="B22" s="824"/>
      <c r="C22" s="822">
        <v>2200</v>
      </c>
      <c r="D22" s="1804"/>
      <c r="E22" s="1806">
        <f>'Expenditures 15-22'!K47-SUM('Expenditures 15-22'!G47,'Expenditures 15-22'!I47)+'Expenditures 15-22'!D243</f>
        <v>147490</v>
      </c>
      <c r="F22" s="1804"/>
      <c r="G22" s="1807">
        <f>'Expenditures 15-22'!K47-SUM('Expenditures 15-22'!G47,'Expenditures 15-22'!I47)+'Expenditures 15-22'!D243</f>
        <v>147490</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152780</v>
      </c>
      <c r="F23" s="1804"/>
      <c r="G23" s="1806">
        <f>'Expenditures 15-22'!K53-SUM('Expenditures 15-22'!G53,'Expenditures 15-22'!I53)+'Expenditures 15-22'!D257+'Expenditures 15-22'!K330-SUM('Expenditures 15-22'!G330,'Expenditures 15-22'!I330)</f>
        <v>152780</v>
      </c>
      <c r="H23" s="816"/>
      <c r="I23" s="156"/>
    </row>
    <row r="24" spans="1:9" s="541" customFormat="1" ht="12" customHeight="1" x14ac:dyDescent="0.2">
      <c r="A24" s="823" t="s">
        <v>562</v>
      </c>
      <c r="B24" s="824"/>
      <c r="C24" s="822">
        <v>2400</v>
      </c>
      <c r="D24" s="1804"/>
      <c r="E24" s="1806">
        <f>'Expenditures 15-22'!K57-SUM('Expenditures 15-22'!G57,'Expenditures 15-22'!I57)+'Expenditures 15-22'!D261</f>
        <v>0</v>
      </c>
      <c r="F24" s="1804"/>
      <c r="G24" s="1807">
        <f>'Expenditures 15-22'!K57-SUM('Expenditures 15-22'!G57,'Expenditures 15-22'!I57)+'Expenditures 15-22'!D261</f>
        <v>0</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0</v>
      </c>
      <c r="F28" s="1808">
        <f>'Expenditures 15-22'!K61-SUM('Expenditures 15-22'!G61,'Expenditures 15-22'!I61)+'Expenditures 15-22'!K124-SUM('Expenditures 15-22'!G124,'Expenditures 15-22'!I124)+'Expenditures 15-22'!D266-E9</f>
        <v>0</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0</v>
      </c>
      <c r="F29" s="1804"/>
      <c r="G29" s="1807">
        <f>'Expenditures 15-22'!K62-SUM('Expenditures 15-22'!G62,'Expenditures 15-22'!I62)+'Expenditures 15-22'!K125-SUM('Expenditures 15-22'!G125,'Expenditures 15-22'!I125)+'Expenditures 15-22'!K182-SUM('Expenditures 15-22'!G182,'Expenditures 15-22'!I182)+'Expenditures 15-22'!D267</f>
        <v>0</v>
      </c>
      <c r="H29" s="814"/>
    </row>
    <row r="30" spans="1:9" ht="12" customHeight="1" x14ac:dyDescent="0.2">
      <c r="A30" s="823" t="s">
        <v>100</v>
      </c>
      <c r="B30" s="826"/>
      <c r="C30" s="822">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1798</v>
      </c>
      <c r="B40" s="820"/>
      <c r="C40" s="822"/>
      <c r="D40" s="1804"/>
      <c r="E40" s="1808">
        <f>-'Contracts Paid in CY 29'!F142</f>
        <v>0</v>
      </c>
      <c r="F40" s="1804"/>
      <c r="G40" s="1808">
        <f>-'Contracts Paid in CY 29'!F142</f>
        <v>0</v>
      </c>
    </row>
    <row r="41" spans="1:7" ht="12" customHeight="1" x14ac:dyDescent="0.2">
      <c r="A41" s="827" t="s">
        <v>155</v>
      </c>
      <c r="B41" s="828"/>
      <c r="C41" s="829"/>
      <c r="D41" s="1808">
        <f>SUM(D19:D39)</f>
        <v>0</v>
      </c>
      <c r="E41" s="1808">
        <f>SUM(E19:E40)</f>
        <v>300270</v>
      </c>
      <c r="F41" s="1808">
        <f>SUM(F19:F39)</f>
        <v>0</v>
      </c>
      <c r="G41" s="1808">
        <f>SUM(G19:G40)</f>
        <v>300270</v>
      </c>
    </row>
    <row r="42" spans="1:7" x14ac:dyDescent="0.2">
      <c r="A42" s="816"/>
      <c r="B42" s="156"/>
      <c r="C42" s="830"/>
      <c r="D42" s="2391" t="s">
        <v>519</v>
      </c>
      <c r="E42" s="2392"/>
      <c r="F42" s="831" t="s">
        <v>520</v>
      </c>
      <c r="G42" s="832"/>
    </row>
    <row r="43" spans="1:7" ht="12" customHeight="1" x14ac:dyDescent="0.2">
      <c r="A43" s="816"/>
      <c r="B43" s="156"/>
      <c r="C43" s="830"/>
      <c r="D43" s="1457" t="s">
        <v>470</v>
      </c>
      <c r="E43" s="1809">
        <f>D41</f>
        <v>0</v>
      </c>
      <c r="F43" s="1457" t="s">
        <v>470</v>
      </c>
      <c r="G43" s="1809">
        <f>F41</f>
        <v>0</v>
      </c>
    </row>
    <row r="44" spans="1:7" ht="12" customHeight="1" x14ac:dyDescent="0.2">
      <c r="A44" s="816"/>
      <c r="B44" s="156"/>
      <c r="C44" s="830"/>
      <c r="D44" s="1457" t="s">
        <v>471</v>
      </c>
      <c r="E44" s="1809">
        <f>E41</f>
        <v>300270</v>
      </c>
      <c r="F44" s="1457" t="s">
        <v>471</v>
      </c>
      <c r="G44" s="1809">
        <f>G41</f>
        <v>300270</v>
      </c>
    </row>
    <row r="45" spans="1:7" ht="12" customHeight="1" x14ac:dyDescent="0.2">
      <c r="A45" s="816"/>
      <c r="B45" s="156"/>
      <c r="C45" s="156"/>
      <c r="D45" s="1458" t="s">
        <v>999</v>
      </c>
      <c r="E45" s="1810">
        <f>(E43/E44)</f>
        <v>0</v>
      </c>
      <c r="F45" s="1458" t="s">
        <v>999</v>
      </c>
      <c r="G45" s="1810">
        <f>(G43/G44)</f>
        <v>0</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14999847407452621"/>
  </sheetPr>
  <dimension ref="A1:O97"/>
  <sheetViews>
    <sheetView showGridLines="0" zoomScale="110" zoomScaleNormal="110" workbookViewId="0">
      <selection activeCell="F30" sqref="F30"/>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Moraine Area Career System</v>
      </c>
      <c r="D6" s="2403"/>
      <c r="E6" s="2403"/>
      <c r="F6" s="1481"/>
      <c r="G6" s="1506"/>
      <c r="L6" s="1506"/>
      <c r="M6" s="1854"/>
      <c r="N6" s="1854"/>
      <c r="O6" s="1854"/>
    </row>
    <row r="7" spans="1:15" ht="11.25" customHeight="1" thickBot="1" x14ac:dyDescent="0.3">
      <c r="A7" s="1479"/>
      <c r="B7" s="1480"/>
      <c r="C7" s="2404">
        <f>COVER!A13</f>
        <v>7016218046</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t="s">
        <v>2051</v>
      </c>
      <c r="D20" s="1494" t="s">
        <v>2051</v>
      </c>
      <c r="E20" s="1497"/>
      <c r="F20" s="1496" t="s">
        <v>2074</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2051</v>
      </c>
      <c r="D29" s="1494" t="s">
        <v>2051</v>
      </c>
      <c r="E29" s="1497"/>
      <c r="F29" s="1496" t="s">
        <v>2074</v>
      </c>
      <c r="G29" s="1506"/>
      <c r="H29" s="1506">
        <f t="shared" si="0"/>
        <v>5</v>
      </c>
      <c r="I29" s="1506">
        <f t="shared" si="1"/>
        <v>5</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fitToPage="1"/>
  </sheetPr>
  <dimension ref="A1:N83"/>
  <sheetViews>
    <sheetView showGridLines="0" zoomScaleNormal="100" workbookViewId="0">
      <selection activeCell="M21" sqref="M21"/>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7"/>
      <c r="C2" s="837"/>
      <c r="D2" s="837"/>
      <c r="E2" s="837"/>
      <c r="F2" s="837"/>
      <c r="G2" s="1923" t="s">
        <v>2002</v>
      </c>
      <c r="H2" s="1920"/>
      <c r="I2" s="837"/>
      <c r="J2" s="837"/>
      <c r="K2" s="837"/>
      <c r="L2" s="837"/>
      <c r="M2" s="837"/>
      <c r="N2" s="1998"/>
    </row>
    <row r="3" spans="1:14" x14ac:dyDescent="0.2">
      <c r="A3" s="1997"/>
      <c r="B3" s="837"/>
      <c r="C3" s="837"/>
      <c r="D3" s="837"/>
      <c r="E3" s="837"/>
      <c r="F3" s="837"/>
      <c r="G3" s="1923" t="s">
        <v>403</v>
      </c>
      <c r="H3" s="837"/>
      <c r="I3" s="837"/>
      <c r="J3" s="837"/>
      <c r="K3" s="837"/>
      <c r="L3" s="837"/>
      <c r="M3" s="837"/>
      <c r="N3" s="1998"/>
    </row>
    <row r="4" spans="1:14" x14ac:dyDescent="0.2">
      <c r="A4" s="1997"/>
      <c r="B4" s="837"/>
      <c r="C4" s="837"/>
      <c r="D4" s="837"/>
      <c r="E4" s="837"/>
      <c r="F4" s="837"/>
      <c r="G4" s="1923" t="s">
        <v>863</v>
      </c>
      <c r="H4" s="837"/>
      <c r="I4" s="837"/>
      <c r="J4" s="837"/>
      <c r="K4" s="837"/>
      <c r="L4" s="837"/>
      <c r="M4" s="837"/>
      <c r="N4" s="1998"/>
    </row>
    <row r="5" spans="1:14" x14ac:dyDescent="0.2">
      <c r="A5" s="1997"/>
      <c r="B5" s="837"/>
      <c r="C5" s="837"/>
      <c r="D5" s="837"/>
      <c r="E5" s="837"/>
      <c r="F5" s="1923"/>
      <c r="G5" s="1923"/>
      <c r="H5" s="837"/>
      <c r="I5" s="837"/>
      <c r="J5" s="837"/>
      <c r="K5" s="837"/>
      <c r="L5" s="837"/>
      <c r="M5" s="837"/>
      <c r="N5" s="1998"/>
    </row>
    <row r="6" spans="1:14" x14ac:dyDescent="0.2">
      <c r="A6" s="1999" t="s">
        <v>667</v>
      </c>
      <c r="B6" s="1376"/>
      <c r="C6" s="1376"/>
      <c r="D6" s="1376"/>
      <c r="E6" s="1377"/>
      <c r="F6" s="1922"/>
      <c r="G6" s="1923"/>
      <c r="H6" s="837"/>
      <c r="I6" s="1924" t="s">
        <v>1021</v>
      </c>
      <c r="J6" s="2419" t="str">
        <f>COVER!A17</f>
        <v xml:space="preserve">  Moraine Area Career System</v>
      </c>
      <c r="K6" s="2419"/>
      <c r="L6" s="2420"/>
      <c r="M6" s="837"/>
      <c r="N6" s="1998"/>
    </row>
    <row r="7" spans="1:14" x14ac:dyDescent="0.2">
      <c r="A7" s="2421" t="s">
        <v>864</v>
      </c>
      <c r="B7" s="2422"/>
      <c r="C7" s="2422"/>
      <c r="D7" s="2422"/>
      <c r="E7" s="2423"/>
      <c r="F7" s="838"/>
      <c r="G7" s="837"/>
      <c r="H7" s="837"/>
      <c r="I7" s="1924" t="s">
        <v>369</v>
      </c>
      <c r="J7" s="2424">
        <f>COVER!A13</f>
        <v>7016218046</v>
      </c>
      <c r="K7" s="2424"/>
      <c r="L7" s="2424"/>
      <c r="M7" s="837"/>
      <c r="N7" s="1998"/>
    </row>
    <row r="8" spans="1:14" x14ac:dyDescent="0.2">
      <c r="A8" s="2000"/>
      <c r="B8" s="1925"/>
      <c r="C8" s="1925"/>
      <c r="D8" s="1925"/>
      <c r="E8" s="1926"/>
      <c r="F8" s="1927"/>
      <c r="G8" s="1911"/>
      <c r="H8" s="1911"/>
      <c r="I8" s="1911"/>
      <c r="J8" s="1911"/>
      <c r="K8" s="1911"/>
      <c r="L8" s="1911"/>
      <c r="M8" s="837"/>
      <c r="N8" s="1998"/>
    </row>
    <row r="9" spans="1:14" x14ac:dyDescent="0.2">
      <c r="A9" s="2001"/>
      <c r="B9" s="839"/>
      <c r="C9" s="839"/>
      <c r="D9" s="840"/>
      <c r="E9" s="1928" t="s">
        <v>2018</v>
      </c>
      <c r="F9" s="1856"/>
      <c r="G9" s="1856"/>
      <c r="H9" s="1856"/>
      <c r="I9" s="1929" t="s">
        <v>2019</v>
      </c>
      <c r="J9" s="1856"/>
      <c r="K9" s="1856"/>
      <c r="L9" s="1857"/>
      <c r="M9" s="837"/>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7"/>
      <c r="N10" s="1998"/>
    </row>
    <row r="11" spans="1:14" ht="51" x14ac:dyDescent="0.2">
      <c r="A11" s="2425" t="s">
        <v>478</v>
      </c>
      <c r="B11" s="2426"/>
      <c r="C11" s="2427"/>
      <c r="D11" s="1937" t="s">
        <v>866</v>
      </c>
      <c r="E11" s="1937" t="s">
        <v>64</v>
      </c>
      <c r="F11" s="1937" t="s">
        <v>6</v>
      </c>
      <c r="G11" s="1938" t="s">
        <v>2020</v>
      </c>
      <c r="H11" s="1939" t="s">
        <v>155</v>
      </c>
      <c r="I11" s="1937" t="s">
        <v>64</v>
      </c>
      <c r="J11" s="1937" t="s">
        <v>6</v>
      </c>
      <c r="K11" s="1938" t="s">
        <v>2001</v>
      </c>
      <c r="L11" s="1939" t="s">
        <v>155</v>
      </c>
      <c r="M11" s="837"/>
      <c r="N11" s="1998"/>
    </row>
    <row r="12" spans="1:14" x14ac:dyDescent="0.2">
      <c r="A12" s="2003">
        <v>1</v>
      </c>
      <c r="B12" s="1940" t="s">
        <v>813</v>
      </c>
      <c r="C12" s="841"/>
      <c r="D12" s="1941">
        <v>2320</v>
      </c>
      <c r="E12" s="1944">
        <f>'Expenditures 15-22'!K50</f>
        <v>152780</v>
      </c>
      <c r="F12" s="1942"/>
      <c r="G12" s="1968">
        <f>G68</f>
        <v>0</v>
      </c>
      <c r="H12" s="1944">
        <f t="shared" ref="H12:H18" si="0">SUM(E12:G12)</f>
        <v>152780</v>
      </c>
      <c r="I12" s="1943"/>
      <c r="J12" s="1942"/>
      <c r="K12" s="1943"/>
      <c r="L12" s="1944">
        <f t="shared" ref="L12:L18" si="1">SUM(I12:K12)</f>
        <v>0</v>
      </c>
      <c r="M12" s="837"/>
      <c r="N12" s="1998"/>
    </row>
    <row r="13" spans="1:14" x14ac:dyDescent="0.2">
      <c r="A13" s="2003">
        <v>2</v>
      </c>
      <c r="B13" s="1940" t="s">
        <v>42</v>
      </c>
      <c r="C13" s="841"/>
      <c r="D13" s="1941">
        <v>2330</v>
      </c>
      <c r="E13" s="1944">
        <f>'Expenditures 15-22'!K51</f>
        <v>0</v>
      </c>
      <c r="F13" s="1942"/>
      <c r="G13" s="1968">
        <f>H68</f>
        <v>0</v>
      </c>
      <c r="H13" s="1944">
        <f t="shared" si="0"/>
        <v>0</v>
      </c>
      <c r="I13" s="1943"/>
      <c r="J13" s="1942"/>
      <c r="K13" s="1943"/>
      <c r="L13" s="1944">
        <f t="shared" si="1"/>
        <v>0</v>
      </c>
      <c r="M13" s="837"/>
      <c r="N13" s="1998"/>
    </row>
    <row r="14" spans="1:14" x14ac:dyDescent="0.2">
      <c r="A14" s="2003">
        <v>3</v>
      </c>
      <c r="B14" s="1940" t="s">
        <v>43</v>
      </c>
      <c r="C14" s="841"/>
      <c r="D14" s="1945">
        <v>2490</v>
      </c>
      <c r="E14" s="1944">
        <f>'Expenditures 15-22'!K56</f>
        <v>0</v>
      </c>
      <c r="F14" s="1942"/>
      <c r="G14" s="1968">
        <f>I68</f>
        <v>0</v>
      </c>
      <c r="H14" s="1944">
        <f t="shared" si="0"/>
        <v>0</v>
      </c>
      <c r="I14" s="1943"/>
      <c r="J14" s="1942"/>
      <c r="K14" s="1943"/>
      <c r="L14" s="1944">
        <f t="shared" si="1"/>
        <v>0</v>
      </c>
      <c r="M14" s="837"/>
      <c r="N14" s="1998"/>
    </row>
    <row r="15" spans="1:14" x14ac:dyDescent="0.2">
      <c r="A15" s="2003">
        <v>4</v>
      </c>
      <c r="B15" s="1940" t="s">
        <v>1059</v>
      </c>
      <c r="C15" s="841"/>
      <c r="D15" s="1941">
        <v>2510</v>
      </c>
      <c r="E15" s="1944">
        <f>'Expenditures 15-22'!K59</f>
        <v>0</v>
      </c>
      <c r="F15" s="1944">
        <f>'Expenditures 15-22'!K122</f>
        <v>0</v>
      </c>
      <c r="G15" s="1968">
        <f>J68</f>
        <v>0</v>
      </c>
      <c r="H15" s="1944">
        <f t="shared" si="0"/>
        <v>0</v>
      </c>
      <c r="I15" s="1943"/>
      <c r="J15" s="1943"/>
      <c r="K15" s="1943"/>
      <c r="L15" s="1944">
        <f t="shared" si="1"/>
        <v>0</v>
      </c>
      <c r="M15" s="837"/>
      <c r="N15" s="1998"/>
    </row>
    <row r="16" spans="1:14" x14ac:dyDescent="0.2">
      <c r="A16" s="2003">
        <v>5</v>
      </c>
      <c r="B16" s="1940" t="s">
        <v>101</v>
      </c>
      <c r="C16" s="841"/>
      <c r="D16" s="1941">
        <v>2570</v>
      </c>
      <c r="E16" s="1944">
        <f>'Expenditures 15-22'!K64</f>
        <v>0</v>
      </c>
      <c r="F16" s="1942"/>
      <c r="G16" s="1968">
        <f>K68</f>
        <v>0</v>
      </c>
      <c r="H16" s="1944">
        <f t="shared" si="0"/>
        <v>0</v>
      </c>
      <c r="I16" s="1943"/>
      <c r="J16" s="1942"/>
      <c r="K16" s="1943"/>
      <c r="L16" s="1944">
        <f t="shared" si="1"/>
        <v>0</v>
      </c>
      <c r="M16" s="837"/>
      <c r="N16" s="1998"/>
    </row>
    <row r="17" spans="1:14" x14ac:dyDescent="0.2">
      <c r="A17" s="2003">
        <v>6</v>
      </c>
      <c r="B17" s="1940" t="s">
        <v>1051</v>
      </c>
      <c r="C17" s="841"/>
      <c r="D17" s="1941">
        <v>2610</v>
      </c>
      <c r="E17" s="1944">
        <f>'Expenditures 15-22'!K67</f>
        <v>0</v>
      </c>
      <c r="F17" s="1942"/>
      <c r="G17" s="1968">
        <f>L68</f>
        <v>0</v>
      </c>
      <c r="H17" s="1944">
        <f t="shared" si="0"/>
        <v>0</v>
      </c>
      <c r="I17" s="1943"/>
      <c r="J17" s="1942"/>
      <c r="K17" s="1943"/>
      <c r="L17" s="1944">
        <f t="shared" si="1"/>
        <v>0</v>
      </c>
      <c r="M17" s="837"/>
      <c r="N17" s="1998"/>
    </row>
    <row r="18" spans="1:14" ht="26.25" customHeight="1" x14ac:dyDescent="0.2">
      <c r="A18" s="2004">
        <v>7</v>
      </c>
      <c r="B18" s="2428" t="s">
        <v>7</v>
      </c>
      <c r="C18" s="2429"/>
      <c r="D18" s="2430"/>
      <c r="E18" s="1946"/>
      <c r="F18" s="1946"/>
      <c r="G18" s="1943"/>
      <c r="H18" s="1947">
        <f t="shared" si="0"/>
        <v>0</v>
      </c>
      <c r="I18" s="1943"/>
      <c r="J18" s="1943"/>
      <c r="K18" s="1943"/>
      <c r="L18" s="1944">
        <f t="shared" si="1"/>
        <v>0</v>
      </c>
      <c r="M18" s="837"/>
      <c r="N18" s="1998"/>
    </row>
    <row r="19" spans="1:14" ht="13.5" thickBot="1" x14ac:dyDescent="0.25">
      <c r="A19" s="2003">
        <v>8</v>
      </c>
      <c r="B19" s="1948" t="s">
        <v>1151</v>
      </c>
      <c r="C19" s="837"/>
      <c r="D19" s="1949"/>
      <c r="E19" s="1950">
        <f t="shared" ref="E19:L19" si="2">SUM(E12:E17)-E18</f>
        <v>152780</v>
      </c>
      <c r="F19" s="1950">
        <f t="shared" si="2"/>
        <v>0</v>
      </c>
      <c r="G19" s="1950">
        <f t="shared" ref="G19" si="3">SUM(G12:G17)-G18</f>
        <v>0</v>
      </c>
      <c r="H19" s="1950">
        <f t="shared" si="2"/>
        <v>152780</v>
      </c>
      <c r="I19" s="1950">
        <f t="shared" si="2"/>
        <v>0</v>
      </c>
      <c r="J19" s="1950">
        <f t="shared" si="2"/>
        <v>0</v>
      </c>
      <c r="K19" s="1950">
        <f t="shared" si="2"/>
        <v>0</v>
      </c>
      <c r="L19" s="1950">
        <f t="shared" si="2"/>
        <v>0</v>
      </c>
      <c r="M19" s="837"/>
      <c r="N19" s="1998"/>
    </row>
    <row r="20" spans="1:14" ht="13.5" thickTop="1" x14ac:dyDescent="0.2">
      <c r="A20" s="2003">
        <v>9</v>
      </c>
      <c r="B20" s="2431" t="s">
        <v>2021</v>
      </c>
      <c r="C20" s="2431"/>
      <c r="D20" s="2432"/>
      <c r="E20" s="1951"/>
      <c r="F20" s="1951"/>
      <c r="G20" s="1951"/>
      <c r="H20" s="1951"/>
      <c r="I20" s="1951"/>
      <c r="J20" s="1951"/>
      <c r="K20" s="1951"/>
      <c r="L20" s="1952" t="str">
        <f>IF(AND(H19&gt;0,L19&gt;0),(((L19-H19)/H19)),"Enter Budget Data")</f>
        <v>Enter Budget Data</v>
      </c>
      <c r="M20" s="837"/>
      <c r="N20" s="1998"/>
    </row>
    <row r="21" spans="1:14" x14ac:dyDescent="0.2">
      <c r="A21" s="2005" t="s">
        <v>194</v>
      </c>
      <c r="B21" s="2006" t="s">
        <v>2046</v>
      </c>
      <c r="C21" s="837"/>
      <c r="D21" s="1953"/>
      <c r="E21" s="1954"/>
      <c r="F21" s="1955"/>
      <c r="G21" s="1955"/>
      <c r="H21" s="1955"/>
      <c r="I21" s="1955"/>
      <c r="J21" s="1955"/>
      <c r="K21" s="1955"/>
      <c r="L21" s="1956"/>
      <c r="M21" s="837"/>
      <c r="N21" s="1998"/>
    </row>
    <row r="22" spans="1:14" x14ac:dyDescent="0.2">
      <c r="A22" s="1997"/>
      <c r="B22" s="2007"/>
      <c r="C22" s="837"/>
      <c r="D22" s="837"/>
      <c r="E22" s="837"/>
      <c r="F22" s="837"/>
      <c r="G22" s="837"/>
      <c r="H22" s="837"/>
      <c r="I22" s="837"/>
      <c r="J22" s="837"/>
      <c r="K22" s="837"/>
      <c r="L22" s="837"/>
      <c r="M22" s="837"/>
      <c r="N22" s="1998"/>
    </row>
    <row r="23" spans="1:14" x14ac:dyDescent="0.2">
      <c r="A23" s="2008" t="s">
        <v>132</v>
      </c>
      <c r="B23" s="2007"/>
      <c r="C23" s="837"/>
      <c r="D23" s="837"/>
      <c r="E23" s="837"/>
      <c r="F23" s="837"/>
      <c r="G23" s="837"/>
      <c r="H23" s="837"/>
      <c r="I23" s="837"/>
      <c r="J23" s="837"/>
      <c r="K23" s="837"/>
      <c r="L23" s="837"/>
      <c r="M23" s="837"/>
      <c r="N23" s="1998"/>
    </row>
    <row r="24" spans="1:14" x14ac:dyDescent="0.2">
      <c r="A24" s="2009" t="s">
        <v>2022</v>
      </c>
      <c r="B24" s="2010"/>
      <c r="C24" s="2011"/>
      <c r="D24" s="2011"/>
      <c r="E24" s="2011"/>
      <c r="F24" s="2011"/>
      <c r="G24" s="2011"/>
      <c r="H24" s="2011"/>
      <c r="I24" s="2011"/>
      <c r="J24" s="2011"/>
      <c r="K24" s="2011"/>
      <c r="L24" s="837"/>
      <c r="M24" s="837"/>
      <c r="N24" s="1998"/>
    </row>
    <row r="25" spans="1:14" x14ac:dyDescent="0.2">
      <c r="A25" s="2009" t="s">
        <v>2023</v>
      </c>
      <c r="B25" s="2010"/>
      <c r="C25" s="2011"/>
      <c r="D25" s="2011"/>
      <c r="E25" s="2011"/>
      <c r="F25" s="2011"/>
      <c r="G25" s="2011"/>
      <c r="H25" s="2011"/>
      <c r="I25" s="2011"/>
      <c r="J25" s="2011"/>
      <c r="K25" s="2011"/>
      <c r="L25" s="837"/>
      <c r="M25" s="837"/>
      <c r="N25" s="1998"/>
    </row>
    <row r="26" spans="1:14" x14ac:dyDescent="0.2">
      <c r="A26" s="2012"/>
      <c r="B26" s="2007"/>
      <c r="C26" s="837"/>
      <c r="D26" s="837"/>
      <c r="E26" s="837"/>
      <c r="F26" s="837"/>
      <c r="G26" s="837"/>
      <c r="H26" s="837"/>
      <c r="I26" s="837"/>
      <c r="J26" s="837"/>
      <c r="K26" s="837"/>
      <c r="L26" s="837"/>
      <c r="M26" s="837"/>
      <c r="N26" s="1998"/>
    </row>
    <row r="27" spans="1:14" x14ac:dyDescent="0.2">
      <c r="A27" s="1997"/>
      <c r="B27" s="2007"/>
      <c r="C27" s="2433" t="s">
        <v>2077</v>
      </c>
      <c r="D27" s="2433"/>
      <c r="E27" s="842"/>
      <c r="F27" s="2434"/>
      <c r="G27" s="2434"/>
      <c r="H27" s="2434"/>
      <c r="I27" s="837"/>
      <c r="J27" s="837"/>
      <c r="K27" s="837"/>
      <c r="L27" s="837"/>
      <c r="M27" s="837"/>
      <c r="N27" s="1998"/>
    </row>
    <row r="28" spans="1:14" x14ac:dyDescent="0.2">
      <c r="A28" s="1997"/>
      <c r="B28" s="2007"/>
      <c r="C28" s="1957" t="s">
        <v>1026</v>
      </c>
      <c r="D28" s="843"/>
      <c r="E28" s="1958"/>
      <c r="F28" s="2435" t="s">
        <v>1492</v>
      </c>
      <c r="G28" s="2435"/>
      <c r="H28" s="2435"/>
      <c r="I28" s="837"/>
      <c r="J28" s="837"/>
      <c r="K28" s="837"/>
      <c r="L28" s="837"/>
      <c r="M28" s="837"/>
      <c r="N28" s="1998"/>
    </row>
    <row r="29" spans="1:14" x14ac:dyDescent="0.2">
      <c r="A29" s="1997"/>
      <c r="B29" s="2007"/>
      <c r="C29" s="2436"/>
      <c r="D29" s="2436"/>
      <c r="E29" s="844"/>
      <c r="F29" s="2436"/>
      <c r="G29" s="2436"/>
      <c r="H29" s="2436"/>
      <c r="I29" s="837"/>
      <c r="J29" s="837"/>
      <c r="K29" s="837"/>
      <c r="L29" s="837"/>
      <c r="M29" s="837"/>
      <c r="N29" s="1998"/>
    </row>
    <row r="30" spans="1:14" x14ac:dyDescent="0.2">
      <c r="A30" s="1997"/>
      <c r="B30" s="2007"/>
      <c r="C30" s="1960" t="s">
        <v>1544</v>
      </c>
      <c r="D30" s="837"/>
      <c r="E30" s="1959"/>
      <c r="F30" s="2418" t="s">
        <v>1493</v>
      </c>
      <c r="G30" s="2418"/>
      <c r="H30" s="2418"/>
      <c r="I30" s="837"/>
      <c r="J30" s="837"/>
      <c r="K30" s="837"/>
      <c r="L30" s="837"/>
      <c r="M30" s="837"/>
      <c r="N30" s="1998"/>
    </row>
    <row r="31" spans="1:14" x14ac:dyDescent="0.2">
      <c r="A31" s="1997"/>
      <c r="B31" s="2007"/>
      <c r="C31" s="2013"/>
      <c r="D31" s="837"/>
      <c r="E31" s="1953"/>
      <c r="F31" s="1954"/>
      <c r="G31" s="1954"/>
      <c r="H31" s="1954"/>
      <c r="I31" s="837"/>
      <c r="J31" s="837"/>
      <c r="K31" s="837"/>
      <c r="L31" s="837"/>
      <c r="M31" s="837"/>
      <c r="N31" s="1998"/>
    </row>
    <row r="32" spans="1:14" x14ac:dyDescent="0.2">
      <c r="A32" s="1997"/>
      <c r="B32" s="2014" t="s">
        <v>1027</v>
      </c>
      <c r="C32" s="837"/>
      <c r="D32" s="837"/>
      <c r="E32" s="837"/>
      <c r="F32" s="837"/>
      <c r="G32" s="837"/>
      <c r="H32" s="837"/>
      <c r="I32" s="837"/>
      <c r="J32" s="837"/>
      <c r="K32" s="837"/>
      <c r="L32" s="837"/>
      <c r="M32" s="837"/>
      <c r="N32" s="1998"/>
    </row>
    <row r="33" spans="1:14" x14ac:dyDescent="0.2">
      <c r="A33" s="1997"/>
      <c r="B33" s="2015"/>
      <c r="C33" s="837"/>
      <c r="D33" s="837"/>
      <c r="E33" s="837"/>
      <c r="F33" s="837"/>
      <c r="G33" s="837"/>
      <c r="H33" s="837"/>
      <c r="I33" s="837"/>
      <c r="J33" s="837"/>
      <c r="K33" s="837"/>
      <c r="L33" s="837"/>
      <c r="M33" s="837"/>
      <c r="N33" s="1998"/>
    </row>
    <row r="34" spans="1:14" x14ac:dyDescent="0.2">
      <c r="A34" s="1997"/>
      <c r="B34" s="845"/>
      <c r="C34" s="2439" t="s">
        <v>2024</v>
      </c>
      <c r="D34" s="2440"/>
      <c r="E34" s="2440"/>
      <c r="F34" s="2440"/>
      <c r="G34" s="2440"/>
      <c r="H34" s="2440"/>
      <c r="I34" s="2440"/>
      <c r="J34" s="2440"/>
      <c r="K34" s="2016"/>
      <c r="L34" s="837"/>
      <c r="M34" s="837"/>
      <c r="N34" s="1998"/>
    </row>
    <row r="35" spans="1:14" x14ac:dyDescent="0.2">
      <c r="A35" s="1997"/>
      <c r="B35" s="837"/>
      <c r="C35" s="2440"/>
      <c r="D35" s="2440"/>
      <c r="E35" s="2440"/>
      <c r="F35" s="2440"/>
      <c r="G35" s="2440"/>
      <c r="H35" s="2440"/>
      <c r="I35" s="2440"/>
      <c r="J35" s="2440"/>
      <c r="K35" s="2016"/>
      <c r="L35" s="837"/>
      <c r="M35" s="837"/>
      <c r="N35" s="1998"/>
    </row>
    <row r="36" spans="1:14" x14ac:dyDescent="0.2">
      <c r="A36" s="1997"/>
      <c r="B36" s="837"/>
      <c r="C36" s="2017"/>
      <c r="D36" s="837"/>
      <c r="E36" s="837"/>
      <c r="F36" s="837"/>
      <c r="G36" s="837"/>
      <c r="H36" s="837"/>
      <c r="I36" s="837"/>
      <c r="J36" s="837"/>
      <c r="K36" s="837"/>
      <c r="L36" s="837"/>
      <c r="M36" s="837"/>
      <c r="N36" s="1998"/>
    </row>
    <row r="37" spans="1:14" x14ac:dyDescent="0.2">
      <c r="A37" s="1997"/>
      <c r="B37" s="845"/>
      <c r="C37" s="2439" t="s">
        <v>2025</v>
      </c>
      <c r="D37" s="2440"/>
      <c r="E37" s="2440"/>
      <c r="F37" s="2440"/>
      <c r="G37" s="2440"/>
      <c r="H37" s="2440"/>
      <c r="I37" s="2440"/>
      <c r="J37" s="2440"/>
      <c r="K37" s="2016"/>
      <c r="L37" s="2018"/>
      <c r="M37" s="837"/>
      <c r="N37" s="1998"/>
    </row>
    <row r="38" spans="1:14" x14ac:dyDescent="0.2">
      <c r="A38" s="1997"/>
      <c r="B38" s="837"/>
      <c r="C38" s="2440"/>
      <c r="D38" s="2440"/>
      <c r="E38" s="2440"/>
      <c r="F38" s="2440"/>
      <c r="G38" s="2440"/>
      <c r="H38" s="2440"/>
      <c r="I38" s="2440"/>
      <c r="J38" s="2440"/>
      <c r="K38" s="2016"/>
      <c r="L38" s="2018"/>
      <c r="M38" s="837"/>
      <c r="N38" s="1998"/>
    </row>
    <row r="39" spans="1:14" x14ac:dyDescent="0.2">
      <c r="A39" s="1997"/>
      <c r="B39" s="837"/>
      <c r="C39" s="2017"/>
      <c r="D39" s="837"/>
      <c r="E39" s="1961"/>
      <c r="F39" s="1962"/>
      <c r="G39" s="1962"/>
      <c r="H39" s="1961"/>
      <c r="I39" s="837"/>
      <c r="J39" s="837"/>
      <c r="K39" s="837"/>
      <c r="L39" s="837"/>
      <c r="M39" s="837"/>
      <c r="N39" s="1998"/>
    </row>
    <row r="40" spans="1:14" x14ac:dyDescent="0.2">
      <c r="A40" s="1997"/>
      <c r="B40" s="845"/>
      <c r="C40" s="2441" t="s">
        <v>2026</v>
      </c>
      <c r="D40" s="2442"/>
      <c r="E40" s="2442"/>
      <c r="F40" s="2442"/>
      <c r="G40" s="2442"/>
      <c r="H40" s="2442"/>
      <c r="I40" s="2442"/>
      <c r="J40" s="2442"/>
      <c r="K40" s="1963"/>
      <c r="L40" s="837"/>
      <c r="M40" s="837"/>
      <c r="N40" s="1998"/>
    </row>
    <row r="41" spans="1:14" x14ac:dyDescent="0.2">
      <c r="A41" s="1997"/>
      <c r="B41" s="837"/>
      <c r="C41" s="2019"/>
      <c r="D41" s="2019"/>
      <c r="E41" s="2019"/>
      <c r="F41" s="2019"/>
      <c r="G41" s="2019"/>
      <c r="H41" s="2019"/>
      <c r="I41" s="2019"/>
      <c r="J41" s="2019"/>
      <c r="K41" s="2019"/>
      <c r="L41" s="837"/>
      <c r="M41" s="837"/>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19" t="str">
        <f>J6</f>
        <v xml:space="preserve">  Moraine Area Career System</v>
      </c>
      <c r="M52" s="2419"/>
      <c r="N52" s="2449"/>
    </row>
    <row r="53" spans="1:14" x14ac:dyDescent="0.2">
      <c r="A53" s="1982"/>
      <c r="B53" s="1983"/>
      <c r="C53" s="1983"/>
      <c r="D53" s="1983"/>
      <c r="E53" s="1983"/>
      <c r="F53" s="1983"/>
      <c r="G53" s="1983"/>
      <c r="H53" s="1983"/>
      <c r="I53" s="1983"/>
      <c r="J53" s="1983"/>
      <c r="K53" s="1924" t="s">
        <v>369</v>
      </c>
      <c r="L53" s="2424">
        <f>J7</f>
        <v>7016218046</v>
      </c>
      <c r="M53" s="2424"/>
      <c r="N53" s="245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1"/>
      <c r="B55" s="2452"/>
      <c r="C55" s="2452"/>
      <c r="D55" s="1970"/>
      <c r="E55" s="1970"/>
      <c r="F55" s="1970"/>
      <c r="G55" s="2453" t="s">
        <v>2030</v>
      </c>
      <c r="H55" s="2453"/>
      <c r="I55" s="2453"/>
      <c r="J55" s="2453"/>
      <c r="K55" s="2453"/>
      <c r="L55" s="2453"/>
      <c r="M55" s="2453"/>
      <c r="N55" s="2454"/>
    </row>
    <row r="56" spans="1:14" ht="63.75" x14ac:dyDescent="0.2">
      <c r="A56" s="2455" t="s">
        <v>2031</v>
      </c>
      <c r="B56" s="2456"/>
      <c r="C56" s="245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8" t="s">
        <v>296</v>
      </c>
      <c r="B57" s="2459"/>
      <c r="C57" s="245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7" t="s">
        <v>2041</v>
      </c>
      <c r="B58" s="2438"/>
      <c r="C58" s="243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0" t="s">
        <v>297</v>
      </c>
      <c r="B59" s="2461"/>
      <c r="C59" s="246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0" t="s">
        <v>236</v>
      </c>
      <c r="B60" s="2461"/>
      <c r="C60" s="246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0" t="s">
        <v>697</v>
      </c>
      <c r="B61" s="2461"/>
      <c r="C61" s="2461"/>
      <c r="D61" s="1967">
        <v>2365</v>
      </c>
      <c r="E61" s="1977">
        <f>'Expenditures 15-22'!K323</f>
        <v>0</v>
      </c>
      <c r="F61" s="1972"/>
      <c r="G61" s="2031"/>
      <c r="H61" s="2032"/>
      <c r="I61" s="2032"/>
      <c r="J61" s="2032"/>
      <c r="K61" s="2032"/>
      <c r="L61" s="2032"/>
      <c r="M61" s="2032"/>
      <c r="N61" s="1975">
        <f t="shared" si="4"/>
        <v>0</v>
      </c>
    </row>
    <row r="62" spans="1:14" ht="24" customHeight="1" x14ac:dyDescent="0.2">
      <c r="A62" s="2460" t="s">
        <v>237</v>
      </c>
      <c r="B62" s="2461"/>
      <c r="C62" s="2461"/>
      <c r="D62" s="1967">
        <v>2366</v>
      </c>
      <c r="E62" s="1977">
        <f>'Expenditures 15-22'!K324</f>
        <v>0</v>
      </c>
      <c r="F62" s="1972"/>
      <c r="G62" s="2031"/>
      <c r="H62" s="2032"/>
      <c r="I62" s="2032"/>
      <c r="J62" s="2032"/>
      <c r="K62" s="2032"/>
      <c r="L62" s="2032"/>
      <c r="M62" s="2032"/>
      <c r="N62" s="1975">
        <f t="shared" si="4"/>
        <v>0</v>
      </c>
    </row>
    <row r="63" spans="1:14" ht="24" customHeight="1" x14ac:dyDescent="0.2">
      <c r="A63" s="2437" t="s">
        <v>1022</v>
      </c>
      <c r="B63" s="2438"/>
      <c r="C63" s="2438"/>
      <c r="D63" s="1967">
        <v>2367</v>
      </c>
      <c r="E63" s="1977">
        <f>'Expenditures 15-22'!K325</f>
        <v>0</v>
      </c>
      <c r="F63" s="1972"/>
      <c r="G63" s="2031"/>
      <c r="H63" s="2032"/>
      <c r="I63" s="2032"/>
      <c r="J63" s="2032"/>
      <c r="K63" s="2032"/>
      <c r="L63" s="2032"/>
      <c r="M63" s="2032"/>
      <c r="N63" s="1975">
        <f t="shared" si="4"/>
        <v>0</v>
      </c>
    </row>
    <row r="64" spans="1:14" ht="24" customHeight="1" x14ac:dyDescent="0.2">
      <c r="A64" s="2460" t="s">
        <v>1023</v>
      </c>
      <c r="B64" s="2461"/>
      <c r="C64" s="2461"/>
      <c r="D64" s="1967">
        <v>2368</v>
      </c>
      <c r="E64" s="1977">
        <f>'Expenditures 15-22'!K326</f>
        <v>0</v>
      </c>
      <c r="F64" s="1972"/>
      <c r="G64" s="2031"/>
      <c r="H64" s="2032"/>
      <c r="I64" s="2032"/>
      <c r="J64" s="2032"/>
      <c r="K64" s="2032"/>
      <c r="L64" s="2032"/>
      <c r="M64" s="2032"/>
      <c r="N64" s="1975">
        <f t="shared" si="4"/>
        <v>0</v>
      </c>
    </row>
    <row r="65" spans="1:14" ht="24" customHeight="1" x14ac:dyDescent="0.2">
      <c r="A65" s="2460" t="s">
        <v>965</v>
      </c>
      <c r="B65" s="2461"/>
      <c r="C65" s="2461"/>
      <c r="D65" s="1967">
        <v>2369</v>
      </c>
      <c r="E65" s="1977">
        <f>'Expenditures 15-22'!K327</f>
        <v>0</v>
      </c>
      <c r="F65" s="1972"/>
      <c r="G65" s="2031"/>
      <c r="H65" s="2032"/>
      <c r="I65" s="2032"/>
      <c r="J65" s="2032"/>
      <c r="K65" s="2032"/>
      <c r="L65" s="2032"/>
      <c r="M65" s="2032"/>
      <c r="N65" s="1975">
        <f t="shared" si="4"/>
        <v>0</v>
      </c>
    </row>
    <row r="66" spans="1:14" ht="24" customHeight="1" x14ac:dyDescent="0.2">
      <c r="A66" s="2460" t="s">
        <v>469</v>
      </c>
      <c r="B66" s="2461"/>
      <c r="C66" s="2461"/>
      <c r="D66" s="1967">
        <v>2371</v>
      </c>
      <c r="E66" s="1977">
        <f>'Expenditures 15-22'!K328</f>
        <v>0</v>
      </c>
      <c r="F66" s="1972"/>
      <c r="G66" s="2031"/>
      <c r="H66" s="2032"/>
      <c r="I66" s="2032"/>
      <c r="J66" s="2032"/>
      <c r="K66" s="2032"/>
      <c r="L66" s="2032"/>
      <c r="M66" s="2032"/>
      <c r="N66" s="1975">
        <f t="shared" si="4"/>
        <v>0</v>
      </c>
    </row>
    <row r="67" spans="1:14" ht="24.75" customHeight="1" x14ac:dyDescent="0.2">
      <c r="A67" s="2462" t="s">
        <v>2042</v>
      </c>
      <c r="B67" s="2463"/>
      <c r="C67" s="2463"/>
      <c r="D67" s="1969">
        <v>2372</v>
      </c>
      <c r="E67" s="1978">
        <f>'Expenditures 15-22'!K329</f>
        <v>0</v>
      </c>
      <c r="F67" s="1972"/>
      <c r="G67" s="2033"/>
      <c r="H67" s="2034"/>
      <c r="I67" s="2034"/>
      <c r="J67" s="2034"/>
      <c r="K67" s="2034"/>
      <c r="L67" s="2034"/>
      <c r="M67" s="2034"/>
      <c r="N67" s="1975">
        <f t="shared" si="4"/>
        <v>0</v>
      </c>
    </row>
    <row r="68" spans="1:14" x14ac:dyDescent="0.2">
      <c r="A68" s="2464" t="s">
        <v>1151</v>
      </c>
      <c r="B68" s="2465"/>
      <c r="C68" s="246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14999847407452621"/>
  </sheetPr>
  <dimension ref="A2:B65"/>
  <sheetViews>
    <sheetView showGridLines="0" zoomScale="110" zoomScaleNormal="110" workbookViewId="0">
      <selection activeCell="M21" sqref="M21"/>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2073</v>
      </c>
    </row>
    <row r="6" spans="1:2" x14ac:dyDescent="0.2">
      <c r="A6" s="846">
        <v>2</v>
      </c>
      <c r="B6" s="306" t="s">
        <v>2078</v>
      </c>
    </row>
    <row r="7" spans="1:2" x14ac:dyDescent="0.2">
      <c r="A7" s="846">
        <v>3</v>
      </c>
      <c r="B7" s="306" t="s">
        <v>2079</v>
      </c>
    </row>
    <row r="8" spans="1:2" x14ac:dyDescent="0.2">
      <c r="A8" s="846">
        <v>4</v>
      </c>
      <c r="B8" s="306" t="s">
        <v>2080</v>
      </c>
    </row>
    <row r="9" spans="1:2" x14ac:dyDescent="0.2">
      <c r="A9" s="846">
        <v>5</v>
      </c>
      <c r="B9" s="306" t="s">
        <v>2081</v>
      </c>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Moraine Area Career System</v>
      </c>
    </row>
    <row r="65" spans="2:2" x14ac:dyDescent="0.2">
      <c r="B65" s="848">
        <f>COVER!A13</f>
        <v>7016218046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I84"/>
  <sheetViews>
    <sheetView showGridLines="0" topLeftCell="A25" zoomScale="110" zoomScaleNormal="110" workbookViewId="0">
      <selection activeCell="B54" sqref="B54"/>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2" t="s">
        <v>1056</v>
      </c>
      <c r="B35" s="2152"/>
      <c r="C35" s="2152"/>
      <c r="D35" s="2152"/>
      <c r="E35" s="215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14999847407452621"/>
  </sheetPr>
  <dimension ref="A1:D19"/>
  <sheetViews>
    <sheetView showGridLines="0" defaultGridColor="0" colorId="8" zoomScale="110" zoomScaleNormal="110" workbookViewId="0">
      <selection activeCell="M21" sqref="M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34998626667073579"/>
  </sheetPr>
  <dimension ref="A1:F24"/>
  <sheetViews>
    <sheetView showGridLines="0" zoomScale="110" zoomScaleNormal="110" workbookViewId="0">
      <selection activeCell="B11" sqref="B11"/>
    </sheetView>
  </sheetViews>
  <sheetFormatPr defaultColWidth="9.140625" defaultRowHeight="12.75" x14ac:dyDescent="0.2"/>
  <cols>
    <col min="1" max="1" width="1.85546875" style="306" customWidth="1"/>
    <col min="2" max="2" width="59.7109375" style="306" customWidth="1"/>
    <col min="3" max="16384" width="9.140625" style="306"/>
  </cols>
  <sheetData>
    <row r="1" spans="3:3" x14ac:dyDescent="0.2">
      <c r="C1" s="306" t="s">
        <v>2082</v>
      </c>
    </row>
    <row r="6" spans="3:3" x14ac:dyDescent="0.2">
      <c r="C6" s="306" t="s">
        <v>2083</v>
      </c>
    </row>
    <row r="11" spans="3:3" x14ac:dyDescent="0.2">
      <c r="C11" s="306" t="s">
        <v>2084</v>
      </c>
    </row>
    <row r="12" spans="3:3" x14ac:dyDescent="0.2">
      <c r="C12" s="306" t="s">
        <v>2085</v>
      </c>
    </row>
    <row r="17" spans="1:6" x14ac:dyDescent="0.2">
      <c r="B17" s="849"/>
      <c r="C17" s="849"/>
      <c r="D17" s="849"/>
      <c r="E17" s="849"/>
      <c r="F17" s="849"/>
    </row>
    <row r="19" spans="1:6" x14ac:dyDescent="0.2">
      <c r="A19" s="850" t="s">
        <v>1476</v>
      </c>
    </row>
    <row r="21" spans="1:6" x14ac:dyDescent="0.2">
      <c r="A21" s="365" t="s">
        <v>852</v>
      </c>
    </row>
    <row r="22" spans="1:6" s="849" customFormat="1" ht="45" customHeight="1" x14ac:dyDescent="0.2">
      <c r="A22" s="851"/>
      <c r="B22" s="851" t="s">
        <v>1973</v>
      </c>
    </row>
    <row r="23" spans="1:6" ht="6" customHeight="1" x14ac:dyDescent="0.2"/>
    <row r="24" spans="1:6" ht="24.75" customHeight="1" x14ac:dyDescent="0.2">
      <c r="A24" s="2466" t="s">
        <v>1665</v>
      </c>
      <c r="B24" s="2466"/>
    </row>
  </sheetData>
  <sheetProtection selectLockedCells="1"/>
  <mergeCells count="1">
    <mergeCell ref="A24:B24"/>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10</xdr:row>
                <xdr:rowOff>0</xdr:rowOff>
              </from>
              <to>
                <xdr:col>1</xdr:col>
                <xdr:colOff>914400</xdr:colOff>
                <xdr:row>14</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14999847407452621"/>
    <pageSetUpPr fitToPage="1"/>
  </sheetPr>
  <dimension ref="A1:H48"/>
  <sheetViews>
    <sheetView showGridLines="0" showZeros="0" zoomScale="110" zoomScaleNormal="110" workbookViewId="0">
      <selection activeCell="M21" sqref="M2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1557308</v>
      </c>
      <c r="C8" s="1812">
        <f>'Acct Summary 7-8'!D8</f>
        <v>0</v>
      </c>
      <c r="D8" s="1812">
        <f>'Acct Summary 7-8'!F8</f>
        <v>0</v>
      </c>
      <c r="E8" s="1812">
        <f>'Acct Summary 7-8'!I8</f>
        <v>0</v>
      </c>
      <c r="F8" s="1812">
        <f>SUM(B8:E8)</f>
        <v>1557308</v>
      </c>
    </row>
    <row r="9" spans="1:8" s="857" customFormat="1" ht="14.25" customHeight="1" thickBot="1" x14ac:dyDescent="0.25">
      <c r="A9" s="856" t="s">
        <v>1353</v>
      </c>
      <c r="B9" s="1813">
        <f>'Acct Summary 7-8'!C17</f>
        <v>1557308</v>
      </c>
      <c r="C9" s="1813">
        <f>'Acct Summary 7-8'!D17</f>
        <v>0</v>
      </c>
      <c r="D9" s="1813">
        <f>'Acct Summary 7-8'!F17</f>
        <v>0</v>
      </c>
      <c r="E9" s="1812"/>
      <c r="F9" s="1812">
        <f>SUM(B9:E9)</f>
        <v>1557308</v>
      </c>
    </row>
    <row r="10" spans="1:8" s="857" customFormat="1" ht="14.25" thickTop="1" thickBot="1" x14ac:dyDescent="0.25">
      <c r="A10" s="858" t="s">
        <v>1354</v>
      </c>
      <c r="B10" s="1814">
        <f>(B8-B9)</f>
        <v>0</v>
      </c>
      <c r="C10" s="1814">
        <f>(C8-C9)</f>
        <v>0</v>
      </c>
      <c r="D10" s="1814">
        <f>(D8-D9)</f>
        <v>0</v>
      </c>
      <c r="E10" s="1813">
        <f>(E8-E9)</f>
        <v>0</v>
      </c>
      <c r="F10" s="1815">
        <f>SUM(F8-F9)</f>
        <v>0</v>
      </c>
    </row>
    <row r="11" spans="1:8" s="857" customFormat="1" ht="14.25" thickTop="1" thickBot="1" x14ac:dyDescent="0.25">
      <c r="A11" s="859" t="s">
        <v>1903</v>
      </c>
      <c r="B11" s="1816">
        <f>'Acct Summary 7-8'!C81</f>
        <v>0</v>
      </c>
      <c r="C11" s="1816">
        <f>'Acct Summary 7-8'!D81</f>
        <v>0</v>
      </c>
      <c r="D11" s="1816">
        <f>'Acct Summary 7-8'!F81</f>
        <v>0</v>
      </c>
      <c r="E11" s="1816">
        <f>'Acct Summary 7-8'!I81</f>
        <v>0</v>
      </c>
      <c r="F11" s="1817">
        <f>SUM(B11:E11)</f>
        <v>0</v>
      </c>
    </row>
    <row r="12" spans="1:8" ht="16.5" customHeight="1" thickTop="1" x14ac:dyDescent="0.2">
      <c r="A12" s="860"/>
      <c r="B12" s="861"/>
      <c r="C12" s="2471" t="str">
        <f>IF(AND(F10&lt;0,F11&gt;=0,ABS(F10*3)&gt;ABS(F11)),A16,IF(AND(F10&lt;0,F11&gt;0,ABS(F10*3)&lt;=ABS(F11)),A17,IF(AND(F10&lt;0,F11&lt;0),A16,IF(F11=0,A19,A18))))</f>
        <v>To determine if the AFR is balanced, complete all pages of the AFR first.</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7" customFormat="1" ht="51.75" hidden="1" customHeight="1" x14ac:dyDescent="0.2">
      <c r="A16" s="2470" t="s">
        <v>1666</v>
      </c>
      <c r="B16" s="2470"/>
      <c r="C16" s="2470"/>
      <c r="D16" s="2470"/>
      <c r="E16" s="2470"/>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76" sqref="D7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3" t="s">
        <v>1487</v>
      </c>
      <c r="D7" s="2504"/>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5" t="s">
        <v>1001</v>
      </c>
      <c r="B15" s="2496"/>
      <c r="C15" s="2496"/>
      <c r="D15" s="2497"/>
    </row>
    <row r="16" spans="1:4" s="541" customFormat="1" ht="24" customHeight="1" x14ac:dyDescent="0.2">
      <c r="A16" s="2498" t="s">
        <v>658</v>
      </c>
      <c r="B16" s="2499"/>
      <c r="C16" s="2499"/>
      <c r="D16" s="2500"/>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AFR form Incomplete.</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ENTRY IS REQUIRED!</v>
      </c>
    </row>
    <row r="77" spans="1:4" x14ac:dyDescent="0.2">
      <c r="A77" s="878"/>
      <c r="B77" s="907">
        <f>B74+1</f>
        <v>11</v>
      </c>
      <c r="C77" s="952" t="s">
        <v>1362</v>
      </c>
      <c r="D77" s="902"/>
    </row>
    <row r="78" spans="1:4" x14ac:dyDescent="0.2">
      <c r="A78" s="878"/>
      <c r="B78" s="888"/>
      <c r="C78" s="896" t="s">
        <v>1988</v>
      </c>
      <c r="D78" s="902" t="str">
        <f>IF(ISNUMBER('Acct Summary 7-8'!C9),"OK","ENTRY IS REQUIRED!")</f>
        <v>ENTRY IS REQUIRED!</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ht="22.5" x14ac:dyDescent="0.2">
      <c r="A82" s="876"/>
      <c r="B82" s="898">
        <v>15</v>
      </c>
      <c r="C82" s="908" t="s">
        <v>1884</v>
      </c>
      <c r="D82" s="190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7016218046</v>
      </c>
      <c r="E2" s="1541">
        <v>2020</v>
      </c>
      <c r="F2" s="1541">
        <v>1</v>
      </c>
      <c r="G2" s="1898">
        <v>101000300</v>
      </c>
    </row>
    <row r="3" spans="1:7" ht="15" x14ac:dyDescent="0.25">
      <c r="A3" t="s">
        <v>950</v>
      </c>
      <c r="B3" s="134" t="str">
        <f>COVER!A15</f>
        <v xml:space="preserve">Cook </v>
      </c>
      <c r="E3" s="1829" t="s">
        <v>1971</v>
      </c>
      <c r="F3" s="1829" t="s">
        <v>1970</v>
      </c>
      <c r="G3" s="1898">
        <v>101000400</v>
      </c>
    </row>
    <row r="4" spans="1:7" ht="15" x14ac:dyDescent="0.25">
      <c r="A4" t="s">
        <v>1000</v>
      </c>
      <c r="B4" s="134" t="str">
        <f>COVER!A17</f>
        <v xml:space="preserve">  Moraine Area Career System</v>
      </c>
      <c r="E4" s="1827">
        <v>44119</v>
      </c>
      <c r="F4" s="1828">
        <v>44151</v>
      </c>
      <c r="G4" s="1898">
        <v>101000600</v>
      </c>
    </row>
    <row r="5" spans="1:7" ht="15" x14ac:dyDescent="0.25">
      <c r="A5" t="s">
        <v>699</v>
      </c>
      <c r="B5" s="134" t="str">
        <f>COVER!A38</f>
        <v>Debbie Canna</v>
      </c>
      <c r="G5" s="1898">
        <v>101000800</v>
      </c>
    </row>
    <row r="6" spans="1:7" ht="15" x14ac:dyDescent="0.25">
      <c r="A6" t="s">
        <v>704</v>
      </c>
      <c r="B6" s="134" t="str">
        <f>COVER!P35</f>
        <v>Worth</v>
      </c>
      <c r="G6" s="1898">
        <v>102100300</v>
      </c>
    </row>
    <row r="7" spans="1:7" ht="15" x14ac:dyDescent="0.25">
      <c r="A7" t="s">
        <v>700</v>
      </c>
      <c r="B7" s="134" t="str">
        <f>COVER!I38</f>
        <v>Terry LaBella</v>
      </c>
      <c r="G7" s="1898">
        <v>102100400</v>
      </c>
    </row>
    <row r="8" spans="1:7" ht="15" x14ac:dyDescent="0.25">
      <c r="A8" t="s">
        <v>701</v>
      </c>
      <c r="B8" s="134" t="str">
        <f>COVER!T38</f>
        <v>Dr. Vanessa Kinder</v>
      </c>
      <c r="G8" s="1898">
        <v>102100600</v>
      </c>
    </row>
    <row r="9" spans="1:7" ht="15" x14ac:dyDescent="0.25">
      <c r="A9" s="3" t="s">
        <v>951</v>
      </c>
      <c r="B9" s="152" t="str">
        <f>AUDITCHECK!D23</f>
        <v xml:space="preserve">ACCRUAL </v>
      </c>
      <c r="G9" s="1898">
        <v>102100800</v>
      </c>
    </row>
    <row r="10" spans="1:7" ht="15" x14ac:dyDescent="0.25">
      <c r="A10" t="s">
        <v>970</v>
      </c>
      <c r="B10" s="134">
        <f>COVER!B5</f>
        <v>0</v>
      </c>
      <c r="G10" s="1898">
        <v>202100300</v>
      </c>
    </row>
    <row r="11" spans="1:7" ht="15" x14ac:dyDescent="0.25">
      <c r="A11" t="s">
        <v>971</v>
      </c>
      <c r="B11" s="134" t="str">
        <f>COVER!B6</f>
        <v>X</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066-003346</v>
      </c>
      <c r="G15" s="1898">
        <v>402100400</v>
      </c>
    </row>
    <row r="16" spans="1:7" ht="15" x14ac:dyDescent="0.25">
      <c r="A16" t="s">
        <v>419</v>
      </c>
      <c r="B16" s="134" t="str">
        <f>COVER!T13</f>
        <v>RSM US LLP</v>
      </c>
      <c r="G16" s="1898">
        <v>402100600</v>
      </c>
    </row>
    <row r="17" spans="1:7" ht="15" x14ac:dyDescent="0.25">
      <c r="A17" t="s">
        <v>878</v>
      </c>
      <c r="B17" s="134" t="str">
        <f>COVER!T15</f>
        <v>John George</v>
      </c>
      <c r="G17" s="1898">
        <v>402100800</v>
      </c>
    </row>
    <row r="18" spans="1:7" ht="15" x14ac:dyDescent="0.25">
      <c r="A18" t="s">
        <v>1140</v>
      </c>
      <c r="B18" s="134" t="str">
        <f>COVER!T17</f>
        <v>One South Wacker Drive Suite 800</v>
      </c>
      <c r="G18" s="1898">
        <v>102200300</v>
      </c>
    </row>
    <row r="19" spans="1:7" ht="15" x14ac:dyDescent="0.25">
      <c r="A19" t="s">
        <v>880</v>
      </c>
      <c r="B19" s="134" t="str">
        <f>COVER!T25</f>
        <v>John.George@rsmus.com</v>
      </c>
      <c r="G19" s="1898">
        <v>102200400</v>
      </c>
    </row>
    <row r="20" spans="1:7" ht="15" x14ac:dyDescent="0.25">
      <c r="A20" t="s">
        <v>881</v>
      </c>
      <c r="B20" s="134" t="str">
        <f>COVER!T19</f>
        <v>Chicago</v>
      </c>
      <c r="G20" s="1898">
        <v>102200600</v>
      </c>
    </row>
    <row r="21" spans="1:7" ht="15" x14ac:dyDescent="0.25">
      <c r="A21" t="s">
        <v>476</v>
      </c>
      <c r="B21" s="134" t="str">
        <f>COVER!X19</f>
        <v>IL</v>
      </c>
      <c r="G21" s="1898">
        <v>102200800</v>
      </c>
    </row>
    <row r="22" spans="1:7" ht="15" x14ac:dyDescent="0.25">
      <c r="A22" t="s">
        <v>882</v>
      </c>
      <c r="B22" s="134">
        <f>COVER!Z19</f>
        <v>60606</v>
      </c>
      <c r="G22" s="1898">
        <v>102300300</v>
      </c>
    </row>
    <row r="23" spans="1:7" ht="15" x14ac:dyDescent="0.25">
      <c r="A23" t="s">
        <v>1142</v>
      </c>
      <c r="B23" s="134" t="str">
        <f>COVER!T21</f>
        <v>312-634-3400</v>
      </c>
      <c r="G23" s="1898">
        <v>102300400</v>
      </c>
    </row>
    <row r="24" spans="1:7" ht="15" x14ac:dyDescent="0.25">
      <c r="A24" t="s">
        <v>1141</v>
      </c>
      <c r="B24" s="134">
        <f>COVER!Y21</f>
        <v>0</v>
      </c>
      <c r="G24" s="1898">
        <v>102300600</v>
      </c>
    </row>
    <row r="25" spans="1:7" ht="15" x14ac:dyDescent="0.25">
      <c r="A25" t="s">
        <v>756</v>
      </c>
      <c r="B25" s="134">
        <f>COVER!B34</f>
        <v>0</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0</v>
      </c>
      <c r="G49" s="1898">
        <v>102540800</v>
      </c>
    </row>
    <row r="50" spans="1:7" ht="15" x14ac:dyDescent="0.25">
      <c r="A50" s="1" t="s">
        <v>1463</v>
      </c>
      <c r="B50" s="145">
        <f>'Aud Quest 2'!H53</f>
        <v>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198941</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198941</v>
      </c>
      <c r="C91" s="2" t="s">
        <v>569</v>
      </c>
      <c r="D91" s="2" t="str">
        <f t="shared" si="0"/>
        <v>Error?</v>
      </c>
      <c r="G91" s="1898">
        <v>102640400</v>
      </c>
    </row>
    <row r="92" spans="1:7" ht="15" x14ac:dyDescent="0.25">
      <c r="A92" s="5">
        <v>31</v>
      </c>
      <c r="B92" s="1831">
        <f>'Assets-Liab 5-6'!C39</f>
        <v>0</v>
      </c>
      <c r="D92" s="2" t="str">
        <f t="shared" si="0"/>
        <v>Error?</v>
      </c>
      <c r="G92" s="1898">
        <v>102640600</v>
      </c>
    </row>
    <row r="93" spans="1:7" ht="15" x14ac:dyDescent="0.25">
      <c r="A93" s="5">
        <v>32</v>
      </c>
      <c r="B93" s="1831">
        <f>'Assets-Liab 5-6'!C41</f>
        <v>198941</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0</v>
      </c>
      <c r="D123" s="2" t="str">
        <f t="shared" si="0"/>
        <v>Error?</v>
      </c>
      <c r="G123" s="1898">
        <v>203000400</v>
      </c>
    </row>
    <row r="124" spans="1:7" ht="15" x14ac:dyDescent="0.25">
      <c r="A124" s="5">
        <v>63</v>
      </c>
      <c r="B124" s="1831">
        <f>'Assets-Liab 5-6'!D41</f>
        <v>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0</v>
      </c>
      <c r="C279" s="2" t="s">
        <v>569</v>
      </c>
      <c r="D279" s="2" t="str">
        <f t="shared" si="3"/>
        <v>Error?</v>
      </c>
    </row>
    <row r="280" spans="1:4" x14ac:dyDescent="0.2">
      <c r="A280" s="5">
        <v>219</v>
      </c>
      <c r="B280" s="1831">
        <f>'Assets-Liab 5-6'!M40</f>
        <v>0</v>
      </c>
      <c r="D280" s="2" t="str">
        <f t="shared" si="3"/>
        <v>Error?</v>
      </c>
    </row>
    <row r="281" spans="1:4" x14ac:dyDescent="0.2">
      <c r="A281" s="5">
        <v>220</v>
      </c>
      <c r="B281" s="1831">
        <f>'Assets-Liab 5-6'!M41</f>
        <v>0</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126699</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126699</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90679</v>
      </c>
      <c r="D733" s="2" t="str">
        <f t="shared" si="10"/>
        <v>Error?</v>
      </c>
    </row>
    <row r="734" spans="1:4" x14ac:dyDescent="0.2">
      <c r="A734" s="5">
        <v>673</v>
      </c>
      <c r="B734" s="1831">
        <f>'Expenditures 15-22'!C53</f>
        <v>90679</v>
      </c>
      <c r="C734" s="2" t="s">
        <v>569</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0</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217378</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217378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11675</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11675</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29129</v>
      </c>
      <c r="D791" s="2" t="str">
        <f t="shared" si="11"/>
        <v>Error?</v>
      </c>
    </row>
    <row r="792" spans="1:4" x14ac:dyDescent="0.2">
      <c r="A792" s="5">
        <v>731</v>
      </c>
      <c r="B792" s="1831">
        <f>'Expenditures 15-22'!D53</f>
        <v>29129</v>
      </c>
      <c r="C792" s="2" t="s">
        <v>569</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40804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40804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0</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9116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9116</v>
      </c>
      <c r="C847" s="2" t="s">
        <v>569</v>
      </c>
      <c r="D847" s="2" t="str">
        <f t="shared" si="12"/>
        <v>Error?</v>
      </c>
    </row>
    <row r="848" spans="1:4" x14ac:dyDescent="0.2">
      <c r="A848" s="5">
        <v>787</v>
      </c>
      <c r="B848" s="1831">
        <f>'Expenditures 15-22'!E49</f>
        <v>0</v>
      </c>
      <c r="D848" s="2" t="str">
        <f t="shared" si="12"/>
        <v>Error?</v>
      </c>
    </row>
    <row r="849" spans="1:4" x14ac:dyDescent="0.2">
      <c r="A849" s="5">
        <v>788</v>
      </c>
      <c r="B849" s="1831">
        <f>'Expenditures 15-22'!E50</f>
        <v>29856</v>
      </c>
      <c r="D849" s="2" t="str">
        <f t="shared" si="12"/>
        <v>Error?</v>
      </c>
    </row>
    <row r="850" spans="1:4" x14ac:dyDescent="0.2">
      <c r="A850" s="5">
        <v>789</v>
      </c>
      <c r="B850" s="1831">
        <f>'Expenditures 15-22'!E53</f>
        <v>29856</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38972</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38972</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0</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2806</v>
      </c>
      <c r="D907" s="2" t="str">
        <f t="shared" si="13"/>
        <v>Error?</v>
      </c>
    </row>
    <row r="908" spans="1:4" x14ac:dyDescent="0.2">
      <c r="A908" s="5">
        <v>847</v>
      </c>
      <c r="B908" s="1831">
        <f>'Expenditures 15-22'!F53</f>
        <v>2806</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2806</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2806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310</v>
      </c>
      <c r="D1023" s="2" t="str">
        <f t="shared" ref="D1023:D1086" si="15">IF(ISBLANK(B1023),"OK",IF(A1023-B1023=0,"OK","Error?"))</f>
        <v>Error?</v>
      </c>
    </row>
    <row r="1024" spans="1:4" x14ac:dyDescent="0.2">
      <c r="A1024" s="5">
        <v>963</v>
      </c>
      <c r="B1024" s="1831">
        <f>'Expenditures 15-22'!H53</f>
        <v>310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310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1257038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1257348</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0</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0</v>
      </c>
      <c r="C1115" s="2" t="s">
        <v>569</v>
      </c>
      <c r="D1115" s="2" t="str">
        <f t="shared" si="16"/>
        <v>Error?</v>
      </c>
    </row>
    <row r="1116" spans="1:4" x14ac:dyDescent="0.2">
      <c r="A1116" s="5">
        <v>1055</v>
      </c>
      <c r="B1116" s="1831">
        <f>'Expenditures 15-22'!K44</f>
        <v>147490</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147490</v>
      </c>
      <c r="C1119" s="2" t="s">
        <v>569</v>
      </c>
      <c r="D1119" s="2" t="str">
        <f t="shared" si="16"/>
        <v>Error?</v>
      </c>
    </row>
    <row r="1120" spans="1:4" x14ac:dyDescent="0.2">
      <c r="A1120" s="5">
        <v>1059</v>
      </c>
      <c r="B1120" s="1831">
        <f>'Expenditures 15-22'!K49</f>
        <v>0</v>
      </c>
      <c r="C1120" s="2" t="s">
        <v>569</v>
      </c>
      <c r="D1120" s="2" t="str">
        <f t="shared" si="16"/>
        <v>Error?</v>
      </c>
    </row>
    <row r="1121" spans="1:4" x14ac:dyDescent="0.2">
      <c r="A1121" s="5">
        <v>1060</v>
      </c>
      <c r="B1121" s="1831">
        <f>'Expenditures 15-22'!K50</f>
        <v>152780</v>
      </c>
      <c r="C1121" s="2" t="s">
        <v>569</v>
      </c>
      <c r="D1121" s="2" t="str">
        <f t="shared" si="16"/>
        <v>Error?</v>
      </c>
    </row>
    <row r="1122" spans="1:4" x14ac:dyDescent="0.2">
      <c r="A1122" s="5">
        <v>1061</v>
      </c>
      <c r="B1122" s="1831">
        <f>'Expenditures 15-22'!K53</f>
        <v>152780</v>
      </c>
      <c r="C1122" s="2" t="s">
        <v>569</v>
      </c>
      <c r="D1122" s="2" t="str">
        <f t="shared" si="16"/>
        <v>Error?</v>
      </c>
    </row>
    <row r="1123" spans="1:4" x14ac:dyDescent="0.2">
      <c r="A1123" s="5">
        <v>1062</v>
      </c>
      <c r="B1123" s="1831">
        <f>'Expenditures 15-22'!K55</f>
        <v>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300270</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1257038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1557308</v>
      </c>
      <c r="C1152" s="2" t="s">
        <v>569</v>
      </c>
      <c r="D1152" s="2" t="str">
        <f t="shared" si="17"/>
        <v>Error?</v>
      </c>
    </row>
    <row r="1153" spans="1:4" x14ac:dyDescent="0.2">
      <c r="A1153" s="5">
        <v>1092</v>
      </c>
      <c r="B1153" s="1831">
        <f>'Expenditures 15-22'!K115</f>
        <v>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0</v>
      </c>
      <c r="C1288" s="2" t="s">
        <v>569</v>
      </c>
      <c r="D1288" s="2" t="str">
        <f t="shared" si="19"/>
        <v>Error?</v>
      </c>
    </row>
    <row r="1289" spans="1:4" x14ac:dyDescent="0.2">
      <c r="A1289" s="5">
        <v>1228</v>
      </c>
      <c r="B1289" s="1831">
        <f>'Expenditures 15-22'!K152</f>
        <v>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0</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0</v>
      </c>
      <c r="C1388" s="2" t="s">
        <v>569</v>
      </c>
      <c r="D1388" s="2" t="str">
        <f t="shared" si="20"/>
        <v>Error?</v>
      </c>
    </row>
    <row r="1389" spans="1:4" x14ac:dyDescent="0.2">
      <c r="A1389" s="5">
        <v>1328</v>
      </c>
      <c r="B1389" s="1831">
        <f>'Expenditures 15-22'!K211</f>
        <v>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0</v>
      </c>
      <c r="C1630" s="2" t="s">
        <v>569</v>
      </c>
      <c r="D1630" s="2" t="str">
        <f t="shared" si="24"/>
        <v>Error?</v>
      </c>
    </row>
    <row r="1631" spans="1:4" x14ac:dyDescent="0.2">
      <c r="A1631" s="5">
        <v>1570</v>
      </c>
      <c r="B1631" s="1831">
        <f>'Acct Summary 7-8'!D79</f>
        <v>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0</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0</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0</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0</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0</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0</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0</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0</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0</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0</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0</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47186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845653</v>
      </c>
      <c r="C2553" s="2" t="s">
        <v>569</v>
      </c>
      <c r="D2553" s="2" t="str">
        <f t="shared" si="38"/>
        <v>Error?</v>
      </c>
    </row>
    <row r="2554" spans="1:4" x14ac:dyDescent="0.2">
      <c r="A2554" s="5">
        <v>2493</v>
      </c>
      <c r="B2554" s="1831">
        <f>'Acct Summary 7-8'!C7</f>
        <v>664469</v>
      </c>
      <c r="C2554" s="2" t="s">
        <v>569</v>
      </c>
      <c r="D2554" s="2" t="str">
        <f t="shared" si="38"/>
        <v>Error?</v>
      </c>
    </row>
    <row r="2555" spans="1:4" x14ac:dyDescent="0.2">
      <c r="A2555" s="5">
        <v>2494</v>
      </c>
      <c r="B2555" s="1831">
        <f>'Acct Summary 7-8'!C8</f>
        <v>1557308</v>
      </c>
      <c r="C2555" s="2" t="s">
        <v>569</v>
      </c>
      <c r="D2555" s="2" t="str">
        <f t="shared" si="38"/>
        <v>Error?</v>
      </c>
    </row>
    <row r="2556" spans="1:4" x14ac:dyDescent="0.2">
      <c r="A2556" s="5">
        <v>2495</v>
      </c>
      <c r="B2556" s="1831">
        <f>'Acct Summary 7-8'!C12</f>
        <v>0</v>
      </c>
      <c r="C2556" s="2" t="s">
        <v>569</v>
      </c>
      <c r="D2556" s="2" t="str">
        <f t="shared" si="38"/>
        <v>Error?</v>
      </c>
    </row>
    <row r="2557" spans="1:4" x14ac:dyDescent="0.2">
      <c r="A2557" s="5">
        <v>2496</v>
      </c>
      <c r="B2557" s="1831">
        <f>'Acct Summary 7-8'!C13</f>
        <v>300270</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1257038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1557308</v>
      </c>
      <c r="C2561" s="2" t="s">
        <v>569</v>
      </c>
      <c r="D2561" s="2" t="str">
        <f t="shared" si="39"/>
        <v>Error?</v>
      </c>
    </row>
    <row r="2562" spans="1:4" x14ac:dyDescent="0.2">
      <c r="A2562" s="5">
        <v>2501</v>
      </c>
      <c r="B2562" s="1831">
        <f>'Acct Summary 7-8'!C20</f>
        <v>0</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0</v>
      </c>
      <c r="C2568" s="2" t="s">
        <v>569</v>
      </c>
      <c r="D2568" s="2" t="str">
        <f t="shared" si="39"/>
        <v>Error?</v>
      </c>
    </row>
    <row r="2569" spans="1:4" x14ac:dyDescent="0.2">
      <c r="A2569" s="5">
        <v>2508</v>
      </c>
      <c r="B2569" s="1831">
        <f>'Acct Summary 7-8'!D13</f>
        <v>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0</v>
      </c>
      <c r="C2573" s="2" t="s">
        <v>569</v>
      </c>
      <c r="D2573" s="2" t="str">
        <f t="shared" si="39"/>
        <v>Error?</v>
      </c>
    </row>
    <row r="2574" spans="1:4" x14ac:dyDescent="0.2">
      <c r="A2574" s="5">
        <v>2513</v>
      </c>
      <c r="B2574" s="1831">
        <f>'Acct Summary 7-8'!D20</f>
        <v>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0</v>
      </c>
      <c r="C2595" s="2" t="s">
        <v>569</v>
      </c>
      <c r="D2595" s="2" t="str">
        <f t="shared" si="39"/>
        <v>Error?</v>
      </c>
    </row>
    <row r="2596" spans="1:4" x14ac:dyDescent="0.2">
      <c r="A2596" s="5">
        <v>2535</v>
      </c>
      <c r="B2596" s="1831">
        <f>'Acct Summary 7-8'!F13</f>
        <v>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0</v>
      </c>
      <c r="C2600" s="2" t="s">
        <v>569</v>
      </c>
      <c r="D2600" s="2" t="str">
        <f t="shared" si="39"/>
        <v>Error?</v>
      </c>
    </row>
    <row r="2601" spans="1:4" x14ac:dyDescent="0.2">
      <c r="A2601" s="5">
        <v>2540</v>
      </c>
      <c r="B2601" s="1831">
        <f>'Acct Summary 7-8'!F20</f>
        <v>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0</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193169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1557308</v>
      </c>
      <c r="C4122" s="2" t="s">
        <v>569</v>
      </c>
      <c r="D4122" s="2" t="str">
        <f t="shared" si="63"/>
        <v>Error?</v>
      </c>
    </row>
    <row r="4123" spans="1:4" x14ac:dyDescent="0.2">
      <c r="A4123" s="5">
        <v>4062</v>
      </c>
      <c r="B4123" s="1831">
        <f>'Acct Summary 7-8'!D10</f>
        <v>0</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0</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1557308</v>
      </c>
      <c r="C4136" s="2" t="s">
        <v>569</v>
      </c>
      <c r="D4136" s="2" t="str">
        <f t="shared" si="63"/>
        <v>Error?</v>
      </c>
    </row>
    <row r="4137" spans="1:4" x14ac:dyDescent="0.2">
      <c r="A4137" s="5">
        <v>4076</v>
      </c>
      <c r="B4137" s="1831">
        <f>'Acct Summary 7-8'!D19</f>
        <v>0</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0</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0</v>
      </c>
      <c r="C4265" s="2" t="s">
        <v>569</v>
      </c>
      <c r="D4265" s="2" t="str">
        <f t="shared" si="65"/>
        <v>Error?</v>
      </c>
      <c r="E4265" s="124"/>
    </row>
    <row r="4266" spans="1:5" x14ac:dyDescent="0.2">
      <c r="A4266" s="12">
        <v>4205</v>
      </c>
      <c r="B4266" s="1831">
        <f>('FP Info 3'!F10)*100000</f>
        <v>0</v>
      </c>
      <c r="C4266" s="2" t="s">
        <v>569</v>
      </c>
      <c r="D4266" s="2" t="str">
        <f t="shared" si="65"/>
        <v>Error?</v>
      </c>
      <c r="E4266" s="124"/>
    </row>
    <row r="4267" spans="1:5" x14ac:dyDescent="0.2">
      <c r="A4267" s="12">
        <v>4206</v>
      </c>
      <c r="B4267" s="1831">
        <f>('FP Info 3'!H10)*100000</f>
        <v>0</v>
      </c>
      <c r="C4267" s="2" t="s">
        <v>569</v>
      </c>
      <c r="D4267" s="2" t="str">
        <f t="shared" si="65"/>
        <v>Error?</v>
      </c>
      <c r="E4267" s="124"/>
    </row>
    <row r="4268" spans="1:5" x14ac:dyDescent="0.2">
      <c r="A4268" s="12">
        <v>4207</v>
      </c>
      <c r="B4268" s="1831">
        <f>('FP Info 3'!J10)*100000</f>
        <v>0</v>
      </c>
      <c r="C4268" s="2" t="s">
        <v>569</v>
      </c>
      <c r="D4268" s="2" t="str">
        <f t="shared" si="65"/>
        <v>Error?</v>
      </c>
    </row>
    <row r="4269" spans="1:5" x14ac:dyDescent="0.2">
      <c r="A4269" s="12">
        <v>4208</v>
      </c>
      <c r="B4269" s="1831">
        <f>'FP Info 3'!J16</f>
        <v>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664469</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t="str">
        <f>'FP Info 3'!H31</f>
        <v>Enter x in a.or b.</v>
      </c>
      <c r="D4996" s="2" t="e">
        <f t="shared" si="77"/>
        <v>#VALUE!</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7079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7079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40107</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40107</v>
      </c>
      <c r="C5120" s="2" t="s">
        <v>569</v>
      </c>
      <c r="D5120" s="2" t="str">
        <f t="shared" si="79"/>
        <v>Error?</v>
      </c>
    </row>
    <row r="5121" spans="1:4" x14ac:dyDescent="0.2">
      <c r="A5121" s="5">
        <v>5060</v>
      </c>
      <c r="B5121" s="1831">
        <f>'Revenues 9-14'!C109</f>
        <v>47186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845653</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845653</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845653</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845653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664469</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664469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664469</v>
      </c>
      <c r="C5326" s="2" t="s">
        <v>569</v>
      </c>
      <c r="D5326" s="2" t="str">
        <f t="shared" si="82"/>
        <v>Error?</v>
      </c>
    </row>
    <row r="5327" spans="1:5" x14ac:dyDescent="0.2">
      <c r="A5327" s="5">
        <v>5266</v>
      </c>
      <c r="B5327" s="1831">
        <f>'Revenues 9-14'!C268</f>
        <v>1557308</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0</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5772</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198941</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0</v>
      </c>
      <c r="D6267" s="2" t="str">
        <f t="shared" si="96"/>
        <v>Error?</v>
      </c>
      <c r="E6267" s="2" t="s">
        <v>189</v>
      </c>
    </row>
    <row r="6268" spans="1:5" x14ac:dyDescent="0.2">
      <c r="A6268">
        <v>6207</v>
      </c>
      <c r="B6268" s="1831">
        <f>'Acct Summary 7-8'!D82</f>
        <v>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0</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t="e">
        <f>'Acct Summary 7-8'!C83</f>
        <v>#DIV/0!</v>
      </c>
      <c r="D6276" s="2" t="e">
        <f t="shared" si="97"/>
        <v>#DIV/0!</v>
      </c>
      <c r="E6276" s="2" t="s">
        <v>189</v>
      </c>
    </row>
    <row r="6277" spans="1:5" x14ac:dyDescent="0.2">
      <c r="A6277">
        <v>6216</v>
      </c>
      <c r="B6277" s="1831" t="e">
        <f>'Acct Summary 7-8'!D83</f>
        <v>#DIV/0!</v>
      </c>
      <c r="D6277" s="2" t="e">
        <f t="shared" si="97"/>
        <v>#DIV/0!</v>
      </c>
      <c r="E6277" s="2" t="s">
        <v>189</v>
      </c>
    </row>
    <row r="6278" spans="1:5" x14ac:dyDescent="0.2">
      <c r="A6278">
        <v>6217</v>
      </c>
      <c r="B6278" s="1831" t="e">
        <f>'Acct Summary 7-8'!E83</f>
        <v>#DIV/0!</v>
      </c>
      <c r="D6278" s="2" t="e">
        <f t="shared" si="97"/>
        <v>#DIV/0!</v>
      </c>
      <c r="E6278" s="2" t="s">
        <v>189</v>
      </c>
    </row>
    <row r="6279" spans="1:5" x14ac:dyDescent="0.2">
      <c r="A6279">
        <v>6218</v>
      </c>
      <c r="B6279" s="1831" t="e">
        <f>'Acct Summary 7-8'!F83</f>
        <v>#DIV/0!</v>
      </c>
      <c r="D6279" s="2" t="e">
        <f t="shared" si="97"/>
        <v>#DIV/0!</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1257038</v>
      </c>
      <c r="D7002" s="2" t="str">
        <f t="shared" si="108"/>
        <v>Error?</v>
      </c>
    </row>
    <row r="7003" spans="1:4" x14ac:dyDescent="0.2">
      <c r="A7003">
        <v>6942</v>
      </c>
      <c r="B7003" s="1831">
        <f>'Expenditures 15-22'!K96</f>
        <v>1257038</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1257038</v>
      </c>
      <c r="D7012" s="2" t="str">
        <f t="shared" si="108"/>
        <v>Error?</v>
      </c>
    </row>
    <row r="7013" spans="1:4" x14ac:dyDescent="0.2">
      <c r="A7013">
        <v>6952</v>
      </c>
      <c r="B7013" s="1831">
        <f>'Expenditures 15-22'!K100</f>
        <v>1257038</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0</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1E-3</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1E-3</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1557308</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1257038</v>
      </c>
      <c r="D7834" s="2" t="str">
        <f t="shared" si="129"/>
        <v>Error?</v>
      </c>
      <c r="E7834" s="4" t="s">
        <v>1998</v>
      </c>
    </row>
    <row r="7835" spans="1:5" x14ac:dyDescent="0.2">
      <c r="A7835">
        <v>7774</v>
      </c>
      <c r="B7835" s="1831">
        <f>'PCTC-OEPP 27-28'!F78</f>
        <v>300270</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t="str">
        <f>'PCTC-OEPP 27-28'!F80</f>
        <v xml:space="preserve"> Complete Line 79</v>
      </c>
      <c r="D7837" s="2" t="e">
        <f t="shared" si="129"/>
        <v>#VALUE!</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40107</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845653</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0</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0</v>
      </c>
      <c r="D7858" s="2" t="str">
        <f t="shared" si="129"/>
        <v>Error?</v>
      </c>
      <c r="E7858" s="4" t="s">
        <v>1998</v>
      </c>
    </row>
    <row r="7859" spans="1:5" x14ac:dyDescent="0.2">
      <c r="A7859">
        <v>7798</v>
      </c>
      <c r="B7859" s="1831">
        <f>'PCTC-OEPP 27-28'!F127</f>
        <v>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664469</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1550229</v>
      </c>
      <c r="D7877" s="2" t="str">
        <f t="shared" si="129"/>
        <v>Error?</v>
      </c>
      <c r="E7877" s="4" t="s">
        <v>1998</v>
      </c>
    </row>
    <row r="7878" spans="1:5" x14ac:dyDescent="0.2">
      <c r="A7878">
        <v>7817</v>
      </c>
      <c r="B7878" s="1831">
        <f>'PCTC-OEPP 27-28'!F176</f>
        <v>-1249959</v>
      </c>
      <c r="D7878" s="2" t="str">
        <f t="shared" si="129"/>
        <v>Error?</v>
      </c>
      <c r="E7878" s="4" t="s">
        <v>1998</v>
      </c>
    </row>
    <row r="7879" spans="1:5" x14ac:dyDescent="0.2">
      <c r="A7879">
        <v>7818</v>
      </c>
      <c r="B7879" s="1831">
        <f>'PCTC-OEPP 27-28'!F178</f>
        <v>-1249959</v>
      </c>
      <c r="D7879" s="2" t="str">
        <f t="shared" si="129"/>
        <v>Error?</v>
      </c>
      <c r="E7879" s="4" t="s">
        <v>1998</v>
      </c>
    </row>
    <row r="7880" spans="1:5" x14ac:dyDescent="0.2">
      <c r="A7880">
        <v>7819</v>
      </c>
      <c r="B7880" s="1831" t="e">
        <f>'PCTC-OEPP 27-28'!F180</f>
        <v>#DIV/0!</v>
      </c>
      <c r="D7880" s="2" t="e">
        <f t="shared" si="129"/>
        <v>#DIV/0!</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pageSetUpPr fitToPage="1"/>
  </sheetPr>
  <dimension ref="A1:AC59"/>
  <sheetViews>
    <sheetView showGridLines="0" showZeros="0" topLeftCell="A23" zoomScale="110" zoomScaleNormal="110" workbookViewId="0">
      <selection activeCell="O53" sqref="O5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Moraine Area Career System</v>
      </c>
      <c r="B7" s="2535"/>
      <c r="C7" s="2535"/>
      <c r="D7" s="2536"/>
      <c r="E7" s="2537">
        <f>COVER!A13</f>
        <v>7016218046</v>
      </c>
      <c r="F7" s="2538"/>
      <c r="G7" s="2544" t="str">
        <f>COVER!T23</f>
        <v>066-003346</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RSM US LLP</v>
      </c>
      <c r="H9" s="2550"/>
      <c r="I9" s="2550"/>
      <c r="J9" s="2550"/>
      <c r="K9" s="2550"/>
      <c r="L9" s="2551"/>
    </row>
    <row r="10" spans="1:29" ht="13.5" customHeight="1" x14ac:dyDescent="0.2">
      <c r="A10" s="2523" t="str">
        <f>COVER!A38</f>
        <v>Debbie Canna</v>
      </c>
      <c r="B10" s="2524"/>
      <c r="C10" s="2524"/>
      <c r="D10" s="2524"/>
      <c r="E10" s="2524"/>
      <c r="F10" s="2525"/>
      <c r="G10" s="2517" t="str">
        <f>COVER!T17</f>
        <v>One South Wacker Drive Suite 800</v>
      </c>
      <c r="H10" s="2518"/>
      <c r="I10" s="2518"/>
      <c r="J10" s="2518"/>
      <c r="K10" s="2518"/>
      <c r="L10" s="2519"/>
    </row>
    <row r="11" spans="1:29" ht="13.5" customHeight="1" x14ac:dyDescent="0.2">
      <c r="A11" s="962" t="s">
        <v>1502</v>
      </c>
      <c r="B11" s="963"/>
      <c r="C11" s="964"/>
      <c r="D11" s="969"/>
      <c r="E11" s="964"/>
      <c r="F11" s="968"/>
      <c r="G11" s="2517" t="str">
        <f>COVER!T19</f>
        <v>Chicago</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John.George@rsmus.com</v>
      </c>
      <c r="J13" s="2530"/>
      <c r="K13" s="2530"/>
      <c r="L13" s="2531"/>
    </row>
    <row r="14" spans="1:29" ht="13.5" customHeight="1" x14ac:dyDescent="0.2">
      <c r="A14" s="2517" t="str">
        <f>COVER!A19</f>
        <v>4625 West 107th Street</v>
      </c>
      <c r="B14" s="2518"/>
      <c r="C14" s="2518"/>
      <c r="D14" s="2518"/>
      <c r="E14" s="2518"/>
      <c r="F14" s="2519"/>
      <c r="G14" s="973" t="s">
        <v>1175</v>
      </c>
      <c r="H14" s="971"/>
      <c r="I14" s="971"/>
      <c r="J14" s="971"/>
      <c r="K14" s="971"/>
      <c r="L14" s="972"/>
    </row>
    <row r="15" spans="1:29" ht="13.5" customHeight="1" x14ac:dyDescent="0.2">
      <c r="A15" s="2517" t="str">
        <f>COVER!A21</f>
        <v>Oak Lawn</v>
      </c>
      <c r="B15" s="2518"/>
      <c r="C15" s="2518"/>
      <c r="D15" s="2518"/>
      <c r="E15" s="2518"/>
      <c r="F15" s="2519"/>
      <c r="G15" s="2514" t="str">
        <f>COVER!T15</f>
        <v>John George</v>
      </c>
      <c r="H15" s="2515"/>
      <c r="I15" s="2515"/>
      <c r="J15" s="2515"/>
      <c r="K15" s="2515"/>
      <c r="L15" s="2516"/>
    </row>
    <row r="16" spans="1:29" ht="12.2" customHeight="1" x14ac:dyDescent="0.2">
      <c r="A16" s="2540">
        <f>COVER!A25</f>
        <v>60453</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312-634-3400</v>
      </c>
      <c r="H18" s="2535"/>
      <c r="I18" s="2535"/>
      <c r="J18" s="2535"/>
      <c r="K18" s="2534">
        <f>COVER!X21</f>
        <v>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K127"/>
  <sheetViews>
    <sheetView showGridLines="0" zoomScale="125" zoomScaleNormal="125" workbookViewId="0">
      <selection activeCell="O53" sqref="O53"/>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Moraine Area Career System</v>
      </c>
      <c r="B1" s="2557"/>
      <c r="C1" s="2557"/>
      <c r="D1" s="2557"/>
    </row>
    <row r="2" spans="1:11" s="990" customFormat="1" ht="12.75" x14ac:dyDescent="0.2">
      <c r="A2" s="2558">
        <f>'Single Audit Cover'!E7</f>
        <v>7016218046</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14999847407452621"/>
  </sheetPr>
  <dimension ref="A1:E49"/>
  <sheetViews>
    <sheetView showGridLines="0" zoomScale="110" zoomScaleNormal="110" zoomScaleSheetLayoutView="100" workbookViewId="0">
      <selection activeCell="O53" sqref="O53"/>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1" t="str">
        <f>'Single Audit Cover'!A7</f>
        <v xml:space="preserve">  Moraine Area Career System</v>
      </c>
      <c r="B1" s="2561"/>
      <c r="C1" s="2561"/>
      <c r="D1" s="2561"/>
      <c r="E1" s="2561"/>
    </row>
    <row r="2" spans="1:5" x14ac:dyDescent="0.2">
      <c r="A2" s="2562">
        <f>'Single Audit Cover'!E7</f>
        <v>7016218046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664469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664469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t="s">
        <v>2075</v>
      </c>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664469</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664469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B1:N152"/>
  <sheetViews>
    <sheetView showGridLines="0" zoomScaleNormal="100" workbookViewId="0">
      <selection activeCell="I19" sqref="I19"/>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43" t="str">
        <f>'Single Audit Cover'!A7</f>
        <v xml:space="preserve">  Moraine Area Career System</v>
      </c>
      <c r="C1" s="2565"/>
      <c r="D1" s="2565"/>
      <c r="E1" s="2565"/>
      <c r="F1" s="2565"/>
      <c r="G1" s="2565"/>
      <c r="H1" s="2565"/>
      <c r="I1" s="2565"/>
      <c r="J1" s="2565"/>
      <c r="K1" s="2565"/>
      <c r="L1" s="2565"/>
      <c r="M1" s="2565"/>
    </row>
    <row r="2" spans="2:14" ht="15" x14ac:dyDescent="0.2">
      <c r="B2" s="2566">
        <f>'Single Audit Cover'!E7</f>
        <v>7016218046</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5"/>
      <c r="J5" s="1915"/>
    </row>
    <row r="6" spans="2:14" x14ac:dyDescent="0.2">
      <c r="B6" s="1078"/>
      <c r="C6" s="1079"/>
      <c r="D6" s="1080" t="s">
        <v>1254</v>
      </c>
      <c r="E6" s="1081" t="s">
        <v>524</v>
      </c>
      <c r="F6" s="1082"/>
      <c r="G6" s="1083" t="s">
        <v>1711</v>
      </c>
      <c r="H6" s="1081"/>
      <c r="I6" s="1081"/>
      <c r="J6" s="191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2075</v>
      </c>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1:G52"/>
  <sheetViews>
    <sheetView showGridLines="0" zoomScale="120" zoomScaleNormal="120" workbookViewId="0">
      <selection activeCell="I7" sqref="I7"/>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8" t="str">
        <f>'Single Audit Cover'!A7</f>
        <v xml:space="preserve">  Moraine Area Career System</v>
      </c>
      <c r="B1" s="2578"/>
      <c r="C1" s="2578"/>
      <c r="D1" s="2578"/>
      <c r="E1" s="2578"/>
      <c r="F1" s="2578"/>
    </row>
    <row r="2" spans="1:7" ht="13.5" customHeight="1" x14ac:dyDescent="0.2">
      <c r="A2" s="2566">
        <f>'Single Audit Cover'!E7</f>
        <v>7016218046</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4"/>
      <c r="D5" s="294"/>
    </row>
    <row r="6" spans="1:7" ht="13.5" customHeight="1" x14ac:dyDescent="0.2">
      <c r="A6" s="1051" t="s">
        <v>1705</v>
      </c>
      <c r="C6" s="294"/>
      <c r="D6" s="294"/>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t="s">
        <v>2075</v>
      </c>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1" t="s">
        <v>1709</v>
      </c>
      <c r="B32" s="2571"/>
      <c r="C32" s="2571"/>
      <c r="D32" s="2571"/>
      <c r="E32" s="2571"/>
      <c r="F32" s="2571"/>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2">
        <f>+C33+C34</f>
        <v>0</v>
      </c>
      <c r="F34" s="2573"/>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sheetPr>
  <dimension ref="A1:K143"/>
  <sheetViews>
    <sheetView showGridLines="0" defaultGridColor="0" topLeftCell="A77" colorId="8" zoomScaleNormal="100" workbookViewId="0">
      <selection activeCell="F96" sqref="F96"/>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3" t="s">
        <v>1158</v>
      </c>
      <c r="B2" s="2153"/>
      <c r="C2" s="2153"/>
      <c r="D2" s="2153"/>
      <c r="E2" s="2153"/>
      <c r="F2" s="2153"/>
      <c r="G2" s="2153"/>
      <c r="H2" s="2153"/>
      <c r="I2" s="2153"/>
      <c r="J2" s="2153"/>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7" t="s">
        <v>1616</v>
      </c>
      <c r="B35" s="2168"/>
      <c r="C35" s="2168"/>
      <c r="D35" s="2168"/>
      <c r="E35" s="2169"/>
      <c r="F35" s="2169"/>
      <c r="G35" s="2169"/>
      <c r="H35" s="2169"/>
      <c r="I35" s="216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7" t="s">
        <v>310</v>
      </c>
      <c r="B47" s="2170"/>
      <c r="C47" s="2170"/>
      <c r="D47" s="2170"/>
      <c r="E47" s="2171"/>
      <c r="F47" s="2171"/>
      <c r="G47" s="2171"/>
      <c r="H47" s="2171"/>
      <c r="I47" s="217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1445</v>
      </c>
      <c r="E53" s="242"/>
      <c r="F53" s="243"/>
      <c r="G53" s="243" t="s">
        <v>1444</v>
      </c>
      <c r="H53" s="244"/>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4"/>
      <c r="C57" s="2175"/>
      <c r="D57" s="2175"/>
      <c r="E57" s="2175"/>
      <c r="F57" s="2175"/>
      <c r="G57" s="2175"/>
      <c r="H57" s="2175"/>
      <c r="I57" s="2175"/>
      <c r="J57" s="2176"/>
    </row>
    <row r="58" spans="1:10" s="175" customFormat="1" x14ac:dyDescent="0.2">
      <c r="A58" s="247"/>
      <c r="B58" s="2177"/>
      <c r="C58" s="2178"/>
      <c r="D58" s="2178"/>
      <c r="E58" s="2178"/>
      <c r="F58" s="2178"/>
      <c r="G58" s="2178"/>
      <c r="H58" s="2178"/>
      <c r="I58" s="2178"/>
      <c r="J58" s="2179"/>
    </row>
    <row r="59" spans="1:10" s="175" customFormat="1" x14ac:dyDescent="0.2">
      <c r="A59" s="247"/>
      <c r="B59" s="2177"/>
      <c r="C59" s="2178"/>
      <c r="D59" s="2178"/>
      <c r="E59" s="2178"/>
      <c r="F59" s="2178"/>
      <c r="G59" s="2178"/>
      <c r="H59" s="2178"/>
      <c r="I59" s="2178"/>
      <c r="J59" s="2179"/>
    </row>
    <row r="60" spans="1:10" s="175" customFormat="1" x14ac:dyDescent="0.2">
      <c r="A60" s="247"/>
      <c r="B60" s="2177"/>
      <c r="C60" s="2178"/>
      <c r="D60" s="2178"/>
      <c r="E60" s="2178"/>
      <c r="F60" s="2178"/>
      <c r="G60" s="2178"/>
      <c r="H60" s="2178"/>
      <c r="I60" s="2178"/>
      <c r="J60" s="2179"/>
    </row>
    <row r="61" spans="1:10" s="175" customFormat="1" x14ac:dyDescent="0.2">
      <c r="A61" s="247"/>
      <c r="B61" s="2177"/>
      <c r="C61" s="2178"/>
      <c r="D61" s="2178"/>
      <c r="E61" s="2178"/>
      <c r="F61" s="2178"/>
      <c r="G61" s="2178"/>
      <c r="H61" s="2178"/>
      <c r="I61" s="2178"/>
      <c r="J61" s="2179"/>
    </row>
    <row r="62" spans="1:10" s="175" customFormat="1" x14ac:dyDescent="0.2">
      <c r="A62" s="247"/>
      <c r="B62" s="2177"/>
      <c r="C62" s="2178"/>
      <c r="D62" s="2178"/>
      <c r="E62" s="2178"/>
      <c r="F62" s="2178"/>
      <c r="G62" s="2178"/>
      <c r="H62" s="2178"/>
      <c r="I62" s="2178"/>
      <c r="J62" s="2179"/>
    </row>
    <row r="63" spans="1:10" s="175" customFormat="1" x14ac:dyDescent="0.2">
      <c r="A63" s="247"/>
      <c r="B63" s="2177"/>
      <c r="C63" s="2178"/>
      <c r="D63" s="2178"/>
      <c r="E63" s="2178"/>
      <c r="F63" s="2178"/>
      <c r="G63" s="2178"/>
      <c r="H63" s="2178"/>
      <c r="I63" s="2178"/>
      <c r="J63" s="2179"/>
    </row>
    <row r="64" spans="1:10" s="175" customFormat="1" x14ac:dyDescent="0.2">
      <c r="A64" s="247"/>
      <c r="B64" s="2177"/>
      <c r="C64" s="2178"/>
      <c r="D64" s="2178"/>
      <c r="E64" s="2178"/>
      <c r="F64" s="2178"/>
      <c r="G64" s="2178"/>
      <c r="H64" s="2178"/>
      <c r="I64" s="2178"/>
      <c r="J64" s="2179"/>
    </row>
    <row r="65" spans="1:11" s="175" customFormat="1" x14ac:dyDescent="0.2">
      <c r="A65" s="247"/>
      <c r="B65" s="2177"/>
      <c r="C65" s="2178"/>
      <c r="D65" s="2178"/>
      <c r="E65" s="2178"/>
      <c r="F65" s="2178"/>
      <c r="G65" s="2178"/>
      <c r="H65" s="2178"/>
      <c r="I65" s="2178"/>
      <c r="J65" s="2179"/>
    </row>
    <row r="66" spans="1:11" s="175" customFormat="1" x14ac:dyDescent="0.2">
      <c r="A66" s="247"/>
      <c r="B66" s="2177"/>
      <c r="C66" s="2178"/>
      <c r="D66" s="2178"/>
      <c r="E66" s="2178"/>
      <c r="F66" s="2178"/>
      <c r="G66" s="2178"/>
      <c r="H66" s="2178"/>
      <c r="I66" s="2178"/>
      <c r="J66" s="2179"/>
    </row>
    <row r="67" spans="1:11" s="175" customFormat="1" ht="9" customHeight="1" x14ac:dyDescent="0.2">
      <c r="A67" s="248"/>
      <c r="B67" s="2180"/>
      <c r="C67" s="2181"/>
      <c r="D67" s="2181"/>
      <c r="E67" s="2181"/>
      <c r="F67" s="2181"/>
      <c r="G67" s="2181"/>
      <c r="H67" s="2181"/>
      <c r="I67" s="2181"/>
      <c r="J67" s="218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7" t="s">
        <v>1312</v>
      </c>
      <c r="B70" s="2170"/>
      <c r="C70" s="2170"/>
      <c r="D70" s="2170"/>
      <c r="E70" s="2171"/>
      <c r="F70" s="2171"/>
      <c r="G70" s="2171"/>
      <c r="H70" s="2171"/>
      <c r="I70" s="2171"/>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v>44103</v>
      </c>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2" t="s">
        <v>1309</v>
      </c>
      <c r="B83" s="2172"/>
      <c r="C83" s="2172"/>
      <c r="D83" s="2173"/>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3" t="s">
        <v>1989</v>
      </c>
      <c r="B85" s="2183"/>
      <c r="C85" s="2183"/>
      <c r="D85" s="2184"/>
      <c r="E85" s="1543">
        <v>1E-3</v>
      </c>
      <c r="F85" s="1543">
        <v>0</v>
      </c>
      <c r="G85" s="1543">
        <v>0</v>
      </c>
      <c r="H85" s="1543">
        <v>0</v>
      </c>
      <c r="I85" s="1903"/>
      <c r="J85" s="1726">
        <f>SUM(E85:I85)</f>
        <v>1E-3</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5" t="s">
        <v>1989</v>
      </c>
      <c r="B88" s="2186"/>
      <c r="C88" s="2186"/>
      <c r="D88" s="2187"/>
      <c r="E88" s="1543">
        <v>0</v>
      </c>
      <c r="F88" s="1543">
        <v>0</v>
      </c>
      <c r="G88" s="1543">
        <v>0</v>
      </c>
      <c r="H88" s="1543">
        <v>0</v>
      </c>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1E-3</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4"/>
      <c r="C102" s="2155"/>
      <c r="D102" s="2155"/>
      <c r="E102" s="2155"/>
      <c r="F102" s="2155"/>
      <c r="G102" s="2155"/>
      <c r="H102" s="2155"/>
      <c r="I102" s="2156"/>
    </row>
    <row r="103" spans="1:9" s="175" customFormat="1" ht="11.25" customHeight="1" x14ac:dyDescent="0.2">
      <c r="A103" s="293"/>
      <c r="B103" s="2157"/>
      <c r="C103" s="2158"/>
      <c r="D103" s="2158"/>
      <c r="E103" s="2158"/>
      <c r="F103" s="2158"/>
      <c r="G103" s="2158"/>
      <c r="H103" s="2158"/>
      <c r="I103" s="2159"/>
    </row>
    <row r="104" spans="1:9" s="175" customFormat="1" ht="11.25" customHeight="1" x14ac:dyDescent="0.2">
      <c r="A104" s="293"/>
      <c r="B104" s="2157"/>
      <c r="C104" s="2158"/>
      <c r="D104" s="2158"/>
      <c r="E104" s="2158"/>
      <c r="F104" s="2158"/>
      <c r="G104" s="2158"/>
      <c r="H104" s="2158"/>
      <c r="I104" s="2159"/>
    </row>
    <row r="105" spans="1:9" s="175" customFormat="1" x14ac:dyDescent="0.2">
      <c r="A105" s="293"/>
      <c r="B105" s="2157"/>
      <c r="C105" s="2158"/>
      <c r="D105" s="2158"/>
      <c r="E105" s="2158"/>
      <c r="F105" s="2158"/>
      <c r="G105" s="2158"/>
      <c r="H105" s="2158"/>
      <c r="I105" s="2159"/>
    </row>
    <row r="106" spans="1:9" s="175" customFormat="1" ht="11.25" customHeight="1" x14ac:dyDescent="0.2">
      <c r="A106" s="293"/>
      <c r="B106" s="2157"/>
      <c r="C106" s="2158"/>
      <c r="D106" s="2158"/>
      <c r="E106" s="2158"/>
      <c r="F106" s="2158"/>
      <c r="G106" s="2158"/>
      <c r="H106" s="2158"/>
      <c r="I106" s="2159"/>
    </row>
    <row r="107" spans="1:9" s="175" customFormat="1" ht="11.25" customHeight="1" x14ac:dyDescent="0.2">
      <c r="A107" s="293"/>
      <c r="B107" s="2157"/>
      <c r="C107" s="2158"/>
      <c r="D107" s="2158"/>
      <c r="E107" s="2158"/>
      <c r="F107" s="2158"/>
      <c r="G107" s="2158"/>
      <c r="H107" s="2158"/>
      <c r="I107" s="2159"/>
    </row>
    <row r="108" spans="1:9" s="175" customFormat="1" ht="11.25" customHeight="1" x14ac:dyDescent="0.2">
      <c r="A108" s="293"/>
      <c r="B108" s="2157"/>
      <c r="C108" s="2158"/>
      <c r="D108" s="2158"/>
      <c r="E108" s="2158"/>
      <c r="F108" s="2158"/>
      <c r="G108" s="2158"/>
      <c r="H108" s="2158"/>
      <c r="I108" s="2159"/>
    </row>
    <row r="109" spans="1:9" s="175" customFormat="1" ht="11.25" customHeight="1" x14ac:dyDescent="0.2">
      <c r="A109" s="293"/>
      <c r="B109" s="2157"/>
      <c r="C109" s="2158"/>
      <c r="D109" s="2158"/>
      <c r="E109" s="2158"/>
      <c r="F109" s="2158"/>
      <c r="G109" s="2158"/>
      <c r="H109" s="2158"/>
      <c r="I109" s="2159"/>
    </row>
    <row r="110" spans="1:9" s="175" customFormat="1" ht="11.25" customHeight="1" x14ac:dyDescent="0.2">
      <c r="A110" s="293"/>
      <c r="B110" s="2157"/>
      <c r="C110" s="2158"/>
      <c r="D110" s="2158"/>
      <c r="E110" s="2158"/>
      <c r="F110" s="2158"/>
      <c r="G110" s="2158"/>
      <c r="H110" s="2158"/>
      <c r="I110" s="2159"/>
    </row>
    <row r="111" spans="1:9" s="175" customFormat="1" ht="11.25" customHeight="1" x14ac:dyDescent="0.2">
      <c r="A111" s="293"/>
      <c r="B111" s="2157"/>
      <c r="C111" s="2158"/>
      <c r="D111" s="2158"/>
      <c r="E111" s="2158"/>
      <c r="F111" s="2158"/>
      <c r="G111" s="2158"/>
      <c r="H111" s="2158"/>
      <c r="I111" s="2159"/>
    </row>
    <row r="112" spans="1:9" s="175" customFormat="1" ht="11.25" customHeight="1" x14ac:dyDescent="0.2">
      <c r="A112" s="293"/>
      <c r="B112" s="2160"/>
      <c r="C112" s="2161"/>
      <c r="D112" s="2161"/>
      <c r="E112" s="2161"/>
      <c r="F112" s="2161"/>
      <c r="G112" s="2161"/>
      <c r="H112" s="2161"/>
      <c r="I112" s="216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3" t="s">
        <v>2064</v>
      </c>
      <c r="D114" s="2163"/>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4" t="s">
        <v>1319</v>
      </c>
      <c r="D117" s="2165"/>
      <c r="E117" s="2166"/>
      <c r="F117" s="2166"/>
      <c r="G117" s="2166"/>
      <c r="H117" s="2166"/>
      <c r="I117" s="281"/>
    </row>
    <row r="118" spans="1:9" s="175" customFormat="1" ht="24" customHeight="1" x14ac:dyDescent="0.2">
      <c r="A118" s="293"/>
      <c r="B118" s="293"/>
      <c r="C118" s="293"/>
      <c r="D118" s="300" t="s">
        <v>2072</v>
      </c>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J63"/>
  <sheetViews>
    <sheetView showGridLines="0" zoomScale="110" zoomScaleNormal="110" workbookViewId="0">
      <selection activeCell="I7" sqref="I7"/>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2" t="str">
        <f>'Single Audit Cover'!A7</f>
        <v xml:space="preserve">  Moraine Area Career System</v>
      </c>
      <c r="C1" s="2593"/>
      <c r="D1" s="2593"/>
      <c r="E1" s="2593"/>
      <c r="F1" s="2593"/>
      <c r="G1" s="2593"/>
      <c r="H1" s="2593"/>
      <c r="I1" s="2593"/>
      <c r="J1" s="1177"/>
    </row>
    <row r="2" spans="2:10" s="294" customFormat="1" ht="12.75" customHeight="1" x14ac:dyDescent="0.2">
      <c r="B2" s="2594">
        <f>'Single Audit Cover'!E7</f>
        <v>7016218046</v>
      </c>
      <c r="C2" s="2595"/>
      <c r="D2" s="2595"/>
      <c r="E2" s="2595"/>
      <c r="F2" s="2595"/>
      <c r="G2" s="2595"/>
      <c r="H2" s="2595"/>
      <c r="I2" s="2595"/>
      <c r="J2" s="1177"/>
    </row>
    <row r="3" spans="2:10" s="294" customFormat="1" ht="12.75" customHeight="1" x14ac:dyDescent="0.2">
      <c r="B3" s="2596" t="s">
        <v>1274</v>
      </c>
      <c r="C3" s="2597"/>
      <c r="D3" s="2597"/>
      <c r="E3" s="2597"/>
      <c r="F3" s="2597"/>
      <c r="G3" s="2597"/>
      <c r="H3" s="2597"/>
      <c r="I3" s="2597"/>
      <c r="J3" s="1178"/>
    </row>
    <row r="4" spans="2:10" s="294" customFormat="1" ht="12.75" customHeight="1" x14ac:dyDescent="0.2">
      <c r="B4" s="2596" t="str">
        <f>'Single Audit Cover'!A4</f>
        <v>Year Ending June 30, 2020</v>
      </c>
      <c r="C4" s="2597"/>
      <c r="D4" s="2597"/>
      <c r="E4" s="2597"/>
      <c r="F4" s="2597"/>
      <c r="G4" s="2597"/>
      <c r="H4" s="2597"/>
      <c r="I4" s="2597"/>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6" t="s">
        <v>1273</v>
      </c>
      <c r="C7" s="2597"/>
      <c r="D7" s="2597"/>
      <c r="E7" s="2597"/>
      <c r="F7" s="2597"/>
      <c r="G7" s="2597"/>
      <c r="H7" s="2597"/>
      <c r="I7" s="2597"/>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8" t="s">
        <v>2075</v>
      </c>
      <c r="D11" s="2598"/>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9"/>
      <c r="E29" s="2599"/>
      <c r="F29" s="2599"/>
      <c r="G29" s="2599"/>
      <c r="H29" s="2599"/>
      <c r="I29" s="2599"/>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7" t="str">
        <f>"Total Federal Expenditures for 7/1/"&amp;MID('AFR20'!E2,3,2)-1&amp;"-6/30/"&amp;MID('AFR20'!E2,3,2)</f>
        <v>Total Federal Expenditures for 7/1/19-6/30/20</v>
      </c>
      <c r="C45" s="1918"/>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14999847407452621"/>
  </sheetPr>
  <dimension ref="A1:M41"/>
  <sheetViews>
    <sheetView showGridLines="0" zoomScale="110" zoomScaleNormal="110" workbookViewId="0">
      <selection activeCell="I7" sqref="I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2" t="str">
        <f>'Single Audit Cover'!A7</f>
        <v xml:space="preserve">  Moraine Area Career System</v>
      </c>
      <c r="C1" s="2592"/>
      <c r="D1" s="2592"/>
      <c r="E1" s="2592"/>
      <c r="F1" s="2592"/>
      <c r="G1" s="2592"/>
      <c r="H1" s="2592"/>
      <c r="I1" s="2592"/>
      <c r="J1" s="2592"/>
      <c r="K1" s="2592"/>
      <c r="L1" s="1143"/>
      <c r="M1" s="1143"/>
    </row>
    <row r="2" spans="1:13" ht="12" customHeight="1" x14ac:dyDescent="0.2">
      <c r="B2" s="2594">
        <f>'Single Audit Cover'!E7</f>
        <v>7016218046</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2076</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6"/>
      <c r="C32" s="2606"/>
      <c r="D32" s="2607"/>
      <c r="E32" s="2607"/>
      <c r="F32" s="2607"/>
      <c r="G32" s="2607"/>
      <c r="H32" s="2607"/>
      <c r="I32" s="2607"/>
      <c r="J32" s="2607"/>
      <c r="K32" s="2607"/>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14999847407452621"/>
  </sheetPr>
  <dimension ref="A1:L48"/>
  <sheetViews>
    <sheetView showGridLines="0" zoomScale="110" zoomScaleNormal="110" workbookViewId="0">
      <selection activeCell="I7" sqref="I7"/>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5" t="str">
        <f>'Single Audit Cover'!A7</f>
        <v xml:space="preserve">  Moraine Area Career System</v>
      </c>
      <c r="C1" s="2615"/>
      <c r="D1" s="2615"/>
      <c r="E1" s="2615"/>
      <c r="F1" s="2615"/>
      <c r="G1" s="2615"/>
      <c r="H1" s="2615"/>
      <c r="I1" s="2615"/>
      <c r="J1" s="2615"/>
      <c r="K1" s="2615"/>
      <c r="L1" s="1220"/>
    </row>
    <row r="2" spans="1:12" ht="12.75" customHeight="1" x14ac:dyDescent="0.2">
      <c r="B2" s="2616">
        <f>'Single Audit Cover'!E7</f>
        <v>7016218046</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299"/>
    </row>
    <row r="6" spans="1:12" ht="30.75" customHeight="1" x14ac:dyDescent="0.2">
      <c r="A6" s="299"/>
      <c r="B6" s="2617" t="s">
        <v>1297</v>
      </c>
      <c r="C6" s="2617"/>
      <c r="D6" s="2617"/>
      <c r="E6" s="2617"/>
      <c r="F6" s="2617"/>
      <c r="G6" s="2617"/>
      <c r="H6" s="2617"/>
      <c r="I6" s="2617"/>
      <c r="J6" s="2617"/>
      <c r="K6" s="2617"/>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9"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9" t="s">
        <v>2075</v>
      </c>
      <c r="G12" s="2599"/>
      <c r="H12" s="2599"/>
      <c r="I12" s="2599"/>
      <c r="J12" s="2599"/>
      <c r="K12" s="2599"/>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2"/>
      <c r="E14" s="2612"/>
      <c r="F14" s="2612"/>
      <c r="H14" s="1229" t="s">
        <v>1292</v>
      </c>
      <c r="I14" s="2613"/>
      <c r="J14" s="2613"/>
      <c r="K14" s="2613"/>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3"/>
      <c r="E16" s="2613"/>
      <c r="F16" s="2613"/>
      <c r="G16" s="2613"/>
      <c r="H16" s="2613"/>
      <c r="I16" s="2613"/>
      <c r="J16" s="2613"/>
      <c r="K16" s="2613"/>
      <c r="L16" s="299"/>
    </row>
    <row r="17" spans="2:12" ht="13.5" customHeight="1" x14ac:dyDescent="0.2">
      <c r="B17" s="1155" t="s">
        <v>1290</v>
      </c>
      <c r="C17" s="1155"/>
      <c r="D17" s="2614"/>
      <c r="E17" s="2614"/>
      <c r="F17" s="2614"/>
      <c r="G17" s="2614"/>
      <c r="H17" s="2614"/>
      <c r="I17" s="2614"/>
      <c r="J17" s="2614"/>
      <c r="K17" s="2614"/>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7"/>
      <c r="C23" s="2607"/>
      <c r="D23" s="2607"/>
      <c r="E23" s="2607"/>
      <c r="F23" s="2607"/>
      <c r="G23" s="2607"/>
      <c r="H23" s="2607"/>
      <c r="I23" s="2607"/>
      <c r="J23" s="2607"/>
      <c r="K23" s="2607"/>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7"/>
      <c r="C26" s="2607"/>
      <c r="D26" s="2607"/>
      <c r="E26" s="2607"/>
      <c r="F26" s="2607"/>
      <c r="G26" s="2607"/>
      <c r="H26" s="2607"/>
      <c r="I26" s="2607"/>
      <c r="J26" s="2607"/>
      <c r="K26" s="2607"/>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7"/>
      <c r="C29" s="2607"/>
      <c r="D29" s="2607"/>
      <c r="E29" s="2607"/>
      <c r="F29" s="2607"/>
      <c r="G29" s="2607"/>
      <c r="H29" s="2607"/>
      <c r="I29" s="2607"/>
      <c r="J29" s="2607"/>
      <c r="K29" s="2607"/>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7"/>
      <c r="C32" s="2607"/>
      <c r="D32" s="2607"/>
      <c r="E32" s="2607"/>
      <c r="F32" s="2607"/>
      <c r="G32" s="2607"/>
      <c r="H32" s="2607"/>
      <c r="I32" s="2607"/>
      <c r="J32" s="2607"/>
      <c r="K32" s="2607"/>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7"/>
      <c r="C35" s="2607"/>
      <c r="D35" s="2607"/>
      <c r="E35" s="2607"/>
      <c r="F35" s="2607"/>
      <c r="G35" s="2607"/>
      <c r="H35" s="2607"/>
      <c r="I35" s="2607"/>
      <c r="J35" s="2607"/>
      <c r="K35" s="2607"/>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7"/>
      <c r="C38" s="2607"/>
      <c r="D38" s="2607"/>
      <c r="E38" s="2607"/>
      <c r="F38" s="2607"/>
      <c r="G38" s="2607"/>
      <c r="H38" s="2607"/>
      <c r="I38" s="2607"/>
      <c r="J38" s="2607"/>
      <c r="K38" s="2607"/>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7"/>
      <c r="C41" s="2607"/>
      <c r="D41" s="2607"/>
      <c r="E41" s="2607"/>
      <c r="F41" s="2607"/>
      <c r="G41" s="2607"/>
      <c r="H41" s="2607"/>
      <c r="I41" s="2607"/>
      <c r="J41" s="2607"/>
      <c r="K41" s="2607"/>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sheetPr>
  <dimension ref="B1:E73"/>
  <sheetViews>
    <sheetView showGridLines="0" zoomScale="110" zoomScaleNormal="110" workbookViewId="0">
      <selection activeCell="I7" sqref="I7"/>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92" t="str">
        <f>'Single Audit Cover'!A7</f>
        <v xml:space="preserve">  Moraine Area Career System</v>
      </c>
      <c r="C1" s="2592"/>
      <c r="D1" s="2592"/>
      <c r="E1" s="1239"/>
    </row>
    <row r="2" spans="2:5" s="1057" customFormat="1" ht="12.75" customHeight="1" x14ac:dyDescent="0.2">
      <c r="B2" s="2594">
        <f>'Single Audit Cover'!E7</f>
        <v>7016218046</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t="s">
        <v>2076</v>
      </c>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14999847407452621"/>
  </sheetPr>
  <dimension ref="A1:N72"/>
  <sheetViews>
    <sheetView showGridLines="0" defaultGridColor="0" colorId="8" zoomScale="110" zoomScaleNormal="110" workbookViewId="0">
      <selection activeCell="Q6" sqref="Q6"/>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8" t="s">
        <v>383</v>
      </c>
      <c r="B1" s="2188"/>
      <c r="C1" s="2188"/>
      <c r="D1" s="2188"/>
      <c r="E1" s="2188"/>
      <c r="F1" s="2188"/>
      <c r="G1" s="2188"/>
      <c r="H1" s="2188"/>
      <c r="I1" s="2188"/>
      <c r="J1" s="2188"/>
      <c r="K1" s="2188"/>
      <c r="L1" s="2188"/>
      <c r="M1" s="218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423">
        <f>ROUND(D10+F10+H10,5)</f>
        <v>0</v>
      </c>
      <c r="K10" s="216"/>
      <c r="L10" s="331"/>
      <c r="M10" s="216"/>
    </row>
    <row r="11" spans="1:14" ht="7.5" customHeight="1" x14ac:dyDescent="0.2">
      <c r="B11" s="216"/>
      <c r="C11" s="216"/>
      <c r="D11" s="2198" t="str">
        <f>IF(SUM(J10)&lt;=0.0999999,"","Enter the Tax Rates by moving the decimal two places to the left.")</f>
        <v/>
      </c>
      <c r="E11" s="2199"/>
      <c r="F11" s="2199"/>
      <c r="G11" s="2199"/>
      <c r="H11" s="2199"/>
      <c r="I11" s="2199"/>
      <c r="J11" s="219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1557308</v>
      </c>
      <c r="E16" s="1546"/>
      <c r="F16" s="1545">
        <f>SUM('Acct Summary 7-8'!C17,'Acct Summary 7-8'!D17,'Acct Summary 7-8'!F17)</f>
        <v>1557308</v>
      </c>
      <c r="G16" s="1546"/>
      <c r="H16" s="1545">
        <f>SUM(D16-F16)</f>
        <v>0</v>
      </c>
      <c r="I16" s="1547"/>
      <c r="J16" s="1545">
        <f>SUM('Acct Summary 7-8'!C81,'Acct Summary 7-8'!D81,'Acct Summary 7-8'!F81,'Acct Summary 7-8'!I81)</f>
        <v>0</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424"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9"/>
      <c r="C54" s="2190"/>
      <c r="D54" s="2190"/>
      <c r="E54" s="2190"/>
      <c r="F54" s="2190"/>
      <c r="G54" s="2190"/>
      <c r="H54" s="2190"/>
      <c r="I54" s="2190"/>
      <c r="J54" s="2190"/>
      <c r="K54" s="2190"/>
      <c r="L54" s="2191"/>
      <c r="M54" s="356"/>
    </row>
    <row r="55" spans="1:13" ht="12.75" customHeight="1" x14ac:dyDescent="0.2">
      <c r="B55" s="2192"/>
      <c r="C55" s="2193"/>
      <c r="D55" s="2193"/>
      <c r="E55" s="2193"/>
      <c r="F55" s="2193"/>
      <c r="G55" s="2193"/>
      <c r="H55" s="2193"/>
      <c r="I55" s="2193"/>
      <c r="J55" s="2193"/>
      <c r="K55" s="2193"/>
      <c r="L55" s="2194"/>
      <c r="M55" s="356"/>
    </row>
    <row r="56" spans="1:13" ht="12.75" customHeight="1" x14ac:dyDescent="0.2">
      <c r="B56" s="2192"/>
      <c r="C56" s="2193"/>
      <c r="D56" s="2193"/>
      <c r="E56" s="2193"/>
      <c r="F56" s="2193"/>
      <c r="G56" s="2193"/>
      <c r="H56" s="2193"/>
      <c r="I56" s="2193"/>
      <c r="J56" s="2193"/>
      <c r="K56" s="2193"/>
      <c r="L56" s="2194"/>
      <c r="M56" s="216"/>
    </row>
    <row r="57" spans="1:13" ht="12.75" customHeight="1" x14ac:dyDescent="0.2">
      <c r="B57" s="2192"/>
      <c r="C57" s="2193"/>
      <c r="D57" s="2193"/>
      <c r="E57" s="2193"/>
      <c r="F57" s="2193"/>
      <c r="G57" s="2193"/>
      <c r="H57" s="2193"/>
      <c r="I57" s="2193"/>
      <c r="J57" s="2193"/>
      <c r="K57" s="2193"/>
      <c r="L57" s="2194"/>
      <c r="M57" s="216"/>
    </row>
    <row r="58" spans="1:13" x14ac:dyDescent="0.2">
      <c r="B58" s="2195"/>
      <c r="C58" s="2196"/>
      <c r="D58" s="2196"/>
      <c r="E58" s="2196"/>
      <c r="F58" s="2196"/>
      <c r="G58" s="2196"/>
      <c r="H58" s="2196"/>
      <c r="I58" s="2196"/>
      <c r="J58" s="2196"/>
      <c r="K58" s="2196"/>
      <c r="L58" s="219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0"/>
      <c r="D61" s="220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14999847407452621"/>
  </sheetPr>
  <dimension ref="A1:R44"/>
  <sheetViews>
    <sheetView showGridLines="0" zoomScale="110" zoomScaleNormal="110" workbookViewId="0">
      <selection activeCell="Q6" sqref="Q6"/>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3"/>
      <c r="B1" s="2204"/>
      <c r="C1" s="2204"/>
      <c r="D1" s="360"/>
      <c r="E1" s="360"/>
      <c r="F1" s="360"/>
      <c r="G1" s="360"/>
      <c r="H1" s="360"/>
      <c r="I1" s="360"/>
      <c r="J1" s="360"/>
      <c r="K1" s="360"/>
      <c r="L1" s="360"/>
      <c r="M1" s="360"/>
      <c r="N1" s="360"/>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Moraine Area Career System</v>
      </c>
      <c r="E7" s="367"/>
      <c r="G7" s="246"/>
      <c r="H7" s="363"/>
      <c r="I7" s="363"/>
      <c r="J7" s="363"/>
      <c r="K7" s="363"/>
      <c r="L7" s="306"/>
      <c r="M7" s="306"/>
      <c r="N7" s="306"/>
      <c r="O7" s="306"/>
      <c r="P7" s="306"/>
    </row>
    <row r="8" spans="1:18" ht="12.75" x14ac:dyDescent="0.2">
      <c r="A8" s="306"/>
      <c r="B8" s="306"/>
      <c r="C8" s="365" t="s">
        <v>1115</v>
      </c>
      <c r="D8" s="368">
        <f>COVER!A13</f>
        <v>7016218046</v>
      </c>
      <c r="E8" s="369"/>
      <c r="G8" s="306"/>
      <c r="H8" s="306"/>
      <c r="I8" s="306"/>
      <c r="J8" s="306"/>
      <c r="K8" s="306"/>
      <c r="L8" s="306"/>
      <c r="M8" s="306"/>
      <c r="N8" s="306"/>
      <c r="O8" s="306"/>
      <c r="P8" s="306"/>
    </row>
    <row r="9" spans="1:18" ht="12.75" x14ac:dyDescent="0.2">
      <c r="A9" s="306"/>
      <c r="B9" s="306"/>
      <c r="C9" s="365" t="s">
        <v>708</v>
      </c>
      <c r="D9" s="370" t="str">
        <f>COVER!A15</f>
        <v xml:space="preserve">Cook </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2</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0</v>
      </c>
      <c r="I12" s="379"/>
      <c r="J12" s="379"/>
      <c r="K12" s="1558">
        <f>TRUNC((H12/H13*100000),5)/100000</f>
        <v>0</v>
      </c>
      <c r="L12" s="380"/>
      <c r="M12" s="336" t="s">
        <v>1134</v>
      </c>
      <c r="N12" s="336"/>
      <c r="O12" s="1561">
        <v>0.35</v>
      </c>
      <c r="P12" s="212"/>
      <c r="Q12" s="212"/>
    </row>
    <row r="13" spans="1:18" s="381" customFormat="1" ht="12.75" x14ac:dyDescent="0.2">
      <c r="A13" s="212"/>
      <c r="B13" s="376"/>
      <c r="C13" s="2205" t="s">
        <v>1313</v>
      </c>
      <c r="D13" s="2206"/>
      <c r="E13" s="212"/>
      <c r="F13" s="382" t="s">
        <v>788</v>
      </c>
      <c r="G13" s="377"/>
      <c r="H13" s="1550">
        <f>SUM('Acct Summary 7-8'!C8+'Acct Summary 7-8'!D8+'Acct Summary 7-8'!F8+'Acct Summary 7-8'!I8)+H14</f>
        <v>1557308</v>
      </c>
      <c r="I13" s="379"/>
      <c r="J13" s="379"/>
      <c r="K13" s="1557"/>
      <c r="L13" s="212"/>
      <c r="M13" s="336" t="s">
        <v>1135</v>
      </c>
      <c r="N13" s="336"/>
      <c r="O13" s="1562">
        <f>(O11*O12)</f>
        <v>0.7</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1557308</v>
      </c>
      <c r="I17" s="379"/>
      <c r="J17" s="388"/>
      <c r="K17" s="1558">
        <f>TRUNC((H17/H18*100000),5)/100000</f>
        <v>1</v>
      </c>
      <c r="L17" s="380"/>
      <c r="M17" s="389" t="s">
        <v>1161</v>
      </c>
      <c r="O17" s="1564" t="str">
        <f>IF(AND(O16="2", J20 &gt; 2),"1",IF(AND(O16 = "1", J20 &gt; 2),"2",IF(AND(O16="1", J20 &gt;1),"1","0")))</f>
        <v>0</v>
      </c>
      <c r="P17" s="212"/>
    </row>
    <row r="18" spans="1:18" s="381" customFormat="1" ht="11.25" x14ac:dyDescent="0.2">
      <c r="A18" s="212"/>
      <c r="B18" s="376"/>
      <c r="C18" s="2205" t="s">
        <v>1306</v>
      </c>
      <c r="D18" s="2206"/>
      <c r="E18" s="212"/>
      <c r="F18" s="390" t="s">
        <v>789</v>
      </c>
      <c r="G18" s="377"/>
      <c r="H18" s="1550">
        <f>SUM('Acct Summary 7-8'!C8+'Acct Summary 7-8'!D8+'Acct Summary 7-8'!F8+'Acct Summary 7-8'!I8)+H19</f>
        <v>1557308</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2</v>
      </c>
      <c r="P23" s="210"/>
      <c r="R23" s="360"/>
    </row>
    <row r="24" spans="1:18" s="381" customFormat="1" ht="11.25" x14ac:dyDescent="0.2">
      <c r="A24" s="212"/>
      <c r="B24" s="376"/>
      <c r="C24" s="2202" t="s">
        <v>1395</v>
      </c>
      <c r="D24" s="2202"/>
      <c r="E24" s="212"/>
      <c r="F24" s="212" t="s">
        <v>442</v>
      </c>
      <c r="G24" s="377"/>
      <c r="H24" s="1550">
        <f>SUM('Assets-Liab 5-6'!C4+'Assets-Liab 5-6'!D4+'Assets-Liab 5-6'!F4+'Assets-Liab 5-6'!I4+'Assets-Liab 5-6'!C5+'Assets-Liab 5-6'!D5+'Assets-Liab 5-6'!F5+'Assets-Liab 5-6'!I5)</f>
        <v>193169</v>
      </c>
      <c r="I24" s="393"/>
      <c r="J24" s="393"/>
      <c r="K24" s="1554">
        <f>TRUNC(((H24/H25*100000)/100000),2)</f>
        <v>44.65</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4325.85556</v>
      </c>
      <c r="I25" s="395"/>
      <c r="J25" s="395"/>
      <c r="K25" s="1557"/>
      <c r="L25" s="212"/>
      <c r="M25" s="336" t="s">
        <v>1135</v>
      </c>
      <c r="N25" s="336"/>
      <c r="O25" s="1562">
        <f>O23*O24</f>
        <v>0.2</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e">
        <f>IF(K28&gt;=75,"4",IF(K28&gt;=50,"3",IF(K28&gt;=25,"2",1)))</f>
        <v>#DIV/0!</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t="e">
        <f>TRUNC(100-((((H28/H29*100))*100)/100),2)</f>
        <v>#DIV/0!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0</v>
      </c>
      <c r="I29" s="396"/>
      <c r="J29" s="396"/>
      <c r="K29" s="1557"/>
      <c r="L29" s="212"/>
      <c r="M29" s="336" t="s">
        <v>1135</v>
      </c>
      <c r="N29" s="336"/>
      <c r="O29" s="1562" t="e">
        <f>O27*O28</f>
        <v>#DIV/0!</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e">
        <f>IF(K32&gt;=75,"4",IF(K32&gt;=50,"3",IF(K32&gt;=25,"2",1)))</f>
        <v>#VALUE!</v>
      </c>
      <c r="P31" s="210"/>
    </row>
    <row r="32" spans="1:18" s="381" customFormat="1" ht="11.25" x14ac:dyDescent="0.2">
      <c r="A32" s="212"/>
      <c r="B32" s="376"/>
      <c r="C32" s="212" t="s">
        <v>842</v>
      </c>
      <c r="D32" s="212"/>
      <c r="E32" s="212"/>
      <c r="F32" s="212"/>
      <c r="G32" s="377"/>
      <c r="H32" s="1550">
        <f>'FP Info 3'!H37</f>
        <v>0</v>
      </c>
      <c r="I32" s="391"/>
      <c r="J32" s="391"/>
      <c r="K32" s="1554" t="e">
        <f>TRUNC(100-((((H32/H33*100))*100)/100),2)</f>
        <v>#VALUE!</v>
      </c>
      <c r="L32" s="380"/>
      <c r="M32" s="336" t="s">
        <v>1134</v>
      </c>
      <c r="N32" s="336"/>
      <c r="O32" s="1567">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1135</v>
      </c>
      <c r="N33" s="400"/>
      <c r="O33" s="1567" t="e">
        <f>(O31*O32)</f>
        <v>#VALUE!</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t="e">
        <f>(O13+O20+O25+O29+O33)</f>
        <v>#DIV/0!</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14999847407452621"/>
  </sheetPr>
  <dimension ref="A1:N44"/>
  <sheetViews>
    <sheetView showGridLines="0" defaultGridColor="0" colorId="8" zoomScale="110" zoomScaleNormal="110" workbookViewId="0">
      <pane ySplit="2" topLeftCell="A18" activePane="bottomLeft" state="frozen"/>
      <selection activeCell="Q6" sqref="Q6"/>
      <selection pane="bottomLeft" activeCell="Q6" sqref="Q6"/>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0"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1"/>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6" t="s">
        <v>1632</v>
      </c>
      <c r="B4" s="427"/>
      <c r="C4" s="1571">
        <v>193169</v>
      </c>
      <c r="D4" s="1572"/>
      <c r="E4" s="1572"/>
      <c r="F4" s="1572"/>
      <c r="G4" s="1572"/>
      <c r="H4" s="1572"/>
      <c r="I4" s="1572"/>
      <c r="J4" s="1573"/>
      <c r="K4" s="1572"/>
      <c r="L4" s="1572"/>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v>5772</v>
      </c>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198941</v>
      </c>
      <c r="D13" s="1586">
        <f t="shared" ref="D13:L13" si="0">SUM(D4:D12)</f>
        <v>0</v>
      </c>
      <c r="E13" s="1586">
        <f t="shared" si="0"/>
        <v>0</v>
      </c>
      <c r="F13" s="1586">
        <f t="shared" si="0"/>
        <v>0</v>
      </c>
      <c r="G13" s="1586">
        <f t="shared" si="0"/>
        <v>0</v>
      </c>
      <c r="H13" s="1586">
        <f t="shared" si="0"/>
        <v>0</v>
      </c>
      <c r="I13" s="1586">
        <f t="shared" si="0"/>
        <v>0</v>
      </c>
      <c r="J13" s="1586">
        <f t="shared" si="0"/>
        <v>0</v>
      </c>
      <c r="K13" s="1586">
        <f t="shared" si="0"/>
        <v>0</v>
      </c>
      <c r="L13" s="1586">
        <f t="shared" si="0"/>
        <v>0</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c r="N16" s="1591"/>
    </row>
    <row r="17" spans="1:14" s="432" customFormat="1" ht="12.75" customHeight="1" x14ac:dyDescent="0.2">
      <c r="A17" s="430" t="s">
        <v>1386</v>
      </c>
      <c r="B17" s="431">
        <v>230</v>
      </c>
      <c r="C17" s="1581"/>
      <c r="D17" s="1581"/>
      <c r="E17" s="1581"/>
      <c r="F17" s="1581"/>
      <c r="G17" s="1581"/>
      <c r="H17" s="1581"/>
      <c r="I17" s="1581"/>
      <c r="J17" s="1581"/>
      <c r="K17" s="1581"/>
      <c r="L17" s="1581"/>
      <c r="M17" s="1573"/>
      <c r="N17" s="1591"/>
    </row>
    <row r="18" spans="1:14" s="432" customFormat="1" ht="12.75" customHeight="1" x14ac:dyDescent="0.2">
      <c r="A18" s="430" t="s">
        <v>1387</v>
      </c>
      <c r="B18" s="431">
        <v>240</v>
      </c>
      <c r="C18" s="1581"/>
      <c r="D18" s="1581"/>
      <c r="E18" s="1581"/>
      <c r="F18" s="1581"/>
      <c r="G18" s="1581"/>
      <c r="H18" s="1581"/>
      <c r="I18" s="1581"/>
      <c r="J18" s="1581"/>
      <c r="K18" s="1581"/>
      <c r="L18" s="1581"/>
      <c r="M18" s="1573"/>
      <c r="N18" s="1591"/>
    </row>
    <row r="19" spans="1:14" s="432" customFormat="1" ht="12.75" customHeight="1" x14ac:dyDescent="0.2">
      <c r="A19" s="430" t="s">
        <v>1388</v>
      </c>
      <c r="B19" s="431">
        <v>250</v>
      </c>
      <c r="C19" s="1581"/>
      <c r="D19" s="1581"/>
      <c r="E19" s="1581"/>
      <c r="F19" s="1581"/>
      <c r="G19" s="1581"/>
      <c r="H19" s="1581"/>
      <c r="I19" s="1581"/>
      <c r="J19" s="1581"/>
      <c r="K19" s="1581"/>
      <c r="L19" s="1581"/>
      <c r="M19" s="1573"/>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0</v>
      </c>
      <c r="N23" s="1593">
        <f>SUM(N21:N22)</f>
        <v>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v>198941</v>
      </c>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c r="M33" s="1574"/>
      <c r="N33" s="1575"/>
    </row>
    <row r="34" spans="1:14" ht="13.5" customHeight="1" thickBot="1" x14ac:dyDescent="0.25">
      <c r="A34" s="1426" t="s">
        <v>649</v>
      </c>
      <c r="B34" s="1427"/>
      <c r="C34" s="1599">
        <f>SUM(C25:C33)</f>
        <v>198941</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6" customFormat="1" ht="13.5" customHeight="1" thickTop="1" x14ac:dyDescent="0.2">
      <c r="A38" s="437" t="s">
        <v>417</v>
      </c>
      <c r="B38" s="431">
        <v>714</v>
      </c>
      <c r="C38" s="1572">
        <v>0</v>
      </c>
      <c r="D38" s="1572"/>
      <c r="E38" s="1572"/>
      <c r="F38" s="1572"/>
      <c r="G38" s="1572"/>
      <c r="H38" s="1572"/>
      <c r="I38" s="1572"/>
      <c r="J38" s="1573"/>
      <c r="K38" s="1572"/>
      <c r="L38" s="1585"/>
      <c r="M38" s="1603"/>
      <c r="N38" s="1603"/>
    </row>
    <row r="39" spans="1:14" s="306" customFormat="1" ht="13.5" customHeight="1" x14ac:dyDescent="0.2">
      <c r="A39" s="437" t="s">
        <v>339</v>
      </c>
      <c r="B39" s="431">
        <v>730</v>
      </c>
      <c r="C39" s="1572">
        <v>0</v>
      </c>
      <c r="D39" s="1572"/>
      <c r="E39" s="1572"/>
      <c r="F39" s="1572"/>
      <c r="G39" s="1572"/>
      <c r="H39" s="1572"/>
      <c r="I39" s="1572"/>
      <c r="J39" s="1573"/>
      <c r="K39" s="1572"/>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c r="N40" s="1603"/>
    </row>
    <row r="41" spans="1:14" ht="13.5" customHeight="1" thickBot="1" x14ac:dyDescent="0.25">
      <c r="A41" s="1425" t="s">
        <v>650</v>
      </c>
      <c r="B41" s="1404"/>
      <c r="C41" s="1593">
        <f>(SUM(C34,C37,C38,C39))</f>
        <v>198941</v>
      </c>
      <c r="D41" s="1593">
        <f t="shared" ref="D41:L41" si="2">SUM(D34,D37,D38:D39)</f>
        <v>0</v>
      </c>
      <c r="E41" s="1593">
        <f t="shared" si="2"/>
        <v>0</v>
      </c>
      <c r="F41" s="1593">
        <f t="shared" si="2"/>
        <v>0</v>
      </c>
      <c r="G41" s="1593">
        <f t="shared" si="2"/>
        <v>0</v>
      </c>
      <c r="H41" s="1593">
        <f t="shared" si="2"/>
        <v>0</v>
      </c>
      <c r="I41" s="1593">
        <f t="shared" si="2"/>
        <v>0</v>
      </c>
      <c r="J41" s="1593">
        <f t="shared" si="2"/>
        <v>0</v>
      </c>
      <c r="K41" s="1593">
        <f t="shared" si="2"/>
        <v>0</v>
      </c>
      <c r="L41" s="1593">
        <f t="shared" si="2"/>
        <v>0</v>
      </c>
      <c r="M41" s="1593">
        <f>SUM(M40)</f>
        <v>0</v>
      </c>
      <c r="N41" s="1593">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M87"/>
  <sheetViews>
    <sheetView showGridLines="0" defaultGridColor="0" colorId="8" zoomScale="110" zoomScaleNormal="110" zoomScaleSheetLayoutView="100" workbookViewId="0">
      <pane ySplit="2" topLeftCell="A3" activePane="bottomLeft" state="frozen"/>
      <selection activeCell="Q6" sqref="Q6"/>
      <selection pane="bottomLeft" activeCell="Q6" sqref="Q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8"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9"/>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0" t="s">
        <v>1165</v>
      </c>
      <c r="B3" s="2241"/>
      <c r="C3" s="1310"/>
      <c r="D3" s="1311"/>
      <c r="E3" s="1311"/>
      <c r="F3" s="1311"/>
      <c r="G3" s="1311"/>
      <c r="H3" s="1311"/>
      <c r="I3" s="1311"/>
      <c r="J3" s="1311"/>
      <c r="K3" s="1312"/>
      <c r="L3" s="445"/>
    </row>
    <row r="4" spans="1:13" ht="15.75" customHeight="1" x14ac:dyDescent="0.2">
      <c r="A4" s="1536" t="s">
        <v>1482</v>
      </c>
      <c r="B4" s="1537">
        <v>1000</v>
      </c>
      <c r="C4" s="1605">
        <f>'Revenues 9-14'!C109</f>
        <v>47186</v>
      </c>
      <c r="D4" s="1605">
        <f>'Revenues 9-14'!D109</f>
        <v>0</v>
      </c>
      <c r="E4" s="1605">
        <f>'Revenues 9-14'!E109</f>
        <v>0</v>
      </c>
      <c r="F4" s="1605">
        <f>'Revenues 9-14'!F109</f>
        <v>0</v>
      </c>
      <c r="G4" s="1605">
        <f>'Revenues 9-14'!G109</f>
        <v>0</v>
      </c>
      <c r="H4" s="1605">
        <f>'Revenues 9-14'!H109</f>
        <v>0</v>
      </c>
      <c r="I4" s="1605">
        <f>'Revenues 9-14'!I109</f>
        <v>0</v>
      </c>
      <c r="J4" s="1605">
        <f>'Revenues 9-14'!J109</f>
        <v>0</v>
      </c>
      <c r="K4" s="1605">
        <f>'Revenues 9-14'!K109</f>
        <v>0</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845653</v>
      </c>
      <c r="D6" s="1606">
        <f>'Revenues 9-14'!D170</f>
        <v>0</v>
      </c>
      <c r="E6" s="1606">
        <f>'Revenues 9-14'!E170</f>
        <v>0</v>
      </c>
      <c r="F6" s="1606">
        <f>'Revenues 9-14'!F170</f>
        <v>0</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664469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1557308</v>
      </c>
      <c r="D8" s="1593">
        <f t="shared" ref="D8:K8" si="0">SUM(D4:D7)</f>
        <v>0</v>
      </c>
      <c r="E8" s="1593">
        <f t="shared" si="0"/>
        <v>0</v>
      </c>
      <c r="F8" s="1593">
        <f t="shared" si="0"/>
        <v>0</v>
      </c>
      <c r="G8" s="1593">
        <f t="shared" si="0"/>
        <v>0</v>
      </c>
      <c r="H8" s="1593">
        <f t="shared" si="0"/>
        <v>0</v>
      </c>
      <c r="I8" s="1593">
        <f t="shared" si="0"/>
        <v>0</v>
      </c>
      <c r="J8" s="1593">
        <f t="shared" si="0"/>
        <v>0</v>
      </c>
      <c r="K8" s="1593">
        <f t="shared" si="0"/>
        <v>0</v>
      </c>
      <c r="L8" s="324"/>
    </row>
    <row r="9" spans="1:13" ht="15.75" thickTop="1" x14ac:dyDescent="0.2">
      <c r="A9" s="448" t="s">
        <v>1634</v>
      </c>
      <c r="B9" s="449">
        <v>3998</v>
      </c>
      <c r="C9" s="1585"/>
      <c r="D9" s="1612"/>
      <c r="E9" s="1585"/>
      <c r="F9" s="1585"/>
      <c r="G9" s="1613"/>
      <c r="H9" s="1585"/>
      <c r="I9" s="1608" t="s">
        <v>1159</v>
      </c>
      <c r="J9" s="1582"/>
      <c r="K9" s="1585"/>
      <c r="L9" s="324"/>
    </row>
    <row r="10" spans="1:13" s="451" customFormat="1" ht="13.5" thickBot="1" x14ac:dyDescent="0.25">
      <c r="A10" s="1425" t="s">
        <v>1163</v>
      </c>
      <c r="B10" s="1406"/>
      <c r="C10" s="1593">
        <f>SUM(C8:C9)</f>
        <v>1557308</v>
      </c>
      <c r="D10" s="1593">
        <f t="shared" ref="D10:K10" si="1">SUM(D8:D9)</f>
        <v>0</v>
      </c>
      <c r="E10" s="1593">
        <f t="shared" si="1"/>
        <v>0</v>
      </c>
      <c r="F10" s="1593">
        <f t="shared" si="1"/>
        <v>0</v>
      </c>
      <c r="G10" s="1593">
        <f t="shared" si="1"/>
        <v>0</v>
      </c>
      <c r="H10" s="1593">
        <f t="shared" si="1"/>
        <v>0</v>
      </c>
      <c r="I10" s="1593">
        <f t="shared" si="1"/>
        <v>0</v>
      </c>
      <c r="J10" s="1593">
        <f t="shared" si="1"/>
        <v>0</v>
      </c>
      <c r="K10" s="1593">
        <f t="shared" si="1"/>
        <v>0</v>
      </c>
      <c r="L10" s="450"/>
    </row>
    <row r="11" spans="1:13" s="451" customFormat="1" ht="16.7" customHeight="1" thickTop="1" x14ac:dyDescent="0.2">
      <c r="A11" s="2214" t="s">
        <v>1166</v>
      </c>
      <c r="B11" s="2215"/>
      <c r="C11" s="1601"/>
      <c r="D11" s="1602"/>
      <c r="E11" s="1602"/>
      <c r="F11" s="1602"/>
      <c r="G11" s="1602"/>
      <c r="H11" s="1602"/>
      <c r="I11" s="1602"/>
      <c r="J11" s="1602"/>
      <c r="K11" s="1614"/>
      <c r="L11" s="450"/>
    </row>
    <row r="12" spans="1:13" ht="15.75" customHeight="1" x14ac:dyDescent="0.2">
      <c r="A12" s="1313" t="s">
        <v>453</v>
      </c>
      <c r="B12" s="1315">
        <v>1000</v>
      </c>
      <c r="C12" s="1605">
        <f>'Expenditures 15-22'!K33</f>
        <v>0</v>
      </c>
      <c r="D12" s="1615" t="s">
        <v>1159</v>
      </c>
      <c r="E12" s="1574" t="s">
        <v>1159</v>
      </c>
      <c r="F12" s="1574" t="s">
        <v>1159</v>
      </c>
      <c r="G12" s="1605">
        <f>'Expenditures 15-22'!K229</f>
        <v>0</v>
      </c>
      <c r="H12" s="1616"/>
      <c r="I12" s="1574" t="s">
        <v>1159</v>
      </c>
      <c r="J12" s="1574" t="s">
        <v>1159</v>
      </c>
      <c r="K12" s="1616" t="s">
        <v>1159</v>
      </c>
      <c r="L12" s="324"/>
    </row>
    <row r="13" spans="1:13" ht="15.75" customHeight="1" x14ac:dyDescent="0.2">
      <c r="A13" s="1313" t="s">
        <v>454</v>
      </c>
      <c r="B13" s="1315">
        <v>2000</v>
      </c>
      <c r="C13" s="1606">
        <f>'Expenditures 15-22'!K74</f>
        <v>300270</v>
      </c>
      <c r="D13" s="1606">
        <f>'Expenditures 15-22'!K129</f>
        <v>0</v>
      </c>
      <c r="E13" s="1575" t="s">
        <v>1159</v>
      </c>
      <c r="F13" s="1606">
        <f>'Expenditures 15-22'!K184</f>
        <v>0</v>
      </c>
      <c r="G13" s="1606">
        <f>'Expenditures 15-22'!K279</f>
        <v>0</v>
      </c>
      <c r="H13" s="1606">
        <f>'Expenditures 15-22'!K303</f>
        <v>0</v>
      </c>
      <c r="I13" s="1574" t="s">
        <v>1159</v>
      </c>
      <c r="J13" s="1606">
        <f>'Expenditures 15-22'!K330</f>
        <v>0</v>
      </c>
      <c r="K13" s="1617">
        <f>'Expenditures 15-22'!K352</f>
        <v>0</v>
      </c>
      <c r="L13" s="324"/>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1257038</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1557308</v>
      </c>
      <c r="D17" s="1593">
        <f t="shared" si="2"/>
        <v>0</v>
      </c>
      <c r="E17" s="1593">
        <f t="shared" si="2"/>
        <v>0</v>
      </c>
      <c r="F17" s="1593">
        <f t="shared" si="2"/>
        <v>0</v>
      </c>
      <c r="G17" s="1593">
        <f t="shared" si="2"/>
        <v>0</v>
      </c>
      <c r="H17" s="1593">
        <f t="shared" si="2"/>
        <v>0</v>
      </c>
      <c r="I17" s="1574"/>
      <c r="J17" s="1593">
        <f>SUM(J12:J16)</f>
        <v>0</v>
      </c>
      <c r="K17" s="1593">
        <f>SUM(K12:K16)</f>
        <v>0</v>
      </c>
      <c r="L17" s="324"/>
    </row>
    <row r="18" spans="1:12" ht="15" customHeight="1" thickTop="1" x14ac:dyDescent="0.2">
      <c r="A18" s="1429" t="s">
        <v>1635</v>
      </c>
      <c r="B18" s="1430">
        <v>4180</v>
      </c>
      <c r="C18" s="1605">
        <f t="shared" ref="C18:H18" si="3">C9</f>
        <v>0</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1557308</v>
      </c>
      <c r="D19" s="1593">
        <f t="shared" si="4"/>
        <v>0</v>
      </c>
      <c r="E19" s="1593">
        <f t="shared" si="4"/>
        <v>0</v>
      </c>
      <c r="F19" s="1593">
        <f t="shared" si="4"/>
        <v>0</v>
      </c>
      <c r="G19" s="1593">
        <f t="shared" si="4"/>
        <v>0</v>
      </c>
      <c r="H19" s="1593">
        <f t="shared" si="4"/>
        <v>0</v>
      </c>
      <c r="I19" s="1574"/>
      <c r="J19" s="1593">
        <f>SUM(J17:J18)</f>
        <v>0</v>
      </c>
      <c r="K19" s="1593">
        <f>SUM(K17:K18)</f>
        <v>0</v>
      </c>
      <c r="L19" s="324"/>
    </row>
    <row r="20" spans="1:12" ht="16.5" thickTop="1" thickBot="1" x14ac:dyDescent="0.25">
      <c r="A20" s="2230" t="s">
        <v>1636</v>
      </c>
      <c r="B20" s="2231"/>
      <c r="C20" s="1621">
        <f>C8-C17</f>
        <v>0</v>
      </c>
      <c r="D20" s="1621">
        <f t="shared" ref="D20:K20" si="5">D8-D17</f>
        <v>0</v>
      </c>
      <c r="E20" s="1621">
        <f t="shared" si="5"/>
        <v>0</v>
      </c>
      <c r="F20" s="1621">
        <f t="shared" si="5"/>
        <v>0</v>
      </c>
      <c r="G20" s="1621">
        <f t="shared" si="5"/>
        <v>0</v>
      </c>
      <c r="H20" s="1621">
        <f t="shared" si="5"/>
        <v>0</v>
      </c>
      <c r="I20" s="1621">
        <f t="shared" si="5"/>
        <v>0</v>
      </c>
      <c r="J20" s="1621">
        <f t="shared" si="5"/>
        <v>0</v>
      </c>
      <c r="K20" s="1621">
        <f t="shared" si="5"/>
        <v>0</v>
      </c>
      <c r="L20" s="324"/>
    </row>
    <row r="21" spans="1:12" ht="16.7" customHeight="1" thickTop="1" x14ac:dyDescent="0.2">
      <c r="A21" s="2242" t="s">
        <v>591</v>
      </c>
      <c r="B21" s="2243"/>
      <c r="C21" s="1601"/>
      <c r="D21" s="1602"/>
      <c r="E21" s="1602"/>
      <c r="F21" s="1602"/>
      <c r="G21" s="1602"/>
      <c r="H21" s="1602"/>
      <c r="I21" s="1602"/>
      <c r="J21" s="1602"/>
      <c r="K21" s="1614"/>
      <c r="L21" s="452"/>
    </row>
    <row r="22" spans="1:12" ht="15.75" customHeight="1" collapsed="1" x14ac:dyDescent="0.2">
      <c r="A22" s="2238" t="s">
        <v>592</v>
      </c>
      <c r="B22" s="2239"/>
      <c r="C22" s="1581"/>
      <c r="D22" s="1581"/>
      <c r="E22" s="1581"/>
      <c r="F22" s="1581"/>
      <c r="G22" s="1581"/>
      <c r="H22" s="1581"/>
      <c r="I22" s="1581"/>
      <c r="J22" s="1581"/>
      <c r="K22" s="1581"/>
      <c r="L22" s="324"/>
    </row>
    <row r="23" spans="1:12" s="432" customFormat="1" ht="15.75" customHeight="1" x14ac:dyDescent="0.2">
      <c r="A23" s="2234" t="s">
        <v>290</v>
      </c>
      <c r="B23" s="2235"/>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6" t="s">
        <v>974</v>
      </c>
      <c r="B32" s="2237"/>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0</v>
      </c>
      <c r="F37" s="1579"/>
      <c r="G37" s="1579"/>
      <c r="H37" s="1579"/>
      <c r="I37" s="1581"/>
      <c r="J37" s="1579"/>
      <c r="K37" s="1579"/>
      <c r="L37" s="452"/>
    </row>
    <row r="38" spans="1:12" s="432" customFormat="1" x14ac:dyDescent="0.2">
      <c r="A38" s="1259" t="s">
        <v>439</v>
      </c>
      <c r="B38" s="453">
        <v>7500</v>
      </c>
      <c r="C38" s="1581"/>
      <c r="D38" s="1581"/>
      <c r="E38" s="1606">
        <f>SUM(C58:D61,H58:H61)</f>
        <v>0</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38" t="s">
        <v>108</v>
      </c>
      <c r="B45" s="2239"/>
      <c r="C45" s="1624"/>
      <c r="D45" s="1624"/>
      <c r="E45" s="1624"/>
      <c r="F45" s="1624"/>
      <c r="G45" s="1624"/>
      <c r="H45" s="1624"/>
      <c r="I45" s="1624"/>
      <c r="J45" s="1624"/>
      <c r="K45" s="1624"/>
      <c r="L45" s="324"/>
    </row>
    <row r="46" spans="1:12" s="432" customFormat="1" ht="15.75" customHeight="1" x14ac:dyDescent="0.2">
      <c r="A46" s="2246" t="s">
        <v>109</v>
      </c>
      <c r="B46" s="2247"/>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4"/>
    </row>
    <row r="78" spans="1:12" ht="21.75" customHeight="1" thickTop="1" thickBot="1" x14ac:dyDescent="0.25">
      <c r="A78" s="2226" t="s">
        <v>593</v>
      </c>
      <c r="B78" s="2227"/>
      <c r="C78" s="1628">
        <f t="shared" ref="C78:K78" si="9">C20+C77</f>
        <v>0</v>
      </c>
      <c r="D78" s="1628">
        <f t="shared" si="9"/>
        <v>0</v>
      </c>
      <c r="E78" s="1628">
        <f t="shared" si="9"/>
        <v>0</v>
      </c>
      <c r="F78" s="1628">
        <f t="shared" si="9"/>
        <v>0</v>
      </c>
      <c r="G78" s="1628">
        <f t="shared" si="9"/>
        <v>0</v>
      </c>
      <c r="H78" s="1628">
        <f t="shared" si="9"/>
        <v>0</v>
      </c>
      <c r="I78" s="1628">
        <f t="shared" si="9"/>
        <v>0</v>
      </c>
      <c r="J78" s="1628">
        <f t="shared" si="9"/>
        <v>0</v>
      </c>
      <c r="K78" s="1628">
        <f t="shared" si="9"/>
        <v>0</v>
      </c>
      <c r="L78" s="456"/>
    </row>
    <row r="79" spans="1:12" ht="13.5" thickTop="1" x14ac:dyDescent="0.2">
      <c r="A79" s="1843" t="str">
        <f>"Fund Balances - July 1, "&amp;'AFR20'!E2-1</f>
        <v>Fund Balances - July 1, 2019</v>
      </c>
      <c r="B79" s="457"/>
      <c r="C79" s="1582">
        <v>0</v>
      </c>
      <c r="D79" s="1629"/>
      <c r="E79" s="1629"/>
      <c r="F79" s="1629"/>
      <c r="G79" s="1629"/>
      <c r="H79" s="1629"/>
      <c r="I79" s="1629"/>
      <c r="J79" s="1629"/>
      <c r="K79" s="1629"/>
      <c r="L79" s="324"/>
    </row>
    <row r="80" spans="1:12" x14ac:dyDescent="0.2">
      <c r="A80" s="2232" t="s">
        <v>1772</v>
      </c>
      <c r="B80" s="2233"/>
      <c r="C80" s="1573"/>
      <c r="D80" s="1573"/>
      <c r="E80" s="1573"/>
      <c r="F80" s="1573"/>
      <c r="G80" s="1573"/>
      <c r="H80" s="1573"/>
      <c r="I80" s="1573"/>
      <c r="J80" s="1573"/>
      <c r="K80" s="1573"/>
      <c r="L80" s="324"/>
    </row>
    <row r="81" spans="1:12" ht="13.5" thickBot="1" x14ac:dyDescent="0.25">
      <c r="A81" s="2224" t="str">
        <f>"Fund Balances - June 30, "&amp;'AFR20'!E2</f>
        <v>Fund Balances - June 30, 2020</v>
      </c>
      <c r="B81" s="2225"/>
      <c r="C81" s="1593">
        <f>(SUM(C78:C80))</f>
        <v>0</v>
      </c>
      <c r="D81" s="1593">
        <f>SUM(D78:D80)</f>
        <v>0</v>
      </c>
      <c r="E81" s="1593">
        <f t="shared" ref="E81:K81" si="10">SUM(E78:E80)</f>
        <v>0</v>
      </c>
      <c r="F81" s="1593">
        <f t="shared" si="10"/>
        <v>0</v>
      </c>
      <c r="G81" s="1593">
        <f t="shared" si="10"/>
        <v>0</v>
      </c>
      <c r="H81" s="1593">
        <f t="shared" si="10"/>
        <v>0</v>
      </c>
      <c r="I81" s="1593">
        <f t="shared" si="10"/>
        <v>0</v>
      </c>
      <c r="J81" s="1593">
        <f t="shared" si="10"/>
        <v>0</v>
      </c>
      <c r="K81" s="1593">
        <f t="shared" si="10"/>
        <v>0</v>
      </c>
      <c r="L81" s="324"/>
    </row>
    <row r="82" spans="1:12" ht="0.75" customHeight="1" thickTop="1" thickBot="1" x14ac:dyDescent="0.25">
      <c r="A82" s="458" t="s">
        <v>340</v>
      </c>
      <c r="B82" s="459"/>
      <c r="C82" s="460">
        <f>(C81-C79)</f>
        <v>0</v>
      </c>
      <c r="D82" s="460">
        <f t="shared" ref="D82:K82" si="11">(D81-D79)</f>
        <v>0</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t="e">
        <f>C82/C81</f>
        <v>#DIV/0!</v>
      </c>
      <c r="D83" s="462" t="e">
        <f t="shared" ref="D83:K83" si="12">D82/D81</f>
        <v>#DIV/0!</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L279"/>
  <sheetViews>
    <sheetView showGridLines="0" defaultGridColor="0" colorId="8" zoomScale="110" zoomScaleNormal="110" zoomScaleSheetLayoutView="75" workbookViewId="0">
      <pane ySplit="2" topLeftCell="A45" activePane="bottomLeft" state="frozen"/>
      <selection activeCell="Q6" sqref="Q6"/>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8" t="s">
        <v>1779</v>
      </c>
      <c r="B1" s="415"/>
      <c r="C1" s="416" t="s">
        <v>422</v>
      </c>
      <c r="D1" s="416" t="s">
        <v>423</v>
      </c>
      <c r="E1" s="416" t="s">
        <v>424</v>
      </c>
      <c r="F1" s="416" t="s">
        <v>425</v>
      </c>
      <c r="G1" s="416" t="s">
        <v>426</v>
      </c>
      <c r="H1" s="416" t="s">
        <v>427</v>
      </c>
      <c r="I1" s="416" t="s">
        <v>428</v>
      </c>
      <c r="J1" s="416" t="s">
        <v>429</v>
      </c>
      <c r="K1" s="416" t="s">
        <v>751</v>
      </c>
    </row>
    <row r="2" spans="1:12" ht="36" x14ac:dyDescent="0.2">
      <c r="A2" s="2229"/>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c r="D5" s="1585"/>
      <c r="E5" s="1572"/>
      <c r="F5" s="1630"/>
      <c r="G5" s="1572"/>
      <c r="H5" s="1572"/>
      <c r="I5" s="1572"/>
      <c r="J5" s="1573"/>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c r="D7" s="1572"/>
      <c r="E7" s="1574"/>
      <c r="F7" s="1573"/>
      <c r="G7" s="1573"/>
      <c r="H7" s="1573"/>
      <c r="I7" s="1574"/>
      <c r="J7" s="1574"/>
      <c r="K7" s="1574"/>
    </row>
    <row r="8" spans="1:12" x14ac:dyDescent="0.2">
      <c r="A8" s="426" t="s">
        <v>410</v>
      </c>
      <c r="B8" s="428">
        <v>1150</v>
      </c>
      <c r="C8" s="1579"/>
      <c r="D8" s="1579"/>
      <c r="E8" s="1581"/>
      <c r="F8" s="1581"/>
      <c r="G8" s="1585"/>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c r="D16" s="1572"/>
      <c r="E16" s="1572"/>
      <c r="F16" s="1572"/>
      <c r="G16" s="1572"/>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7079</v>
      </c>
      <c r="D65" s="1572"/>
      <c r="E65" s="1572"/>
      <c r="F65" s="1573"/>
      <c r="G65" s="1572"/>
      <c r="H65" s="1572"/>
      <c r="I65" s="1572"/>
      <c r="J65" s="1573"/>
      <c r="K65" s="1572"/>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7079</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c r="D69" s="1574"/>
      <c r="E69" s="1574"/>
      <c r="F69" s="1574"/>
      <c r="G69" s="1574"/>
      <c r="H69" s="1574"/>
      <c r="I69" s="1574"/>
      <c r="J69" s="1574"/>
      <c r="K69" s="1574"/>
    </row>
    <row r="70" spans="1:11" ht="12.75" customHeight="1" x14ac:dyDescent="0.2">
      <c r="A70" s="426" t="s">
        <v>990</v>
      </c>
      <c r="B70" s="428">
        <v>1612</v>
      </c>
      <c r="C70" s="1631"/>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v>40107</v>
      </c>
      <c r="D98" s="1572"/>
      <c r="E98" s="1611"/>
      <c r="F98" s="1572"/>
      <c r="G98" s="1611"/>
      <c r="H98" s="1611"/>
      <c r="I98" s="1609"/>
      <c r="J98" s="1611"/>
      <c r="K98" s="1611"/>
    </row>
    <row r="99" spans="1:12" ht="12.75" customHeight="1" x14ac:dyDescent="0.2">
      <c r="A99" s="426" t="s">
        <v>816</v>
      </c>
      <c r="B99" s="428">
        <v>1950</v>
      </c>
      <c r="C99" s="1597"/>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c r="D107" s="1572"/>
      <c r="E107" s="1572"/>
      <c r="F107" s="1572"/>
      <c r="G107" s="1572"/>
      <c r="H107" s="1572"/>
      <c r="I107" s="1572"/>
      <c r="J107" s="1573"/>
      <c r="K107" s="1572"/>
    </row>
    <row r="108" spans="1:12" ht="12.75" customHeight="1" thickBot="1" x14ac:dyDescent="0.25">
      <c r="A108" s="1405" t="s">
        <v>484</v>
      </c>
      <c r="B108" s="1407"/>
      <c r="C108" s="1632">
        <f>SUM(C95:C107)</f>
        <v>40107</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47186</v>
      </c>
      <c r="D109" s="1640">
        <f t="shared" si="4"/>
        <v>0</v>
      </c>
      <c r="E109" s="1640">
        <f t="shared" si="4"/>
        <v>0</v>
      </c>
      <c r="F109" s="1640">
        <f t="shared" si="4"/>
        <v>0</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0</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v>845653</v>
      </c>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845653</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c r="G152" s="1573"/>
      <c r="H152" s="1574"/>
      <c r="I152" s="1574"/>
      <c r="J152" s="1574"/>
      <c r="K152" s="1574"/>
    </row>
    <row r="153" spans="1:11" ht="12.75" customHeight="1" x14ac:dyDescent="0.2">
      <c r="A153" s="426" t="s">
        <v>1048</v>
      </c>
      <c r="B153" s="477">
        <v>3510</v>
      </c>
      <c r="C153" s="1631"/>
      <c r="D153" s="1572"/>
      <c r="E153" s="1639"/>
      <c r="F153" s="1572"/>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0</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845653</v>
      </c>
      <c r="D169" s="1657">
        <f t="shared" si="6"/>
        <v>0</v>
      </c>
      <c r="E169" s="1657">
        <f t="shared" si="6"/>
        <v>0</v>
      </c>
      <c r="F169" s="1657">
        <f t="shared" si="6"/>
        <v>0</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845653</v>
      </c>
      <c r="D170" s="1640">
        <f t="shared" si="7"/>
        <v>0</v>
      </c>
      <c r="E170" s="1640">
        <f t="shared" si="7"/>
        <v>0</v>
      </c>
      <c r="F170" s="1640">
        <f t="shared" si="7"/>
        <v>0</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c r="D193" s="1574"/>
      <c r="E193" s="1639"/>
      <c r="F193" s="1574"/>
      <c r="G193" s="1663"/>
      <c r="H193" s="1574"/>
      <c r="I193" s="1574"/>
      <c r="J193" s="1574"/>
      <c r="K193" s="1574"/>
    </row>
    <row r="194" spans="1:11" ht="12.75" customHeight="1" x14ac:dyDescent="0.2">
      <c r="A194" s="426" t="s">
        <v>1434</v>
      </c>
      <c r="B194" s="428">
        <v>4225</v>
      </c>
      <c r="C194" s="1631"/>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0</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v>664469</v>
      </c>
      <c r="D220" s="1572"/>
      <c r="E220" s="1574"/>
      <c r="F220" s="1574"/>
      <c r="G220" s="1572"/>
      <c r="H220" s="1574"/>
      <c r="I220" s="1574"/>
      <c r="J220" s="1574"/>
      <c r="K220" s="1574"/>
    </row>
    <row r="221" spans="1:11" ht="12.75" customHeight="1" thickBot="1" x14ac:dyDescent="0.25">
      <c r="A221" s="1414" t="s">
        <v>1076</v>
      </c>
      <c r="B221" s="1415"/>
      <c r="C221" s="1632">
        <f>SUM(C219:C220)</f>
        <v>664469</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664469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664469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1557308</v>
      </c>
      <c r="D268" s="1640">
        <f t="shared" si="12"/>
        <v>0</v>
      </c>
      <c r="E268" s="1640">
        <f t="shared" si="12"/>
        <v>0</v>
      </c>
      <c r="F268" s="1640">
        <f t="shared" si="12"/>
        <v>0</v>
      </c>
      <c r="G268" s="1640">
        <f t="shared" si="12"/>
        <v>0</v>
      </c>
      <c r="H268" s="1640">
        <f t="shared" si="12"/>
        <v>0</v>
      </c>
      <c r="I268" s="1640">
        <f t="shared" si="12"/>
        <v>0</v>
      </c>
      <c r="J268" s="1640">
        <f t="shared" si="12"/>
        <v>0</v>
      </c>
      <c r="K268" s="1628">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A1:N368"/>
  <sheetViews>
    <sheetView showGridLines="0" defaultGridColor="0" colorId="8" zoomScale="110" zoomScaleNormal="110" workbookViewId="0">
      <pane ySplit="2" topLeftCell="A92" activePane="bottomLeft" state="frozen"/>
      <selection pane="bottomLeft" activeCell="G100" sqref="G100"/>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8"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6" t="s">
        <v>294</v>
      </c>
      <c r="B3" s="2267"/>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c r="D5" s="1572"/>
      <c r="E5" s="1572"/>
      <c r="F5" s="1572"/>
      <c r="G5" s="1572"/>
      <c r="H5" s="1572"/>
      <c r="I5" s="1573"/>
      <c r="J5" s="1573"/>
      <c r="K5" s="1671">
        <f>SUM(C5:J5)</f>
        <v>0</v>
      </c>
      <c r="L5" s="1572"/>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c r="D7" s="1573"/>
      <c r="E7" s="1573"/>
      <c r="F7" s="1573"/>
      <c r="G7" s="1573"/>
      <c r="H7" s="1573"/>
      <c r="I7" s="1573"/>
      <c r="J7" s="1573"/>
      <c r="K7" s="1671">
        <f t="shared" ref="K7:K32" si="0">SUM(C7:J7)</f>
        <v>0</v>
      </c>
      <c r="L7" s="1572"/>
    </row>
    <row r="8" spans="1:14" x14ac:dyDescent="0.2">
      <c r="A8" s="1273" t="s">
        <v>163</v>
      </c>
      <c r="B8" s="502">
        <v>1200</v>
      </c>
      <c r="C8" s="1572"/>
      <c r="D8" s="1572"/>
      <c r="E8" s="1572"/>
      <c r="F8" s="1572"/>
      <c r="G8" s="1572"/>
      <c r="H8" s="1572"/>
      <c r="I8" s="1573"/>
      <c r="J8" s="1573"/>
      <c r="K8" s="1671">
        <f t="shared" si="0"/>
        <v>0</v>
      </c>
      <c r="L8" s="1572"/>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c r="D14" s="1572"/>
      <c r="E14" s="1572"/>
      <c r="F14" s="1572"/>
      <c r="G14" s="1572"/>
      <c r="H14" s="1572"/>
      <c r="I14" s="1573"/>
      <c r="J14" s="1573"/>
      <c r="K14" s="1671">
        <f t="shared" si="0"/>
        <v>0</v>
      </c>
      <c r="L14" s="1572"/>
    </row>
    <row r="15" spans="1:14" x14ac:dyDescent="0.2">
      <c r="A15" s="1273" t="s">
        <v>958</v>
      </c>
      <c r="B15" s="502">
        <v>1600</v>
      </c>
      <c r="C15" s="1572"/>
      <c r="D15" s="1572"/>
      <c r="E15" s="1572"/>
      <c r="F15" s="1572"/>
      <c r="G15" s="1572"/>
      <c r="H15" s="1572"/>
      <c r="I15" s="1573"/>
      <c r="J15" s="1573"/>
      <c r="K15" s="1671">
        <f t="shared" si="0"/>
        <v>0</v>
      </c>
      <c r="L15" s="1572"/>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c r="D18" s="1572"/>
      <c r="E18" s="1572"/>
      <c r="F18" s="1572"/>
      <c r="G18" s="1572"/>
      <c r="H18" s="1572"/>
      <c r="I18" s="1573"/>
      <c r="J18" s="1573"/>
      <c r="K18" s="1671">
        <f t="shared" si="0"/>
        <v>0</v>
      </c>
      <c r="L18" s="1572"/>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0</v>
      </c>
      <c r="D33" s="1673">
        <f t="shared" ref="D33:L33" si="1">SUM(D5:D32)</f>
        <v>0</v>
      </c>
      <c r="E33" s="1673">
        <f t="shared" si="1"/>
        <v>0</v>
      </c>
      <c r="F33" s="1673">
        <f t="shared" si="1"/>
        <v>0</v>
      </c>
      <c r="G33" s="1673">
        <f t="shared" si="1"/>
        <v>0</v>
      </c>
      <c r="H33" s="1673">
        <f t="shared" si="1"/>
        <v>0</v>
      </c>
      <c r="I33" s="1673">
        <f t="shared" si="1"/>
        <v>0</v>
      </c>
      <c r="J33" s="1673">
        <f t="shared" si="1"/>
        <v>0</v>
      </c>
      <c r="K33" s="1673">
        <f t="shared" si="1"/>
        <v>0</v>
      </c>
      <c r="L33" s="1673">
        <f t="shared" si="1"/>
        <v>0</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c r="D36" s="1585"/>
      <c r="E36" s="1585"/>
      <c r="F36" s="1585"/>
      <c r="G36" s="1585"/>
      <c r="H36" s="1585"/>
      <c r="I36" s="1573"/>
      <c r="J36" s="1573"/>
      <c r="K36" s="1671">
        <f t="shared" ref="K36:K41" si="2">SUM(C36:J36)</f>
        <v>0</v>
      </c>
      <c r="L36" s="1572"/>
    </row>
    <row r="37" spans="1:14" x14ac:dyDescent="0.2">
      <c r="A37" s="1273" t="s">
        <v>1081</v>
      </c>
      <c r="B37" s="502">
        <v>2120</v>
      </c>
      <c r="C37" s="1572"/>
      <c r="D37" s="1572"/>
      <c r="E37" s="1572"/>
      <c r="F37" s="1572"/>
      <c r="G37" s="1572"/>
      <c r="H37" s="1572"/>
      <c r="I37" s="1573"/>
      <c r="J37" s="1573"/>
      <c r="K37" s="1671">
        <f t="shared" si="2"/>
        <v>0</v>
      </c>
      <c r="L37" s="1572"/>
    </row>
    <row r="38" spans="1:14" x14ac:dyDescent="0.2">
      <c r="A38" s="1273" t="s">
        <v>196</v>
      </c>
      <c r="B38" s="502">
        <v>2130</v>
      </c>
      <c r="C38" s="1572"/>
      <c r="D38" s="1572"/>
      <c r="E38" s="1572"/>
      <c r="F38" s="1572"/>
      <c r="G38" s="1572"/>
      <c r="H38" s="1572"/>
      <c r="I38" s="1573"/>
      <c r="J38" s="1573"/>
      <c r="K38" s="1671">
        <f t="shared" si="2"/>
        <v>0</v>
      </c>
      <c r="L38" s="1572"/>
    </row>
    <row r="39" spans="1:14" x14ac:dyDescent="0.2">
      <c r="A39" s="1273" t="s">
        <v>197</v>
      </c>
      <c r="B39" s="502">
        <v>2140</v>
      </c>
      <c r="C39" s="1572"/>
      <c r="D39" s="1572"/>
      <c r="E39" s="1572"/>
      <c r="F39" s="1572"/>
      <c r="G39" s="1572"/>
      <c r="H39" s="1572"/>
      <c r="I39" s="1573"/>
      <c r="J39" s="1573"/>
      <c r="K39" s="1671">
        <f t="shared" si="2"/>
        <v>0</v>
      </c>
      <c r="L39" s="1572"/>
    </row>
    <row r="40" spans="1:14" x14ac:dyDescent="0.2">
      <c r="A40" s="1273" t="s">
        <v>198</v>
      </c>
      <c r="B40" s="502">
        <v>2150</v>
      </c>
      <c r="C40" s="1572"/>
      <c r="D40" s="1572"/>
      <c r="E40" s="1572"/>
      <c r="F40" s="1572"/>
      <c r="G40" s="1572"/>
      <c r="H40" s="1572"/>
      <c r="I40" s="1573"/>
      <c r="J40" s="1573"/>
      <c r="K40" s="1671">
        <f t="shared" si="2"/>
        <v>0</v>
      </c>
      <c r="L40" s="1572"/>
    </row>
    <row r="41" spans="1:14" x14ac:dyDescent="0.2">
      <c r="A41" s="1273" t="s">
        <v>1650</v>
      </c>
      <c r="B41" s="502">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0</v>
      </c>
      <c r="F42" s="1673">
        <f t="shared" si="3"/>
        <v>0</v>
      </c>
      <c r="G42" s="1673">
        <f t="shared" si="3"/>
        <v>0</v>
      </c>
      <c r="H42" s="1673">
        <f t="shared" si="3"/>
        <v>0</v>
      </c>
      <c r="I42" s="1673">
        <f t="shared" si="3"/>
        <v>0</v>
      </c>
      <c r="J42" s="1673">
        <f t="shared" si="3"/>
        <v>0</v>
      </c>
      <c r="K42" s="1673">
        <f t="shared" si="3"/>
        <v>0</v>
      </c>
      <c r="L42" s="1673">
        <f t="shared" si="3"/>
        <v>0</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v>126699</v>
      </c>
      <c r="D44" s="1585">
        <v>11675</v>
      </c>
      <c r="E44" s="1585">
        <v>9116</v>
      </c>
      <c r="F44" s="1585"/>
      <c r="G44" s="1585"/>
      <c r="H44" s="1585"/>
      <c r="I44" s="1573"/>
      <c r="J44" s="1573"/>
      <c r="K44" s="1677">
        <f>SUM(C44:J44)</f>
        <v>147490</v>
      </c>
      <c r="L44" s="1585">
        <v>147342</v>
      </c>
    </row>
    <row r="45" spans="1:14" x14ac:dyDescent="0.2">
      <c r="A45" s="1273" t="s">
        <v>810</v>
      </c>
      <c r="B45" s="502">
        <v>2220</v>
      </c>
      <c r="C45" s="1572"/>
      <c r="D45" s="1572"/>
      <c r="E45" s="1572"/>
      <c r="F45" s="1572"/>
      <c r="G45" s="1572"/>
      <c r="H45" s="1572"/>
      <c r="I45" s="1573"/>
      <c r="J45" s="1573"/>
      <c r="K45" s="1677">
        <f>SUM(C45:J45)</f>
        <v>0</v>
      </c>
      <c r="L45" s="1572"/>
    </row>
    <row r="46" spans="1:14" x14ac:dyDescent="0.2">
      <c r="A46" s="1273" t="s">
        <v>811</v>
      </c>
      <c r="B46" s="502">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126699</v>
      </c>
      <c r="D47" s="1673">
        <f t="shared" ref="D47:K47" si="4">SUM(D44:D46)</f>
        <v>11675</v>
      </c>
      <c r="E47" s="1673">
        <f t="shared" si="4"/>
        <v>9116</v>
      </c>
      <c r="F47" s="1673">
        <f t="shared" si="4"/>
        <v>0</v>
      </c>
      <c r="G47" s="1673">
        <f t="shared" si="4"/>
        <v>0</v>
      </c>
      <c r="H47" s="1673">
        <f t="shared" si="4"/>
        <v>0</v>
      </c>
      <c r="I47" s="1673">
        <f t="shared" si="4"/>
        <v>0</v>
      </c>
      <c r="J47" s="1673">
        <f t="shared" si="4"/>
        <v>0</v>
      </c>
      <c r="K47" s="1673">
        <f t="shared" si="4"/>
        <v>147490</v>
      </c>
      <c r="L47" s="1673">
        <f>SUM(L44:L46)</f>
        <v>147342</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c r="D49" s="1585"/>
      <c r="E49" s="1585"/>
      <c r="F49" s="1585"/>
      <c r="G49" s="1585"/>
      <c r="H49" s="1585"/>
      <c r="I49" s="1573"/>
      <c r="J49" s="1573"/>
      <c r="K49" s="1677">
        <f>SUM(C49:J49)</f>
        <v>0</v>
      </c>
      <c r="L49" s="1585"/>
    </row>
    <row r="50" spans="1:14" x14ac:dyDescent="0.2">
      <c r="A50" s="1273" t="s">
        <v>813</v>
      </c>
      <c r="B50" s="502">
        <v>2320</v>
      </c>
      <c r="C50" s="1572">
        <v>90679</v>
      </c>
      <c r="D50" s="1572">
        <v>29129</v>
      </c>
      <c r="E50" s="1572">
        <v>29856</v>
      </c>
      <c r="F50" s="1572">
        <v>2806</v>
      </c>
      <c r="G50" s="1572"/>
      <c r="H50" s="1572">
        <v>310</v>
      </c>
      <c r="I50" s="1573"/>
      <c r="J50" s="1573"/>
      <c r="K50" s="1677">
        <f>SUM(C50:J50)</f>
        <v>152780</v>
      </c>
      <c r="L50" s="1572">
        <v>143438</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90679</v>
      </c>
      <c r="D53" s="1673">
        <f t="shared" ref="D53:L53" si="5">SUM(D49:D52)</f>
        <v>29129</v>
      </c>
      <c r="E53" s="1673">
        <f t="shared" si="5"/>
        <v>29856</v>
      </c>
      <c r="F53" s="1673">
        <f t="shared" si="5"/>
        <v>2806</v>
      </c>
      <c r="G53" s="1673">
        <f t="shared" si="5"/>
        <v>0</v>
      </c>
      <c r="H53" s="1673">
        <f t="shared" si="5"/>
        <v>310</v>
      </c>
      <c r="I53" s="1673">
        <f t="shared" si="5"/>
        <v>0</v>
      </c>
      <c r="J53" s="1673">
        <f t="shared" si="5"/>
        <v>0</v>
      </c>
      <c r="K53" s="1673">
        <f t="shared" si="5"/>
        <v>152780</v>
      </c>
      <c r="L53" s="1673">
        <f t="shared" si="5"/>
        <v>143438</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c r="D55" s="1585"/>
      <c r="E55" s="1585"/>
      <c r="F55" s="1585"/>
      <c r="G55" s="1585"/>
      <c r="H55" s="1585"/>
      <c r="I55" s="1573"/>
      <c r="J55" s="1573"/>
      <c r="K55" s="1677">
        <f>SUM(C55:J55)</f>
        <v>0</v>
      </c>
      <c r="L55" s="1585"/>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0</v>
      </c>
      <c r="D57" s="1678">
        <f t="shared" ref="D57:K57" si="6">SUM(D55:D56)</f>
        <v>0</v>
      </c>
      <c r="E57" s="1678">
        <f t="shared" si="6"/>
        <v>0</v>
      </c>
      <c r="F57" s="1678">
        <f t="shared" si="6"/>
        <v>0</v>
      </c>
      <c r="G57" s="1678">
        <f t="shared" si="6"/>
        <v>0</v>
      </c>
      <c r="H57" s="1678">
        <f t="shared" si="6"/>
        <v>0</v>
      </c>
      <c r="I57" s="1678">
        <f t="shared" si="6"/>
        <v>0</v>
      </c>
      <c r="J57" s="1678">
        <f t="shared" si="6"/>
        <v>0</v>
      </c>
      <c r="K57" s="1678">
        <f t="shared" si="6"/>
        <v>0</v>
      </c>
      <c r="L57" s="1673">
        <f>SUM(L55:L56)</f>
        <v>0</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c r="D60" s="1572"/>
      <c r="E60" s="1572"/>
      <c r="F60" s="1572"/>
      <c r="G60" s="1572"/>
      <c r="H60" s="1572"/>
      <c r="I60" s="1573"/>
      <c r="J60" s="1573"/>
      <c r="K60" s="1677">
        <f t="shared" si="7"/>
        <v>0</v>
      </c>
      <c r="L60" s="1572"/>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c r="D63" s="1572"/>
      <c r="E63" s="1572"/>
      <c r="F63" s="1572"/>
      <c r="G63" s="1572"/>
      <c r="H63" s="1572"/>
      <c r="I63" s="1573"/>
      <c r="J63" s="1573"/>
      <c r="K63" s="1677">
        <f t="shared" si="7"/>
        <v>0</v>
      </c>
      <c r="L63" s="1572"/>
    </row>
    <row r="64" spans="1:14" s="500" customFormat="1" x14ac:dyDescent="0.2">
      <c r="A64" s="1278" t="s">
        <v>101</v>
      </c>
      <c r="B64" s="512">
        <v>2570</v>
      </c>
      <c r="C64" s="1585"/>
      <c r="D64" s="1585"/>
      <c r="E64" s="1585"/>
      <c r="F64" s="1585"/>
      <c r="G64" s="1585"/>
      <c r="H64" s="1585"/>
      <c r="I64" s="1573"/>
      <c r="J64" s="1573"/>
      <c r="K64" s="1677">
        <f t="shared" si="7"/>
        <v>0</v>
      </c>
      <c r="L64" s="1585"/>
    </row>
    <row r="65" spans="1:14" s="320" customFormat="1" ht="12.75" customHeight="1" thickBot="1" x14ac:dyDescent="0.25">
      <c r="A65" s="1379" t="s">
        <v>714</v>
      </c>
      <c r="B65" s="1380" t="s">
        <v>35</v>
      </c>
      <c r="C65" s="1673">
        <f>SUM(C59:C64)</f>
        <v>0</v>
      </c>
      <c r="D65" s="1673">
        <f t="shared" ref="D65:L65" si="8">SUM(D59:D64)</f>
        <v>0</v>
      </c>
      <c r="E65" s="1673">
        <f t="shared" si="8"/>
        <v>0</v>
      </c>
      <c r="F65" s="1673">
        <f t="shared" si="8"/>
        <v>0</v>
      </c>
      <c r="G65" s="1673">
        <f t="shared" si="8"/>
        <v>0</v>
      </c>
      <c r="H65" s="1673">
        <f t="shared" si="8"/>
        <v>0</v>
      </c>
      <c r="I65" s="1673">
        <f t="shared" si="8"/>
        <v>0</v>
      </c>
      <c r="J65" s="1673">
        <f t="shared" si="8"/>
        <v>0</v>
      </c>
      <c r="K65" s="1673">
        <f t="shared" si="8"/>
        <v>0</v>
      </c>
      <c r="L65" s="1673">
        <f t="shared" si="8"/>
        <v>0</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217378</v>
      </c>
      <c r="D74" s="1680">
        <f t="shared" ref="D74:K74" si="10">SUM(D42,D47,D53,D57,D65,D72,D73)</f>
        <v>40804</v>
      </c>
      <c r="E74" s="1680">
        <f t="shared" si="10"/>
        <v>38972</v>
      </c>
      <c r="F74" s="1680">
        <f t="shared" si="10"/>
        <v>2806</v>
      </c>
      <c r="G74" s="1680">
        <f t="shared" si="10"/>
        <v>0</v>
      </c>
      <c r="H74" s="1680">
        <f t="shared" si="10"/>
        <v>310</v>
      </c>
      <c r="I74" s="1680">
        <f t="shared" si="10"/>
        <v>0</v>
      </c>
      <c r="J74" s="1680">
        <f t="shared" si="10"/>
        <v>0</v>
      </c>
      <c r="K74" s="1680">
        <f t="shared" si="10"/>
        <v>300270</v>
      </c>
      <c r="L74" s="1680">
        <f>SUM(L42,L47,L53,L57,L65,L72,L73)</f>
        <v>290780</v>
      </c>
    </row>
    <row r="75" spans="1:14" s="253" customFormat="1" ht="15.75" customHeight="1" thickTop="1" thickBot="1" x14ac:dyDescent="0.25">
      <c r="A75" s="1347" t="s">
        <v>47</v>
      </c>
      <c r="B75" s="1348" t="s">
        <v>571</v>
      </c>
      <c r="C75" s="1648"/>
      <c r="D75" s="1648"/>
      <c r="E75" s="1648"/>
      <c r="F75" s="1648"/>
      <c r="G75" s="1648"/>
      <c r="H75" s="1648"/>
      <c r="I75" s="1626"/>
      <c r="J75" s="1626"/>
      <c r="K75" s="1673">
        <f>SUM(C75:J75)</f>
        <v>0</v>
      </c>
      <c r="L75" s="1650"/>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c r="F79" s="1672"/>
      <c r="G79" s="1672"/>
      <c r="H79" s="1572"/>
      <c r="I79" s="1581"/>
      <c r="J79" s="1581"/>
      <c r="K79" s="1671">
        <f t="shared" si="11"/>
        <v>0</v>
      </c>
      <c r="L79" s="1572"/>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v>1257038</v>
      </c>
      <c r="I96" s="1581"/>
      <c r="J96" s="1581"/>
      <c r="K96" s="1680">
        <f t="shared" si="12"/>
        <v>1257038</v>
      </c>
      <c r="L96" s="1625">
        <v>1232070</v>
      </c>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1257038</v>
      </c>
      <c r="I100" s="1581"/>
      <c r="J100" s="1581"/>
      <c r="K100" s="1680">
        <f>SUM(K93:K99)</f>
        <v>1257038</v>
      </c>
      <c r="L100" s="1680">
        <f>SUM(L93:L99)</f>
        <v>1232070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1257038</v>
      </c>
      <c r="I102" s="1581"/>
      <c r="J102" s="1581"/>
      <c r="K102" s="1680">
        <f>SUM(K84,K92,K100,K101)</f>
        <v>1257038</v>
      </c>
      <c r="L102" s="1680">
        <f>SUM(L84,L92,L100,L101)</f>
        <v>1232070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217378</v>
      </c>
      <c r="D114" s="1673">
        <f t="shared" ref="D114:K114" si="13">SUM(D33,D74,D75,D102,D112,D113)</f>
        <v>40804</v>
      </c>
      <c r="E114" s="1673">
        <f t="shared" si="13"/>
        <v>38972</v>
      </c>
      <c r="F114" s="1673">
        <f t="shared" si="13"/>
        <v>2806</v>
      </c>
      <c r="G114" s="1673">
        <f t="shared" si="13"/>
        <v>0</v>
      </c>
      <c r="H114" s="1673">
        <f>SUM(H33,H74,H75,H102,H112,H113)</f>
        <v>1257348</v>
      </c>
      <c r="I114" s="1673">
        <f t="shared" si="13"/>
        <v>0</v>
      </c>
      <c r="J114" s="1673">
        <f t="shared" si="13"/>
        <v>0</v>
      </c>
      <c r="K114" s="1673">
        <f t="shared" si="13"/>
        <v>1557308</v>
      </c>
      <c r="L114" s="1673">
        <f>SUM(L33,L74,L75,L102,L112,L113)</f>
        <v>1522850</v>
      </c>
    </row>
    <row r="115" spans="1:14" ht="13.5" thickTop="1" x14ac:dyDescent="0.2">
      <c r="A115" s="2285" t="s">
        <v>989</v>
      </c>
      <c r="B115" s="2286"/>
      <c r="C115" s="1674"/>
      <c r="D115" s="1674"/>
      <c r="E115" s="1674"/>
      <c r="F115" s="1674"/>
      <c r="G115" s="1674"/>
      <c r="H115" s="1674"/>
      <c r="I115" s="1674"/>
      <c r="J115" s="1674"/>
      <c r="K115" s="1688">
        <f>'Revenues 9-14'!C268-'Expenditures 15-22'!K114</f>
        <v>0</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3" t="s">
        <v>293</v>
      </c>
      <c r="B117" s="2264"/>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c r="D124" s="1572"/>
      <c r="E124" s="1572"/>
      <c r="F124" s="1572"/>
      <c r="G124" s="1572"/>
      <c r="H124" s="1572"/>
      <c r="I124" s="1573"/>
      <c r="J124" s="1573"/>
      <c r="K124" s="1673">
        <f>SUM(C124:J124)</f>
        <v>0</v>
      </c>
      <c r="L124" s="1572"/>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0</v>
      </c>
      <c r="H127" s="1673">
        <f t="shared" si="14"/>
        <v>0</v>
      </c>
      <c r="I127" s="1673">
        <f t="shared" si="14"/>
        <v>0</v>
      </c>
      <c r="J127" s="1673">
        <f t="shared" si="14"/>
        <v>0</v>
      </c>
      <c r="K127" s="1673">
        <f t="shared" si="14"/>
        <v>0</v>
      </c>
      <c r="L127" s="1673">
        <f t="shared" si="14"/>
        <v>0</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0</v>
      </c>
      <c r="H129" s="1680">
        <f t="shared" si="15"/>
        <v>0</v>
      </c>
      <c r="I129" s="1680">
        <f t="shared" si="15"/>
        <v>0</v>
      </c>
      <c r="J129" s="1680">
        <f t="shared" si="15"/>
        <v>0</v>
      </c>
      <c r="K129" s="1680">
        <f t="shared" si="15"/>
        <v>0</v>
      </c>
      <c r="L129" s="1680">
        <f t="shared" si="15"/>
        <v>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0</v>
      </c>
      <c r="D151" s="1673">
        <f t="shared" ref="D151:K151" si="16">SUM(D129,D130,D139,D149,D150)</f>
        <v>0</v>
      </c>
      <c r="E151" s="1673">
        <f t="shared" si="16"/>
        <v>0</v>
      </c>
      <c r="F151" s="1673">
        <f t="shared" si="16"/>
        <v>0</v>
      </c>
      <c r="G151" s="1673">
        <f t="shared" si="16"/>
        <v>0</v>
      </c>
      <c r="H151" s="1673">
        <f t="shared" si="16"/>
        <v>0</v>
      </c>
      <c r="I151" s="1673">
        <f t="shared" si="16"/>
        <v>0</v>
      </c>
      <c r="J151" s="1673">
        <f t="shared" si="16"/>
        <v>0</v>
      </c>
      <c r="K151" s="1673">
        <f t="shared" si="16"/>
        <v>0</v>
      </c>
      <c r="L151" s="1673">
        <f>SUM(L129,L130,L139,L149,L150)</f>
        <v>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0</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3" t="s">
        <v>617</v>
      </c>
      <c r="B154" s="2265"/>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c r="I169" s="1672"/>
      <c r="J169" s="1672"/>
      <c r="K169" s="1671">
        <f>SUM(C169:H169)</f>
        <v>0</v>
      </c>
      <c r="L169" s="1694"/>
    </row>
    <row r="170" spans="1:14" ht="33.75" customHeight="1" x14ac:dyDescent="0.2">
      <c r="A170" s="542" t="s">
        <v>1651</v>
      </c>
      <c r="B170" s="544" t="s">
        <v>31</v>
      </c>
      <c r="C170" s="1672"/>
      <c r="D170" s="1672"/>
      <c r="E170" s="1672"/>
      <c r="F170" s="1672"/>
      <c r="G170" s="1672"/>
      <c r="H170" s="1645"/>
      <c r="I170" s="1672"/>
      <c r="J170" s="1672"/>
      <c r="K170" s="1671">
        <f>SUM(C170:J170)</f>
        <v>0</v>
      </c>
      <c r="L170" s="1645"/>
    </row>
    <row r="171" spans="1:14" ht="15.75" customHeight="1" x14ac:dyDescent="0.2">
      <c r="A171" s="506" t="s">
        <v>761</v>
      </c>
      <c r="B171" s="545"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85" t="s">
        <v>989</v>
      </c>
      <c r="B175" s="2286"/>
      <c r="C175" s="1672"/>
      <c r="D175" s="1672"/>
      <c r="E175" s="1672"/>
      <c r="F175" s="1672"/>
      <c r="G175" s="1672"/>
      <c r="H175" s="1674"/>
      <c r="I175" s="1672"/>
      <c r="J175" s="1672"/>
      <c r="K175" s="1688">
        <f>'Revenues 9-14'!E268-'Expenditures 15-22'!K174</f>
        <v>0</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c r="D182" s="1572"/>
      <c r="E182" s="1572"/>
      <c r="F182" s="1572"/>
      <c r="G182" s="1572"/>
      <c r="H182" s="1572"/>
      <c r="I182" s="1573"/>
      <c r="J182" s="1573"/>
      <c r="K182" s="1671">
        <f>SUM(C182:J182)</f>
        <v>0</v>
      </c>
      <c r="L182" s="1572"/>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0</v>
      </c>
      <c r="G184" s="1680">
        <f t="shared" si="17"/>
        <v>0</v>
      </c>
      <c r="H184" s="1680">
        <f t="shared" si="17"/>
        <v>0</v>
      </c>
      <c r="I184" s="1680">
        <f t="shared" si="17"/>
        <v>0</v>
      </c>
      <c r="J184" s="1680">
        <f t="shared" si="17"/>
        <v>0</v>
      </c>
      <c r="K184" s="1680">
        <f>SUM(K180,K182,K183)</f>
        <v>0</v>
      </c>
      <c r="L184" s="1680">
        <f>SUM(L180, L182:L183)</f>
        <v>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0</v>
      </c>
      <c r="D210" s="1673">
        <f>SUM(D184,D185)</f>
        <v>0</v>
      </c>
      <c r="E210" s="1673">
        <f>SUM(E184,E185,E196)</f>
        <v>0</v>
      </c>
      <c r="F210" s="1673">
        <f>SUM(F184,F185)</f>
        <v>0</v>
      </c>
      <c r="G210" s="1673">
        <f>SUM(G184,G185)</f>
        <v>0</v>
      </c>
      <c r="H210" s="1673">
        <f>SUM(H184,H185,H196,H208,H209)</f>
        <v>0</v>
      </c>
      <c r="I210" s="1673">
        <f>SUM(I184,I185)</f>
        <v>0</v>
      </c>
      <c r="J210" s="1673">
        <f>SUM(J184,J185)</f>
        <v>0</v>
      </c>
      <c r="K210" s="1671">
        <f>SUM(K184,K185,K196,K208,K209)</f>
        <v>0</v>
      </c>
      <c r="L210" s="1673">
        <f>SUM(L184,L185,L196,L208,L209)</f>
        <v>0</v>
      </c>
    </row>
    <row r="211" spans="1:14" ht="13.5" thickTop="1" x14ac:dyDescent="0.2">
      <c r="A211" s="2285" t="s">
        <v>989</v>
      </c>
      <c r="B211" s="2286"/>
      <c r="C211" s="1674"/>
      <c r="D211" s="1674"/>
      <c r="E211" s="1674"/>
      <c r="F211" s="1674"/>
      <c r="G211" s="1674"/>
      <c r="H211" s="1674"/>
      <c r="I211" s="1672"/>
      <c r="J211" s="1672"/>
      <c r="K211" s="1688">
        <f>'Revenues 9-14'!F268-'Expenditures 15-22'!K210</f>
        <v>0</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0" t="s">
        <v>959</v>
      </c>
      <c r="B213" s="2281"/>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c r="E215" s="1672"/>
      <c r="F215" s="1672"/>
      <c r="G215" s="1672"/>
      <c r="H215" s="1672"/>
      <c r="I215" s="1672"/>
      <c r="J215" s="1672"/>
      <c r="K215" s="1671">
        <f>D215</f>
        <v>0</v>
      </c>
      <c r="L215" s="1572"/>
    </row>
    <row r="216" spans="1:14" x14ac:dyDescent="0.2">
      <c r="A216" s="1273" t="s">
        <v>162</v>
      </c>
      <c r="B216" s="502" t="s">
        <v>961</v>
      </c>
      <c r="C216" s="1672"/>
      <c r="D216" s="1573"/>
      <c r="E216" s="1672"/>
      <c r="F216" s="1672"/>
      <c r="G216" s="1672"/>
      <c r="H216" s="1672"/>
      <c r="I216" s="1672"/>
      <c r="J216" s="1672"/>
      <c r="K216" s="1671">
        <f t="shared" ref="K216:K228" si="19">D216</f>
        <v>0</v>
      </c>
      <c r="L216" s="1572"/>
    </row>
    <row r="217" spans="1:14" x14ac:dyDescent="0.2">
      <c r="A217" s="1273" t="s">
        <v>163</v>
      </c>
      <c r="B217" s="502">
        <v>1200</v>
      </c>
      <c r="C217" s="1672"/>
      <c r="D217" s="1572"/>
      <c r="E217" s="1672"/>
      <c r="F217" s="1672"/>
      <c r="G217" s="1672"/>
      <c r="H217" s="1672"/>
      <c r="I217" s="1672"/>
      <c r="J217" s="1672"/>
      <c r="K217" s="1671">
        <f t="shared" si="19"/>
        <v>0</v>
      </c>
      <c r="L217" s="1572"/>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c r="E223" s="1672"/>
      <c r="F223" s="1672"/>
      <c r="G223" s="1672"/>
      <c r="H223" s="1672"/>
      <c r="I223" s="1672"/>
      <c r="J223" s="1672"/>
      <c r="K223" s="1671">
        <f t="shared" si="19"/>
        <v>0</v>
      </c>
      <c r="L223" s="1572"/>
    </row>
    <row r="224" spans="1:14" x14ac:dyDescent="0.2">
      <c r="A224" s="1273" t="s">
        <v>958</v>
      </c>
      <c r="B224" s="502">
        <v>1600</v>
      </c>
      <c r="C224" s="1672"/>
      <c r="D224" s="1572"/>
      <c r="E224" s="1672"/>
      <c r="F224" s="1672"/>
      <c r="G224" s="1672"/>
      <c r="H224" s="1672"/>
      <c r="I224" s="1672"/>
      <c r="J224" s="1672"/>
      <c r="K224" s="1671">
        <f t="shared" si="19"/>
        <v>0</v>
      </c>
      <c r="L224" s="1572"/>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c r="E227" s="1672"/>
      <c r="F227" s="1672"/>
      <c r="G227" s="1672"/>
      <c r="H227" s="1672"/>
      <c r="I227" s="1672"/>
      <c r="J227" s="1672"/>
      <c r="K227" s="1671">
        <f t="shared" si="19"/>
        <v>0</v>
      </c>
      <c r="L227" s="1572"/>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c r="E232" s="1672"/>
      <c r="F232" s="1672"/>
      <c r="G232" s="1672"/>
      <c r="H232" s="1672"/>
      <c r="I232" s="1672"/>
      <c r="J232" s="1672"/>
      <c r="K232" s="1671">
        <f t="shared" ref="K232:K237" si="20">D232</f>
        <v>0</v>
      </c>
      <c r="L232" s="1572"/>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c r="E234" s="1672"/>
      <c r="F234" s="1672"/>
      <c r="G234" s="1672"/>
      <c r="H234" s="1672"/>
      <c r="I234" s="1672"/>
      <c r="J234" s="1672"/>
      <c r="K234" s="1671">
        <f t="shared" si="20"/>
        <v>0</v>
      </c>
      <c r="L234" s="1572"/>
    </row>
    <row r="235" spans="1:12" x14ac:dyDescent="0.2">
      <c r="A235" s="1273" t="s">
        <v>197</v>
      </c>
      <c r="B235" s="502">
        <v>2140</v>
      </c>
      <c r="C235" s="1672"/>
      <c r="D235" s="1572"/>
      <c r="E235" s="1672"/>
      <c r="F235" s="1672"/>
      <c r="G235" s="1672"/>
      <c r="H235" s="1672"/>
      <c r="I235" s="1672"/>
      <c r="J235" s="1672"/>
      <c r="K235" s="1671">
        <f t="shared" si="20"/>
        <v>0</v>
      </c>
      <c r="L235" s="1572"/>
    </row>
    <row r="236" spans="1:12" x14ac:dyDescent="0.2">
      <c r="A236" s="1273" t="s">
        <v>198</v>
      </c>
      <c r="B236" s="502">
        <v>2150</v>
      </c>
      <c r="C236" s="1672"/>
      <c r="D236" s="1572"/>
      <c r="E236" s="1672"/>
      <c r="F236" s="1672"/>
      <c r="G236" s="1672"/>
      <c r="H236" s="1672"/>
      <c r="I236" s="1672"/>
      <c r="J236" s="1672"/>
      <c r="K236" s="1671">
        <f t="shared" si="20"/>
        <v>0</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c r="E241" s="1672"/>
      <c r="F241" s="1672"/>
      <c r="G241" s="1672"/>
      <c r="H241" s="1672"/>
      <c r="I241" s="1672"/>
      <c r="J241" s="1672"/>
      <c r="K241" s="1677">
        <f>D241</f>
        <v>0</v>
      </c>
      <c r="L241" s="1572"/>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c r="E245" s="1672"/>
      <c r="F245" s="1672"/>
      <c r="G245" s="1672"/>
      <c r="H245" s="1672"/>
      <c r="I245" s="1672"/>
      <c r="J245" s="1672"/>
      <c r="K245" s="1677">
        <f>D245</f>
        <v>0</v>
      </c>
      <c r="L245" s="1585"/>
    </row>
    <row r="246" spans="1:12" x14ac:dyDescent="0.2">
      <c r="A246" s="1273" t="s">
        <v>813</v>
      </c>
      <c r="B246" s="502">
        <v>2320</v>
      </c>
      <c r="C246" s="1672"/>
      <c r="D246" s="1572"/>
      <c r="E246" s="1672"/>
      <c r="F246" s="1672"/>
      <c r="G246" s="1672"/>
      <c r="H246" s="1672"/>
      <c r="I246" s="1672"/>
      <c r="J246" s="1672"/>
      <c r="K246" s="1677">
        <f t="shared" ref="K246:K256" si="21">D246</f>
        <v>0</v>
      </c>
      <c r="L246" s="1572"/>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c r="E259" s="1672"/>
      <c r="F259" s="1672"/>
      <c r="G259" s="1672"/>
      <c r="H259" s="1672"/>
      <c r="I259" s="1672"/>
      <c r="J259" s="1672"/>
      <c r="K259" s="1677">
        <f>D259</f>
        <v>0</v>
      </c>
      <c r="L259" s="1585"/>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c r="E264" s="1672"/>
      <c r="F264" s="1672"/>
      <c r="G264" s="1672"/>
      <c r="H264" s="1672"/>
      <c r="I264" s="1672"/>
      <c r="J264" s="1672"/>
      <c r="K264" s="1677">
        <f t="shared" ref="K264:K269" si="22">D264</f>
        <v>0</v>
      </c>
      <c r="L264" s="1572"/>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c r="E266" s="1672"/>
      <c r="F266" s="1672"/>
      <c r="G266" s="1672"/>
      <c r="H266" s="1672"/>
      <c r="I266" s="1672"/>
      <c r="J266" s="1672"/>
      <c r="K266" s="1677">
        <f t="shared" si="22"/>
        <v>0</v>
      </c>
      <c r="L266" s="1572"/>
    </row>
    <row r="267" spans="1:14" x14ac:dyDescent="0.2">
      <c r="A267" s="1273" t="s">
        <v>947</v>
      </c>
      <c r="B267" s="502">
        <v>2550</v>
      </c>
      <c r="C267" s="1672"/>
      <c r="D267" s="1572"/>
      <c r="E267" s="1672"/>
      <c r="F267" s="1672"/>
      <c r="G267" s="1672"/>
      <c r="H267" s="1672"/>
      <c r="I267" s="1672"/>
      <c r="J267" s="1672"/>
      <c r="K267" s="1677">
        <f t="shared" si="22"/>
        <v>0</v>
      </c>
      <c r="L267" s="1572"/>
    </row>
    <row r="268" spans="1:14" x14ac:dyDescent="0.2">
      <c r="A268" s="1273" t="s">
        <v>100</v>
      </c>
      <c r="B268" s="502">
        <v>2560</v>
      </c>
      <c r="C268" s="1672"/>
      <c r="D268" s="1572"/>
      <c r="E268" s="1672"/>
      <c r="F268" s="1672"/>
      <c r="G268" s="1672"/>
      <c r="H268" s="1672"/>
      <c r="I268" s="1672"/>
      <c r="J268" s="1672"/>
      <c r="K268" s="1677">
        <f t="shared" si="22"/>
        <v>0</v>
      </c>
      <c r="L268" s="1572"/>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285" t="s">
        <v>989</v>
      </c>
      <c r="B296" s="2286"/>
      <c r="C296" s="1672"/>
      <c r="D296" s="1674"/>
      <c r="E296" s="1672"/>
      <c r="F296" s="1672"/>
      <c r="G296" s="1672"/>
      <c r="H296" s="1706"/>
      <c r="I296" s="1672"/>
      <c r="J296" s="1672"/>
      <c r="K296" s="1688">
        <f>'Revenues 9-14'!G268-'Expenditures 15-22'!K295</f>
        <v>0</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c r="H301" s="1572"/>
      <c r="I301" s="1573"/>
      <c r="J301" s="1573"/>
      <c r="K301" s="1671">
        <f>SUM(C301:J301)</f>
        <v>0</v>
      </c>
      <c r="L301" s="1573"/>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3" t="s">
        <v>275</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x14ac:dyDescent="0.2">
      <c r="A313" s="2269" t="s">
        <v>989</v>
      </c>
      <c r="B313" s="2270"/>
      <c r="C313" s="1676"/>
      <c r="D313" s="1676"/>
      <c r="E313" s="1676"/>
      <c r="F313" s="1676"/>
      <c r="G313" s="1676"/>
      <c r="H313" s="1676"/>
      <c r="I313" s="1676"/>
      <c r="J313" s="1676"/>
      <c r="K313" s="1695">
        <f>'Revenues 9-14'!H268-'Expenditures 15-22'!K312</f>
        <v>0</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2" t="s">
        <v>148</v>
      </c>
      <c r="B315" s="2283"/>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4" t="s">
        <v>892</v>
      </c>
      <c r="B317" s="2283"/>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c r="F322" s="1573"/>
      <c r="G322" s="1573"/>
      <c r="H322" s="1573"/>
      <c r="I322" s="1573"/>
      <c r="J322" s="1573"/>
      <c r="K322" s="1671">
        <f t="shared" si="24"/>
        <v>0</v>
      </c>
      <c r="L322" s="1573"/>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0</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1" t="s">
        <v>960</v>
      </c>
      <c r="B345" s="2262"/>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85" t="s">
        <v>989</v>
      </c>
      <c r="B368" s="2286"/>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d21dc803-237d-4c68-8692-8d731fd29118"/>
    <ds:schemaRef ds:uri="4d435f69-8686-490b-bd6d-b153bf22ab50"/>
    <ds:schemaRef ds:uri="http://purl.org/dc/terms/"/>
    <ds:schemaRef ds:uri="http://schemas.microsoft.com/office/2006/metadata/properties"/>
    <ds:schemaRef ds:uri="6ce3111e-7420-4802-b50a-75d4e9a0b980"/>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2020-12-09T21:28:39Z</cp:lastPrinted>
  <dcterms:created xsi:type="dcterms:W3CDTF">2003-10-29T19:06:34Z</dcterms:created>
  <dcterms:modified xsi:type="dcterms:W3CDTF">2020-12-16T23:56:40Z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