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2D376721-C726-4A5E-9554-C54659FD46B0}" xr6:coauthVersionLast="36" xr6:coauthVersionMax="36" xr10:uidLastSave="{00000000-0000-0000-0000-000000000000}"/>
  <bookViews>
    <workbookView xWindow="-577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4" i="36" l="1"/>
  <c r="J24" i="24"/>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B7795" i="106" l="1"/>
  <c r="B4" i="179" l="1"/>
  <c r="B11" i="7" l="1"/>
  <c r="B7801" i="106"/>
  <c r="D7801" i="106" s="1"/>
  <c r="B7807" i="106"/>
  <c r="D7807" i="106" s="1"/>
  <c r="F29" i="34"/>
  <c r="B7881" i="106" s="1"/>
  <c r="D7881" i="106" s="1"/>
  <c r="B7805" i="106"/>
  <c r="D7805" i="106" s="1"/>
  <c r="B7882" i="106"/>
  <c r="D7882" i="106" s="1"/>
  <c r="B7803" i="106"/>
  <c r="D7803" i="106" s="1"/>
  <c r="B7808" i="106"/>
  <c r="D7808" i="106" s="1"/>
  <c r="B7783" i="106"/>
  <c r="K282" i="29"/>
  <c r="B7784" i="106" s="1"/>
  <c r="D285" i="29"/>
  <c r="B7804" i="106"/>
  <c r="D7804" i="106" s="1"/>
  <c r="B7811" i="106"/>
  <c r="D7811" i="106" s="1"/>
  <c r="K158" i="29"/>
  <c r="B7780" i="106" s="1"/>
  <c r="B7779" i="106"/>
  <c r="B7816" i="106"/>
  <c r="D7816" i="106" s="1"/>
  <c r="B7775" i="106"/>
  <c r="H137" i="29"/>
  <c r="H5" i="12"/>
  <c r="B7802" i="106"/>
  <c r="D7802" i="106" s="1"/>
  <c r="K157" i="29"/>
  <c r="H160" i="29"/>
  <c r="B7053" i="106" s="1"/>
  <c r="B7777" i="106"/>
  <c r="L137" i="29"/>
  <c r="B7814" i="106"/>
  <c r="D7814" i="106" s="1"/>
  <c r="K7" i="12"/>
  <c r="B7810" i="106"/>
  <c r="D7810" i="106" s="1"/>
  <c r="B7885" i="106"/>
  <c r="D7885" i="106" s="1"/>
  <c r="B7883" i="106"/>
  <c r="D7883" i="106" s="1"/>
  <c r="B7809" i="106"/>
  <c r="D7809" i="106" s="1"/>
  <c r="F167" i="34"/>
  <c r="K354" i="29"/>
  <c r="B7791" i="106"/>
  <c r="H357" i="29"/>
  <c r="B7237" i="106" s="1"/>
  <c r="B7884" i="106"/>
  <c r="D7884" i="106" s="1"/>
  <c r="B15" i="7"/>
  <c r="B7813" i="106"/>
  <c r="D7813" i="106" s="1"/>
  <c r="F168" i="34"/>
  <c r="L160" i="29"/>
  <c r="B7774" i="106"/>
  <c r="K133" i="29"/>
  <c r="B7776" i="106" s="1"/>
  <c r="E137" i="29"/>
  <c r="E139" i="29" s="1"/>
  <c r="B7806" i="106"/>
  <c r="D7806" i="106" s="1"/>
  <c r="K332" i="29"/>
  <c r="H334" i="29"/>
  <c r="B7789" i="106" s="1"/>
  <c r="B7785" i="106"/>
  <c r="B5196" i="106"/>
  <c r="L357" i="29"/>
  <c r="K333" i="29"/>
  <c r="B7788" i="106" s="1"/>
  <c r="B7787" i="106"/>
  <c r="L285" i="29"/>
  <c r="B7812" i="106"/>
  <c r="D7812" i="106" s="1"/>
  <c r="K9" i="12"/>
  <c r="B7793" i="106"/>
  <c r="K355" i="29"/>
  <c r="B7794" i="106" s="1"/>
  <c r="K159" i="29"/>
  <c r="B7782" i="106" s="1"/>
  <c r="B7781" i="106"/>
  <c r="L334" i="29"/>
  <c r="B7815" i="106"/>
  <c r="D7815" i="106" s="1"/>
  <c r="B7236" i="106"/>
  <c r="K356" i="29"/>
  <c r="B3673" i="106" s="1"/>
  <c r="D17" i="171"/>
  <c r="B7792" i="106" l="1"/>
  <c r="K357" i="29"/>
  <c r="B7778" i="106"/>
  <c r="K160" i="29"/>
  <c r="B7786" i="106"/>
  <c r="K334" i="29"/>
  <c r="L27" i="179"/>
  <c r="L26" i="179"/>
  <c r="L25" i="179"/>
  <c r="L24" i="179"/>
  <c r="L23" i="179"/>
  <c r="L22" i="179"/>
  <c r="L21" i="179"/>
  <c r="L20" i="179"/>
  <c r="L19" i="179"/>
  <c r="L18" i="179"/>
  <c r="L17" i="179"/>
  <c r="L16" i="179"/>
  <c r="L15" i="179"/>
  <c r="L14" i="179"/>
  <c r="L13" i="179"/>
  <c r="L12" i="179"/>
  <c r="L11" i="179"/>
  <c r="F74" i="34" l="1"/>
  <c r="B7790" i="106"/>
  <c r="J15" i="4"/>
  <c r="B7796" i="106" s="1"/>
  <c r="B3674" i="106"/>
  <c r="K15" i="4"/>
  <c r="F60" i="34"/>
  <c r="B1323" i="106"/>
  <c r="E15" i="4"/>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I129" i="29" l="1"/>
  <c r="B7037" i="106" s="1"/>
  <c r="D7037" i="106" s="1"/>
  <c r="F52" i="34"/>
  <c r="B7831" i="106" s="1"/>
  <c r="D7831" i="106" s="1"/>
  <c r="B2724" i="106"/>
  <c r="D2724" i="106" s="1"/>
  <c r="F67" i="34"/>
  <c r="G30" i="108"/>
  <c r="F50" i="34"/>
  <c r="F42" i="34"/>
  <c r="G26" i="108"/>
  <c r="F71" i="34"/>
  <c r="B1274" i="106"/>
  <c r="D1274" i="106" s="1"/>
  <c r="G14" i="4"/>
  <c r="B2609" i="106" s="1"/>
  <c r="D2609" i="106" s="1"/>
  <c r="F72" i="34"/>
  <c r="B7720" i="106"/>
  <c r="D7720" i="106" s="1"/>
  <c r="F34" i="34"/>
  <c r="B7826" i="106" s="1"/>
  <c r="D7826" i="106" s="1"/>
  <c r="H15" i="184"/>
  <c r="H12" i="184"/>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D31" i="108"/>
  <c r="E16" i="184"/>
  <c r="H16" i="184" s="1"/>
  <c r="B7696" i="106"/>
  <c r="D7696" i="106" s="1"/>
  <c r="E66" i="184"/>
  <c r="N66" i="184" s="1"/>
  <c r="B7171" i="106"/>
  <c r="D7171" i="106" s="1"/>
  <c r="E62" i="184"/>
  <c r="N62" i="184" s="1"/>
  <c r="B7135" i="106"/>
  <c r="D7135" i="106" s="1"/>
  <c r="E58" i="184"/>
  <c r="N58" i="184" s="1"/>
  <c r="G33" i="108"/>
  <c r="E17" i="184"/>
  <c r="H17" i="184" s="1"/>
  <c r="F31" i="108"/>
  <c r="B6995" i="106"/>
  <c r="D6995" i="106" s="1"/>
  <c r="F37" i="34"/>
  <c r="B7829" i="106" s="1"/>
  <c r="D7829" i="106" s="1"/>
  <c r="F36" i="34"/>
  <c r="B7828" i="106" s="1"/>
  <c r="D7828" i="106" s="1"/>
  <c r="J129" i="29"/>
  <c r="B7038" i="106" s="1"/>
  <c r="D7038" i="106" s="1"/>
  <c r="H76" i="4"/>
  <c r="B3298" i="106" s="1"/>
  <c r="D3298" i="106" s="1"/>
  <c r="C342" i="29"/>
  <c r="B7216" i="106" s="1"/>
  <c r="D7216" i="106" s="1"/>
  <c r="H342" i="29"/>
  <c r="B7221" i="106" s="1"/>
  <c r="D7221" i="106" s="1"/>
  <c r="C129" i="29"/>
  <c r="B1225" i="106" s="1"/>
  <c r="D1225"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F70" i="34"/>
  <c r="J210" i="29"/>
  <c r="B7072" i="106" s="1"/>
  <c r="D7072" i="106" s="1"/>
  <c r="B7047" i="106"/>
  <c r="D7047" i="106" s="1"/>
  <c r="G39" i="108"/>
  <c r="G35" i="108"/>
  <c r="C352" i="29"/>
  <c r="B3621" i="106" s="1"/>
  <c r="D3621" i="106" s="1"/>
  <c r="F77" i="4"/>
  <c r="B3255" i="106" s="1"/>
  <c r="D3255" i="106" s="1"/>
  <c r="I210" i="29"/>
  <c r="B7071" i="106" s="1"/>
  <c r="D707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H77" i="4" l="1"/>
  <c r="B3299" i="106" s="1"/>
  <c r="D3299" i="106" s="1"/>
  <c r="K365" i="29"/>
  <c r="K16" i="4" s="1"/>
  <c r="B7215" i="106"/>
  <c r="D7215" i="106" s="1"/>
  <c r="F66" i="34"/>
  <c r="I151" i="29"/>
  <c r="F59" i="34" s="1"/>
  <c r="B1266" i="106"/>
  <c r="D1266" i="106" s="1"/>
  <c r="K77" i="4"/>
  <c r="B3587" i="106" s="1"/>
  <c r="D3587" i="106" s="1"/>
  <c r="C151" i="29"/>
  <c r="B1226" i="106" s="1"/>
  <c r="D1226" i="106" s="1"/>
  <c r="B1381" i="106"/>
  <c r="D1381" i="106" s="1"/>
  <c r="B1328" i="106"/>
  <c r="D1328" i="106" s="1"/>
  <c r="N57" i="184"/>
  <c r="N68" i="184" s="1"/>
  <c r="E68" i="184"/>
  <c r="H19" i="184"/>
  <c r="L20" i="184" s="1"/>
  <c r="E19" i="184"/>
  <c r="C367" i="29"/>
  <c r="B3622" i="106" s="1"/>
  <c r="D3622" i="106" s="1"/>
  <c r="F41" i="108"/>
  <c r="G43" i="108" s="1"/>
  <c r="L114" i="29"/>
  <c r="I7" i="4"/>
  <c r="B4444" i="106" s="1"/>
  <c r="D4444" i="106" s="1"/>
  <c r="G170" i="5"/>
  <c r="B5778" i="106" s="1"/>
  <c r="D5778" i="106" s="1"/>
  <c r="B273" i="106"/>
  <c r="D273" i="106" s="1"/>
  <c r="M23" i="3"/>
  <c r="B2914" i="106"/>
  <c r="D2914" i="106" s="1"/>
  <c r="L34" i="3"/>
  <c r="B7235" i="106"/>
  <c r="D7235" i="106" s="1"/>
  <c r="B5527" i="106"/>
  <c r="D5527"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K367" i="29"/>
  <c r="B3678" i="106" s="1"/>
  <c r="D3678" i="106" s="1"/>
  <c r="B7224" i="106"/>
  <c r="D7224" i="106" s="1"/>
  <c r="B7051" i="106"/>
  <c r="D7051" i="106" s="1"/>
  <c r="G6" i="4"/>
  <c r="B2604" i="106" s="1"/>
  <c r="D2604" i="106" s="1"/>
  <c r="B279" i="106"/>
  <c r="D279" i="106" s="1"/>
  <c r="B2916" i="106"/>
  <c r="D2916" i="106" s="1"/>
  <c r="L41"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K17" i="4"/>
  <c r="B3575" i="106" s="1"/>
  <c r="D3575" i="106" s="1"/>
  <c r="F8" i="4"/>
  <c r="F10" i="4" s="1"/>
  <c r="B4125" i="106" s="1"/>
  <c r="D4125" i="106" s="1"/>
  <c r="J20" i="4"/>
  <c r="J78" i="4" s="1"/>
  <c r="B280" i="106"/>
  <c r="D280" i="106" s="1"/>
  <c r="M41" i="3"/>
  <c r="F77" i="34"/>
  <c r="B7834" i="106" s="1"/>
  <c r="D7834" i="106" s="1"/>
  <c r="B2917" i="106"/>
  <c r="D2917" i="106" s="1"/>
  <c r="D53" i="36"/>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D10" i="146"/>
  <c r="F8" i="146"/>
  <c r="B6215" i="106"/>
  <c r="D6215" i="106" s="1"/>
  <c r="J41" i="3"/>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82" i="4" s="1"/>
  <c r="F10" i="146"/>
  <c r="B123" i="106"/>
  <c r="D123" i="106" s="1"/>
  <c r="D41" i="3"/>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B3233" i="106"/>
  <c r="D3233" i="106" s="1"/>
  <c r="C81" i="4"/>
  <c r="C41"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B1644" i="106" l="1"/>
  <c r="D1644" i="106" s="1"/>
  <c r="C11" i="146"/>
  <c r="D58" i="36"/>
  <c r="B93" i="106"/>
  <c r="D93" i="106" s="1"/>
  <c r="D44" i="36"/>
  <c r="D49" i="36"/>
  <c r="B213" i="106"/>
  <c r="D213" i="106" s="1"/>
  <c r="B2913" i="106"/>
  <c r="D2913" i="106" s="1"/>
  <c r="D50" i="36"/>
  <c r="B189" i="106"/>
  <c r="D189" i="106" s="1"/>
  <c r="G41" i="3"/>
  <c r="D46" i="36"/>
  <c r="B141" i="106"/>
  <c r="D141" i="106" s="1"/>
  <c r="B3568" i="106"/>
  <c r="D3568" i="106" s="1"/>
  <c r="D52" i="36"/>
  <c r="B124" i="106"/>
  <c r="D124" i="106" s="1"/>
  <c r="D45" i="36"/>
  <c r="B170" i="106"/>
  <c r="D170" i="106" s="1"/>
  <c r="F41" i="3"/>
  <c r="B140" i="106"/>
  <c r="D140" i="106" s="1"/>
  <c r="D76" i="36"/>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190" i="106"/>
  <c r="D190" i="106" s="1"/>
  <c r="D48" i="36"/>
  <c r="B282" i="106"/>
  <c r="D282" i="106" s="1"/>
  <c r="N23" i="3"/>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<sst xmlns="http://schemas.openxmlformats.org/spreadsheetml/2006/main" count="5144" uniqueCount="2083">
  <si>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</si>
  <si>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</si>
  <si>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</si>
  <si>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</si>
  <si>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</si>
  <si>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</si>
  <si>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</si>
  <si>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</si>
  <si>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</si>
  <si>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</si>
  <si>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</si>
  <si>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</si>
  <si>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</si>
  <si>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</si>
  <si>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</si>
  <si>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</si>
  <si>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</si>
  <si>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</si>
  <si>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</si>
  <si>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</si>
  <si>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</si>
  <si>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</si>
  <si>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</si>
  <si>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</si>
  <si>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</si>
  <si>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</si>
  <si>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</si>
  <si>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</si>
  <si>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</si>
  <si>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</si>
  <si>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</si>
  <si>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</si>
  <si>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</si>
  <si>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</si>
  <si>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</si>
  <si>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</si>
  <si>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</si>
  <si>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</si>
  <si>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</si>
  <si>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</si>
  <si>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</si>
  <si>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</si>
  <si>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</si>
  <si>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</si>
  <si>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</si>
  <si>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</si>
  <si>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</si>
  <si>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</si>
  <si>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</si>
  <si>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</si>
  <si>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</si>
  <si>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</si>
  <si>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</si>
  <si>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</si>
  <si>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</si>
  <si>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</si>
  <si>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</si>
  <si>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</si>
  <si>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</si>
  <si>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</si>
  <si>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</si>
  <si>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</si>
  <si>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</si>
  <si>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</si>
  <si>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</si>
  <si>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</si>
  <si>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</si>
  <si>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</si>
  <si>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</si>
  <si>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</si>
  <si>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</si>
  <si>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</si>
  <si>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</si>
  <si>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</si>
  <si>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</si>
  <si>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</si>
  <si>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</si>
  <si>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</si>
  <si>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</si>
  <si>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</si>
  <si>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</si>
  <si>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</si>
  <si>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</si>
  <si>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</si>
  <si>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</si>
  <si>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</si>
  <si>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</si>
  <si>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</si>
  <si>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</si>
  <si>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</si>
  <si>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</si>
  <si>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</si>
  <si>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</si>
  <si>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</si>
  <si>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</si>
  <si>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</si>
  <si>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</si>
  <si>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</si>
  <si>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</si>
  <si>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</si>
  <si>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</si>
  <si>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</si>
  <si>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</si>
  <si>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</si>
  <si>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</si>
  <si>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</si>
  <si>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</si>
  <si>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</si>
  <si>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</si>
  <si>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</si>
  <si>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</si>
  <si>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</si>
  <si>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</si>
  <si>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</si>
  <si>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</si>
  <si>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</si>
  <si>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</si>
  <si>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</si>
  <si>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</si>
  <si>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</si>
  <si>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</si>
  <si>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</si>
  <si>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</si>
  <si>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</si>
  <si>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</si>
  <si>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</si>
  <si>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</si>
  <si>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</si>
  <si>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</si>
  <si>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</si>
  <si>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</si>
  <si>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</si>
  <si>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</si>
  <si>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</si>
  <si>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</si>
  <si>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</si>
  <si>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</si>
  <si>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</si>
  <si>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</si>
  <si>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</si>
  <si>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</si>
  <si>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</si>
  <si>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</si>
  <si>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</si>
  <si>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</si>
  <si>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</si>
  <si>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</si>
  <si>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</si>
  <si>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</si>
  <si>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</si>
  <si>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</si>
  <si>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</si>
  <si>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</si>
  <si>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</si>
  <si>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</si>
  <si>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</si>
  <si>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</si>
  <si>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</si>
  <si>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</si>
  <si>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</si>
  <si>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</si>
  <si>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</si>
  <si>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</si>
  <si>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</si>
  <si>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</si>
  <si>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</si>
  <si>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</si>
  <si>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</si>
  <si>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</si>
  <si>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</si>
  <si>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</si>
  <si>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</si>
  <si>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</si>
  <si>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</si>
  <si>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</si>
  <si>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</si>
  <si>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</si>
  <si>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</si>
  <si>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</si>
  <si>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</si>
  <si>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</si>
  <si>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</si>
  <si>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</si>
  <si>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</si>
  <si>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</si>
  <si>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</si>
  <si>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</si>
  <si>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</si>
  <si>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</si>
  <si>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</si>
  <si>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</si>
  <si>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</si>
  <si>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</si>
  <si>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</si>
  <si>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</si>
  <si>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</si>
  <si>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</si>
  <si>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</si>
  <si>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</si>
  <si>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</si>
  <si>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</si>
  <si>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</si>
  <si>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</si>
  <si>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</si>
  <si>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</si>
  <si>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</si>
  <si>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</si>
  <si>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</si>
  <si>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</si>
  <si>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</si>
  <si>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</si>
  <si>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</si>
  <si>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</si>
  <si>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</si>
  <si>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</si>
  <si>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</si>
  <si>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</si>
  <si>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</si>
  <si>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</si>
  <si>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</si>
  <si>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</si>
  <si>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</si>
  <si>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</si>
  <si>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</si>
  <si>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</si>
  <si>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</si>
  <si>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</si>
  <si>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</si>
  <si>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</si>
  <si>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</si>
  <si>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</si>
  <si>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</si>
  <si>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</si>
  <si>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</si>
  <si>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</si>
  <si>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</si>
  <si>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</si>
  <si>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</si>
  <si>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</si>
  <si>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</si>
  <si>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</si>
  <si>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</si>
  <si>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</si>
  <si>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</si>
  <si>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</si>
  <si>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</si>
  <si>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</si>
  <si>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</si>
  <si>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</si>
  <si>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</si>
  <si>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</si>
  <si>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</si>
  <si>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</si>
  <si>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</si>
  <si>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</si>
  <si>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</si>
  <si>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</si>
  <si>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</si>
  <si>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</si>
  <si>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</si>
  <si>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</si>
  <si>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</si>
  <si>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</si>
  <si>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</si>
  <si>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</si>
  <si>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</si>
  <si>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</si>
  <si>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</si>
  <si>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</si>
  <si>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</si>
  <si>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</si>
  <si>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</si>
  <si>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</si>
  <si>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</si>
  <si>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</si>
  <si>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</si>
  <si>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</si>
  <si>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</si>
  <si>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</si>
  <si>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</si>
  <si>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</si>
  <si>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</si>
  <si>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</si>
  <si>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</si>
  <si>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</si>
  <si>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</si>
  <si>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</si>
  <si>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</si>
  <si>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</si>
  <si>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</si>
  <si>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</si>
  <si>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</si>
  <si>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</si>
  <si>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</si>
  <si>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</si>
  <si>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</si>
  <si>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</si>
  <si>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</si>
  <si>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</si>
  <si>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</si>
  <si>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</si>
  <si>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</si>
  <si>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</si>
  <si>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</si>
  <si>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</si>
  <si>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</si>
  <si>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</si>
  <si>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</si>
  <si>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</si>
  <si>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</si>
  <si>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</si>
  <si>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</si>
  <si>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</si>
  <si>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</si>
  <si>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</si>
  <si>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</si>
  <si>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</si>
  <si>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</si>
  <si>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</si>
  <si>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</si>
  <si>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</si>
  <si>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</si>
  <si>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</si>
  <si>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</si>
  <si>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</si>
  <si>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</si>
  <si>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</si>
  <si>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</si>
  <si>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</si>
  <si>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</si>
  <si>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</si>
  <si>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</si>
  <si>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</si>
  <si>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</si>
  <si>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</si>
  <si>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</si>
  <si>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</si>
  <si>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</si>
  <si>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</si>
  <si>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</si>
  <si>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</si>
  <si>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</si>
  <si>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</si>
  <si>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</si>
  <si>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</si>
  <si>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</si>
  <si>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</si>
  <si>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</si>
  <si>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</si>
  <si>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</si>
  <si>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</si>
  <si>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</si>
  <si>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</si>
  <si>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</si>
  <si>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</si>
  <si>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</si>
  <si>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</si>
  <si>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</si>
  <si>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</si>
  <si>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</si>
  <si>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</si>
  <si>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</si>
  <si>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</si>
  <si>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</si>
  <si>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</si>
  <si>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</si>
  <si>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</si>
  <si>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</si>
  <si>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</si>
  <si>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</si>
  <si>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</si>
  <si>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</si>
  <si>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</si>
  <si>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</si>
  <si>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</si>
  <si>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</si>
  <si>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</si>
  <si>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</si>
  <si>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</si>
  <si>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</si>
  <si>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</si>
  <si>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</si>
  <si>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</si>
  <si>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</si>
  <si>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</si>
  <si>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</si>
  <si>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</si>
  <si>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</si>
  <si>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</si>
  <si>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</si>
  <si>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</si>
  <si>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</si>
  <si>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</si>
  <si>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</si>
  <si>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</si>
  <si>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</si>
  <si>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</si>
  <si>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</si>
  <si>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</si>
  <si>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</si>
  <si>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</si>
  <si>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</si>
  <si>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</si>
  <si>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</si>
  <si>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</si>
  <si>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</si>
  <si>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</si>
  <si>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</si>
  <si>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</si>
  <si>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</si>
  <si>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</si>
  <si>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</si>
  <si>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</si>
  <si>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</si>
  <si>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</si>
  <si>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</si>
  <si>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</si>
  <si>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</si>
  <si>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</si>
  <si>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</si>
  <si>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</si>
  <si>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</si>
  <si>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</si>
  <si>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</si>
  <si>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</si>
  <si>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</si>
  <si>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</si>
  <si>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</si>
  <si>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</si>
  <si>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</si>
  <si>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</si>
  <si>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</si>
  <si>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</si>
  <si>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</si>
  <si>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</si>
  <si>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</si>
  <si>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</si>
  <si>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</si>
  <si>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</si>
  <si>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</si>
  <si>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</si>
  <si>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</si>
  <si>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</si>
  <si>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</si>
  <si>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</si>
  <si>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</si>
  <si>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</si>
  <si>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</si>
  <si>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</si>
  <si>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</si>
  <si>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</si>
  <si>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</si>
  <si>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</si>
  <si>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</si>
  <si>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</si>
  <si>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</si>
  <si>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</si>
  <si>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</si>
  <si>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</si>
  <si>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</si>
  <si>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</si>
  <si>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</si>
  <si>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</si>
  <si>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</si>
  <si>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</si>
  <si>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</si>
  <si>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</si>
  <si>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</si>
  <si>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</si>
  <si>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</si>
  <si>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</si>
  <si>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</si>
  <si>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</si>
  <si>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</si>
  <si>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</si>
  <si>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</si>
  <si>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</si>
  <si>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</si>
  <si>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</si>
  <si>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</si>
  <si>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</si>
  <si>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</si>
  <si>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</si>
  <si>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</si>
  <si>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</si>
  <si>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</si>
  <si>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</si>
  <si>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</si>
  <si>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</si>
  <si>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</si>
  <si>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</si>
  <si>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</si>
  <si>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</si>
  <si>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</si>
  <si>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</si>
  <si>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</si>
  <si>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</si>
  <si>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</si>
  <si>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</si>
  <si>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</si>
  <si>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</si>
  <si>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</si>
  <si>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</si>
  <si>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</si>
  <si>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</si>
  <si>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</si>
  <si>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</si>
  <si>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</si>
  <si>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</si>
  <si>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</si>
  <si>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</si>
  <si>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</si>
  <si>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</si>
  <si>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</si>
  <si>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</si>
  <si>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</si>
  <si>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</si>
  <si>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</si>
  <si>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</si>
  <si>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</si>
  <si>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</si>
  <si>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</si>
  <si>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</si>
  <si>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</si>
  <si>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</si>
  <si>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</si>
  <si>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</si>
  <si>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</si>
  <si>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</si>
  <si>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</si>
  <si>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</si>
  <si>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</si>
  <si>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</si>
  <si>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</si>
  <si>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</si>
  <si>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</si>
  <si>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</si>
  <si>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</si>
  <si>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</si>
  <si>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</si>
  <si>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</si>
  <si>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</si>
  <si>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</si>
  <si>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</si>
  <si>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</si>
  <si>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</si>
  <si>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</si>
  <si>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</si>
  <si>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</si>
  <si>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</si>
  <si>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</si>
  <si>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</si>
  <si>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</si>
  <si>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</si>
  <si>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</si>
  <si>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</si>
  <si>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</si>
  <si>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</si>
  <si>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</si>
  <si>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</si>
  <si>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</si>
  <si>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</si>
  <si>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</si>
  <si>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</si>
  <si>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</si>
  <si>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</si>
  <si>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</si>
  <si>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</si>
  <si>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</si>
  <si>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</si>
  <si>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</si>
  <si>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</si>
  <si>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</si>
  <si>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</si>
  <si>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</si>
  <si>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</si>
  <si>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</si>
  <si>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</si>
  <si>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</si>
  <si>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</si>
  <si>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</si>
  <si>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</si>
  <si>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</si>
  <si>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</si>
  <si>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</si>
  <si>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</si>
  <si>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</si>
  <si>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</si>
  <si>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</si>
  <si>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</si>
  <si>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</si>
  <si>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</si>
  <si>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</si>
  <si>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</si>
  <si>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</si>
  <si>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</si>
  <si>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</si>
  <si>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</si>
  <si>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</si>
  <si>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</si>
  <si>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</si>
  <si>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</si>
  <si>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</si>
  <si>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</si>
  <si>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</si>
  <si>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</si>
  <si>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</si>
  <si>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</si>
  <si>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</si>
  <si>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</si>
  <si>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</si>
  <si>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</si>
  <si>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</si>
  <si>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</si>
  <si>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</si>
  <si>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</si>
  <si>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</si>
  <si>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</si>
  <si>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</si>
  <si>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</si>
  <si>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</si>
  <si>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</si>
  <si>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</si>
  <si>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</si>
  <si>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</si>
  <si>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</si>
  <si>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</si>
  <si>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</si>
  <si>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</si>
  <si>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</si>
  <si>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</si>
  <si>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</si>
  <si>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</si>
  <si>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</si>
  <si>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</si>
  <si>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</si>
  <si>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</si>
  <si>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</si>
  <si>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</si>
  <si>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</si>
  <si>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</si>
  <si>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</si>
  <si>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</si>
  <si>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</si>
  <si>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</si>
  <si>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</si>
  <si>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</si>
  <si>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</si>
  <si>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</si>
  <si>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</si>
  <si>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</si>
  <si>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</si>
  <si>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</si>
  <si>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</si>
  <si>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</si>
  <si>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</si>
  <si>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</si>
  <si>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</si>
  <si>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</si>
  <si>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</si>
  <si>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</si>
  <si>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</si>
  <si>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</si>
  <si>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</si>
  <si>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</si>
  <si>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</si>
  <si>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</si>
  <si>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</si>
  <si>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</si>
  <si>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</si>
  <si>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</si>
  <si>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</si>
  <si>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</si>
  <si>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</si>
  <si>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</si>
  <si>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</si>
  <si>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</si>
  <si>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</si>
  <si>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</si>
  <si>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</si>
  <si>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</si>
  <si>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</si>
  <si>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</si>
  <si>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</si>
  <si>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</si>
  <si>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</si>
  <si>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</si>
  <si>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</si>
  <si>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</si>
  <si>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</si>
  <si>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</si>
  <si>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</si>
  <si>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</si>
  <si>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</si>
  <si>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</si>
  <si>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</si>
  <si>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</si>
  <si>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</si>
  <si>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</si>
  <si>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</si>
  <si>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</si>
  <si>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</si>
  <si>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</si>
  <si>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</si>
  <si>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</si>
  <si>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</si>
  <si>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</si>
  <si>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</si>
  <si>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</si>
  <si>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</si>
  <si>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</si>
  <si>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</si>
  <si>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</si>
  <si>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</si>
  <si>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</si>
  <si>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</si>
  <si>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</si>
  <si>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</si>
  <si>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</si>
  <si>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</si>
  <si>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</si>
  <si>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</si>
  <si>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</si>
  <si>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</si>
  <si>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</si>
  <si>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</si>
  <si>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</si>
  <si>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</si>
  <si>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</si>
  <si>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</si>
  <si>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</si>
  <si>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</si>
  <si>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</si>
  <si>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</si>
  <si>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</si>
  <si>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</si>
  <si>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</si>
  <si>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</si>
  <si>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</si>
  <si>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</si>
  <si>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</si>
  <si>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</si>
  <si>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</si>
  <si>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</si>
  <si>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</si>
  <si>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</si>
  <si>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</si>
  <si>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</si>
  <si>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</si>
  <si>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</si>
  <si>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</si>
  <si>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</si>
  <si>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</si>
  <si>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</si>
  <si>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</si>
  <si>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</si>
  <si>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</si>
  <si>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</si>
  <si>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</si>
  <si>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</si>
  <si>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</si>
  <si>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</si>
  <si>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</si>
  <si>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</si>
  <si>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</si>
  <si>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</si>
  <si>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</si>
  <si>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</si>
  <si>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</si>
  <si>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</si>
  <si>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</si>
  <si>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</si>
  <si>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</si>
  <si>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</si>
  <si>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</si>
  <si>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</si>
  <si>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</si>
  <si>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</si>
  <si>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</si>
  <si>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</si>
  <si>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</si>
  <si>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</si>
  <si>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</si>
  <si>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</si>
  <si>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</si>
  <si>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</si>
  <si>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</si>
  <si>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</si>
  <si>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</si>
  <si>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</si>
  <si>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</si>
  <si>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</si>
  <si>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</si>
  <si>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</si>
  <si>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</si>
  <si>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</si>
  <si>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</si>
  <si>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</si>
  <si>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</si>
  <si>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</si>
  <si>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</si>
  <si>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</si>
  <si>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</si>
  <si>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</si>
  <si>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</si>
  <si>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</si>
  <si>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</si>
  <si>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</si>
  <si>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</si>
  <si>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</si>
  <si>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</si>
  <si>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</si>
  <si>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</si>
  <si>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</si>
  <si>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</si>
  <si>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</si>
  <si>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</si>
  <si>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</si>
  <si>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</si>
  <si>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</si>
  <si>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</si>
  <si>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</si>
  <si>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</si>
  <si>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</si>
  <si>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</si>
  <si>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</si>
  <si>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</si>
  <si>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</si>
  <si>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</si>
  <si>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</si>
  <si>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</si>
  <si>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</si>
  <si>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</si>
  <si>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</si>
  <si>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</si>
  <si>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</si>
  <si>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</si>
  <si>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</si>
  <si>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</si>
  <si>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</si>
  <si>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</si>
  <si>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</si>
  <si>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</si>
  <si>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</si>
  <si>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</si>
  <si>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</si>
  <si>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</si>
  <si>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</si>
  <si>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</si>
  <si>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</si>
  <si>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</si>
  <si>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</si>
  <si>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</si>
  <si>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</si>
  <si>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</si>
  <si>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</si>
  <si>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</si>
  <si>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</si>
  <si>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</si>
  <si>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</si>
  <si>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</si>
  <si>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</si>
  <si>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</si>
  <si>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</si>
  <si>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</si>
  <si>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</si>
  <si>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</si>
  <si>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</si>
  <si>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</si>
  <si>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</si>
  <si>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</si>
  <si>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</si>
  <si>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</si>
  <si>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</si>
  <si>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</si>
  <si>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</si>
  <si>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</si>
  <si>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</si>
  <si>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</si>
  <si>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</si>
  <si>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</si>
  <si>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</si>
  <si>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</si>
  <si>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</si>
  <si>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</si>
  <si>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</si>
  <si>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</si>
  <si>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</si>
  <si>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</si>
  <si>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</si>
  <si>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</si>
  <si>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</si>
  <si>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</si>
  <si>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</si>
  <si>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</si>
  <si>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</si>
  <si>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</si>
  <si>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</si>
  <si>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</si>
  <si>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</si>
  <si>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</si>
  <si>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</si>
  <si>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</si>
  <si>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</si>
  <si>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</si>
  <si>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</si>
  <si>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</si>
  <si>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</si>
  <si>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</si>
  <si>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</si>
  <si>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</si>
  <si>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</si>
  <si>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</si>
  <si>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</si>
  <si>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</si>
  <si>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</si>
  <si>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</si>
  <si>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</si>
  <si>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</si>
  <si>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</si>
  <si>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</si>
  <si>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</si>
  <si>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</si>
  <si>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</si>
  <si>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</si>
  <si>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</si>
  <si>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</si>
  <si>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</si>
  <si>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</si>
  <si>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</si>
  <si>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</si>
  <si>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</si>
  <si>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</si>
  <si>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</si>
  <si>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</si>
  <si>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</si>
  <si>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</si>
  <si>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</si>
  <si>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</si>
  <si>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</si>
  <si>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</si>
  <si>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</si>
  <si>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</si>
  <si>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</si>
  <si>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</si>
  <si>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</si>
  <si>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</si>
  <si>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</si>
  <si>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</si>
  <si>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</si>
  <si>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</si>
  <si>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</si>
  <si>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</si>
  <si>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</si>
  <si>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</si>
  <si>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</si>
  <si>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</si>
  <si>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</si>
  <si>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</si>
  <si>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</si>
  <si>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</si>
  <si>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</si>
  <si>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</si>
  <si>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</si>
  <si>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</si>
  <si>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</si>
  <si>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</si>
  <si>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</si>
  <si>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</si>
  <si>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</si>
  <si>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</si>
  <si>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</si>
  <si>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</si>
  <si>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</si>
  <si>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</si>
  <si>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</si>
  <si>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</si>
  <si>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</si>
  <si>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</si>
  <si>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</si>
  <si>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</si>
  <si>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</si>
  <si>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</si>
  <si>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</si>
  <si>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</si>
  <si>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</si>
  <si>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</si>
  <si>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</si>
  <si>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</si>
  <si>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</si>
  <si>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</si>
  <si>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</si>
  <si>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</si>
  <si>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</si>
  <si>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</si>
  <si>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</si>
  <si>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</si>
  <si>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</si>
  <si>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</si>
  <si>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</si>
  <si>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</si>
  <si>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</si>
  <si>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</si>
  <si>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</si>
  <si>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</si>
  <si>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</si>
  <si>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</si>
  <si>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</si>
  <si>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</si>
  <si>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</si>
  <si>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</si>
  <si>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</si>
  <si>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</si>
  <si>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</si>
  <si>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</si>
  <si>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</si>
  <si>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</si>
  <si>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</si>
  <si>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</si>
  <si>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</si>
  <si>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</si>
  <si>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</si>
  <si>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</si>
  <si>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</si>
  <si>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</si>
  <si>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</si>
  <si>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</si>
  <si>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</si>
  <si>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</si>
  <si>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</si>
  <si>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</si>
  <si>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</si>
  <si>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</si>
  <si>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</si>
  <si>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</si>
  <si>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</si>
  <si>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</si>
  <si>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</si>
  <si>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</si>
  <si>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</si>
  <si>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</si>
  <si>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</si>
  <si>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</si>
  <si>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</si>
  <si>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</si>
  <si>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</si>
  <si>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</si>
  <si>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</si>
  <si>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</si>
  <si>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</si>
  <si>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</si>
  <si>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</si>
  <si>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</si>
  <si>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</si>
  <si>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</si>
  <si>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</si>
  <si>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</si>
  <si>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</si>
  <si>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</si>
  <si>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</si>
  <si>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</si>
  <si>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</si>
  <si>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</si>
  <si>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</si>
  <si>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</si>
  <si>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</si>
  <si>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</si>
  <si>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</si>
  <si>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</si>
  <si>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</si>
  <si>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</si>
  <si>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</si>
  <si>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</si>
  <si>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</si>
  <si>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</si>
  <si>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</si>
  <si>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</si>
  <si>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</si>
  <si>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</si>
  <si>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</si>
  <si>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</si>
  <si>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</si>
  <si>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</si>
  <si>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</si>
  <si>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</si>
  <si>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</si>
  <si>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</si>
  <si>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</si>
  <si>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</si>
  <si>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</si>
  <si>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</si>
  <si>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</si>
  <si>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</si>
  <si>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</si>
  <si>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</si>
  <si>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</si>
  <si>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</si>
  <si>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</si>
  <si>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</si>
  <si>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</si>
  <si>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</si>
  <si>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</si>
  <si>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</si>
  <si>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</si>
  <si>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</si>
  <si>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</si>
  <si>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</si>
  <si>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</si>
  <si>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</si>
  <si>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</si>
  <si>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</si>
  <si>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</si>
  <si>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</si>
  <si>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</si>
  <si>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</si>
  <si>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</si>
  <si>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</si>
  <si>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</si>
  <si>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</si>
  <si>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</si>
  <si>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</si>
  <si>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</si>
  <si>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</si>
  <si>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</si>
  <si>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</si>
  <si>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</si>
  <si>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</si>
  <si>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</si>
  <si>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</si>
  <si>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</si>
  <si>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</si>
  <si>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</si>
  <si>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</si>
  <si>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</si>
  <si>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</si>
  <si>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</si>
  <si>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</si>
  <si>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</si>
  <si>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</si>
  <si>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</si>
  <si>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</si>
  <si>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</si>
  <si>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</si>
  <si>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</si>
  <si>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</si>
  <si>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</si>
  <si>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</si>
  <si>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</si>
  <si>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</si>
  <si>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</si>
  <si>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</si>
  <si>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</si>
  <si>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</si>
  <si>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</si>
  <si>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</si>
  <si>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</si>
  <si>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</si>
  <si>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</si>
  <si>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</si>
  <si>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</si>
  <si>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</si>
  <si>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</si>
  <si>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</si>
  <si>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</si>
  <si>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</si>
  <si>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</si>
  <si>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</si>
  <si>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</si>
  <si>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</si>
  <si>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</si>
  <si>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</si>
  <si>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</si>
  <si>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</si>
  <si>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</si>
  <si>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</si>
  <si>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</si>
  <si>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</si>
  <si>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</si>
  <si>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</si>
  <si>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</si>
  <si>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</si>
  <si>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</si>
  <si>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</si>
  <si>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</si>
  <si>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</si>
  <si>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</si>
  <si>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</si>
  <si>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</si>
  <si>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</si>
  <si>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</si>
  <si>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</si>
  <si>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</si>
  <si>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</si>
  <si>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</si>
  <si>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</si>
  <si>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</si>
  <si>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</si>
  <si>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</si>
  <si>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</si>
  <si>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</si>
  <si>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</si>
  <si>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</si>
  <si>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</si>
  <si>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</si>
  <si>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</si>
  <si>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</si>
  <si>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</si>
  <si>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</si>
  <si>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</si>
  <si>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</si>
  <si>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</si>
  <si>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</si>
  <si>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</si>
  <si>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</si>
  <si>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</si>
  <si>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</si>
  <si>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</si>
  <si>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</si>
  <si>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</si>
  <si>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</si>
  <si>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</si>
  <si>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</si>
  <si>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</si>
  <si>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</si>
  <si>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</si>
  <si>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</si>
  <si>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</si>
  <si>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</si>
  <si>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</si>
  <si>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</si>
  <si>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</si>
  <si>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</si>
  <si>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</si>
  <si>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</si>
  <si>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</si>
  <si>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</si>
  <si>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</si>
  <si>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</si>
  <si>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</si>
  <si>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</si>
  <si>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</si>
  <si>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</si>
  <si>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</si>
  <si>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</si>
  <si>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</si>
  <si>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</si>
  <si>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</si>
  <si>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</si>
  <si>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</si>
  <si>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</si>
  <si>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</si>
  <si>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</si>
  <si>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</si>
  <si>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</si>
  <si>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</si>
  <si>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</si>
  <si>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</si>
  <si>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</si>
  <si>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</si>
  <si>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</si>
  <si>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</si>
  <si>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</si>
  <si>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</si>
  <si>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</si>
  <si>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</si>
  <si>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</si>
  <si>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</si>
  <si>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</si>
  <si>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</si>
  <si>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</si>
  <si>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</si>
  <si>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</si>
  <si>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</si>
  <si>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</si>
  <si>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</si>
  <si>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</si>
  <si>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</si>
  <si>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</si>
  <si>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</si>
  <si>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</si>
  <si>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</si>
  <si>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</si>
  <si>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</si>
  <si>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</si>
  <si>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</si>
  <si>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</si>
  <si>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</si>
  <si>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</si>
  <si>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</si>
  <si>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</si>
  <si>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</si>
  <si>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</si>
  <si>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</si>
  <si>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</si>
  <si>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</si>
  <si>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</si>
  <si>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</si>
  <si>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</si>
  <si>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</si>
  <si>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</si>
  <si>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</si>
  <si>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</si>
  <si>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</si>
  <si>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</si>
  <si>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</si>
  <si>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</si>
  <si>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</si>
  <si>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</si>
  <si>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</si>
  <si>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</si>
  <si>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</si>
  <si>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</si>
  <si>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</si>
  <si>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</si>
  <si>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</si>
  <si>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</si>
  <si>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</si>
  <si>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</si>
  <si>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</si>
  <si>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</si>
  <si>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</si>
  <si>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</si>
  <si>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</si>
  <si>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</si>
  <si>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</si>
  <si>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</si>
  <si>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</si>
  <si>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</si>
  <si>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</si>
  <si>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</si>
  <si>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</si>
  <si>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</si>
  <si>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</si>
  <si>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</si>
  <si>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</si>
  <si>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</si>
  <si>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</si>
  <si>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</si>
  <si>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</si>
  <si>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</si>
  <si>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</si>
  <si>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</si>
  <si>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</si>
  <si>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</si>
  <si>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</si>
  <si>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</si>
  <si>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</si>
  <si>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</si>
  <si>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</si>
  <si>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</si>
  <si>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</si>
  <si>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</si>
  <si>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</si>
  <si>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</si>
  <si>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</si>
  <si>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</si>
  <si>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</si>
  <si>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</si>
  <si>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</si>
  <si>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</si>
  <si>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</si>
  <si>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</si>
  <si>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</si>
  <si>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</si>
  <si>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</si>
  <si>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</si>
  <si>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</si>
  <si>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</si>
  <si>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</si>
  <si>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</si>
  <si>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</si>
  <si>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</si>
  <si>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</si>
  <si>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</si>
  <si>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</si>
  <si>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</si>
  <si>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</si>
  <si>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</si>
  <si>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</si>
  <si>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</si>
  <si>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</si>
  <si>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</si>
  <si>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</si>
  <si>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</si>
  <si>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</si>
  <si>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</si>
  <si>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</si>
  <si>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</si>
  <si>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</si>
  <si>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</si>
  <si>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</si>
  <si>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</si>
  <si>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</si>
  <si>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</si>
  <si>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</si>
  <si>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</si>
  <si>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</si>
  <si>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</si>
  <si>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</si>
  <si>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</si>
  <si>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</si>
  <si>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</si>
  <si>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</si>
  <si>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</si>
  <si>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</si>
  <si>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</si>
  <si>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</si>
  <si>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</si>
  <si>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</si>
  <si>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</si>
  <si>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</si>
  <si>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</si>
  <si>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</si>
  <si>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</si>
  <si>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</si>
  <si>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</si>
  <si>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</si>
  <si>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</si>
  <si>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</si>
  <si>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</si>
  <si>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</si>
  <si>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</si>
  <si>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</si>
  <si>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</si>
  <si>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</si>
  <si>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</si>
  <si>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</si>
  <si>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</si>
  <si>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</si>
  <si>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</si>
  <si>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</si>
  <si>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</si>
  <si>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</si>
  <si>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</si>
  <si>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</si>
  <si>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</si>
  <si>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</si>
  <si>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</si>
  <si>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</si>
  <si>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</si>
  <si>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</si>
  <si>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</si>
  <si>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</si>
  <si>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</si>
  <si>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</si>
  <si>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</si>
  <si>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</si>
  <si>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</si>
  <si>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</si>
  <si>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</si>
  <si>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</si>
  <si>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</si>
  <si>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</si>
  <si>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</si>
  <si>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</si>
  <si>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</si>
  <si>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</si>
  <si>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</si>
  <si>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</si>
  <si>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</si>
  <si>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</si>
  <si>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</si>
  <si>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</si>
  <si>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</si>
  <si>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</si>
  <si>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</si>
  <si>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</si>
  <si>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</si>
  <si>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</si>
  <si>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</si>
  <si>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</si>
  <si>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</si>
  <si>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</si>
  <si>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</si>
  <si>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</si>
  <si>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</si>
  <si>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</si>
  <si>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</si>
  <si>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</si>
  <si>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</si>
  <si>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</si>
  <si>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</si>
  <si>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</si>
  <si>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</si>
  <si>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</si>
  <si>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</si>
  <si>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</si>
  <si>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</si>
  <si>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</si>
  <si>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</si>
  <si>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</si>
  <si>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</si>
  <si>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</si>
  <si>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</si>
  <si>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</si>
  <si>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</si>
  <si>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</si>
  <si>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</si>
  <si>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</si>
  <si>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</si>
  <si>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</si>
  <si>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</si>
  <si>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</si>
  <si>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</si>
  <si>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</si>
  <si>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</si>
  <si>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</si>
  <si>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</si>
  <si>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</si>
  <si>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</si>
  <si>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</si>
  <si>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</si>
  <si>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</si>
  <si>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</si>
  <si>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</si>
  <si>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</si>
  <si>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</si>
  <si>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</si>
  <si>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</si>
  <si>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</si>
  <si>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</si>
  <si>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</si>
  <si>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</si>
  <si>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</si>
  <si>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</si>
  <si>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</si>
  <si>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</si>
  <si>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</si>
  <si>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</si>
  <si>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</si>
  <si>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</si>
  <si>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</si>
  <si>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</si>
  <si>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</si>
  <si>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</si>
  <si>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</si>
  <si>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</si>
  <si>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</si>
  <si>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</si>
  <si>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</si>
  <si>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</si>
  <si>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</si>
  <si>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</si>
  <si>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</si>
  <si>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</si>
  <si>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</si>
  <si>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</si>
  <si>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</si>
  <si>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</si>
  <si>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</si>
  <si>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</si>
  <si>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</si>
  <si>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</si>
  <si>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</si>
  <si>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</si>
  <si>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</si>
  <si>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</si>
  <si>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</si>
  <si>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</si>
  <si>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</si>
  <si>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</si>
  <si>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</si>
  <si>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</si>
  <si>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</si>
  <si>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</si>
  <si>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</si>
  <si>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</si>
  <si>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</si>
  <si>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</si>
  <si>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</si>
  <si>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</si>
  <si>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</si>
  <si>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</si>
  <si>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</si>
  <si>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</si>
  <si>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</si>
  <si>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</si>
  <si>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</si>
  <si>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</si>
  <si>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</si>
  <si>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</si>
  <si>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</si>
  <si>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</si>
  <si>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</si>
  <si>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</si>
  <si>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</si>
  <si>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</si>
  <si>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</si>
  <si>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</si>
  <si>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</si>
  <si>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</si>
  <si>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</si>
  <si>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</si>
  <si>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</si>
  <si>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</si>
  <si>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</si>
  <si>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</si>
  <si>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</si>
  <si>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</si>
  <si>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</si>
  <si>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</si>
  <si>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</si>
  <si>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</si>
  <si>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</si>
  <si>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</si>
  <si>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</si>
  <si>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</si>
  <si>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</si>
  <si>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</si>
  <si>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</si>
  <si>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</si>
  <si>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</si>
  <si>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</si>
  <si>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</si>
  <si>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</si>
  <si>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</si>
  <si>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</si>
  <si>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</si>
  <si>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</si>
  <si>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</si>
  <si>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</si>
  <si>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</si>
  <si>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</si>
  <si>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</si>
  <si>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</si>
  <si>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</si>
  <si>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</si>
  <si>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</si>
  <si>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</si>
  <si>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</si>
  <si>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</si>
  <si>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</si>
  <si>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</si>
  <si>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</si>
  <si>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</si>
  <si>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</si>
  <si>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</si>
  <si>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</si>
  <si>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</si>
  <si>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</si>
  <si>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</si>
  <si>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</si>
  <si>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</si>
  <si>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</si>
  <si>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</si>
  <si>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</si>
  <si>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</si>
  <si>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</si>
  <si>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</si>
  <si>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</si>
  <si>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</si>
  <si>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</si>
  <si>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</si>
  <si>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</si>
  <si>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</si>
  <si>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</si>
  <si>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</si>
  <si>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</si>
  <si>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</si>
  <si>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</si>
  <si>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</si>
  <si>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</si>
  <si>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</si>
  <si>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</si>
  <si>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</si>
  <si>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</si>
  <si>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</si>
  <si>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</si>
  <si>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</si>
  <si>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</si>
  <si>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</si>
  <si>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</si>
  <si>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</si>
  <si>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</si>
  <si>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</si>
  <si>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</si>
  <si>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</si>
  <si>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</si>
  <si>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</si>
  <si>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</si>
  <si>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</si>
  <si>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</si>
  <si>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</si>
  <si>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</si>
  <si>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</si>
  <si>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</si>
  <si>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</si>
  <si>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</si>
  <si>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</si>
  <si>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</si>
  <si>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</si>
  <si>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</si>
  <si>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</si>
  <si>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</si>
  <si>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</si>
  <si>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</si>
  <si>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</si>
  <si>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</si>
  <si>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</si>
  <si>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</si>
  <si>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</si>
  <si>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</si>
  <si>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</si>
  <si>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</si>
  <si>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</si>
  <si>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</si>
  <si>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</si>
  <si>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</si>
  <si>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</si>
  <si>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</si>
  <si>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</si>
  <si>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</si>
  <si>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</si>
  <si>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</si>
  <si>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</si>
  <si>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</si>
  <si>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</si>
  <si>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</si>
  <si>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</si>
  <si>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</si>
  <si>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</si>
  <si>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</si>
  <si>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</si>
  <si>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</si>
  <si>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</si>
  <si>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</si>
  <si>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</si>
  <si>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</si>
  <si>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</si>
  <si>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</si>
  <si>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</si>
  <si>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</si>
  <si>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</si>
  <si>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</si>
  <si>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</si>
  <si>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</si>
  <si>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</si>
  <si>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</si>
  <si>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</si>
  <si>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</si>
  <si>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</si>
  <si>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</si>
  <si>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</si>
  <si>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</si>
  <si>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</si>
  <si>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</si>
  <si>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</si>
  <si>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</si>
  <si>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</si>
  <si>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</si>
  <si>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</si>
  <si>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</si>
  <si>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</si>
  <si>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</si>
  <si>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</si>
  <si>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</si>
  <si>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</si>
  <si>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</si>
  <si>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</si>
  <si>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</si>
  <si>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</si>
  <si>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</si>
  <si>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</si>
  <si>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</si>
  <si>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</si>
  <si>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</si>
  <si>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</si>
  <si>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</si>
  <si>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</si>
  <si>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</si>
  <si>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</si>
  <si>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</si>
  <si>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</si>
  <si>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</si>
  <si>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</si>
  <si>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</si>
  <si>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</si>
  <si>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</si>
  <si>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</si>
  <si>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</si>
  <si>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</si>
  <si>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</si>
  <si>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</si>
  <si>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</si>
  <si>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</si>
  <si>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</si>
  <si>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</si>
  <si>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</si>
  <si>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</si>
  <si>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</si>
  <si>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</si>
  <si>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</si>
  <si>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</si>
  <si>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</si>
  <si>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</si>
  <si>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</si>
  <si>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</si>
  <si>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</si>
  <si>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</si>
  <si>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</si>
  <si>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</si>
  <si>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</si>
  <si>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</si>
  <si>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</si>
  <si>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</si>
  <si>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</si>
  <si>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</si>
  <si>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</si>
  <si>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</si>
  <si>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</si>
  <si>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</si>
  <si>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</si>
  <si>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</si>
  <si>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</si>
  <si>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</si>
  <si>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</si>
  <si>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</si>
  <si>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</si>
  <si>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</si>
  <si>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</si>
  <si>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</si>
  <si>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</si>
  <si>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</si>
  <si>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</si>
  <si>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</si>
  <si>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</si>
  <si>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</si>
  <si>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</si>
  <si>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</si>
  <si>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</si>
  <si>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</si>
  <si>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</si>
  <si>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</si>
  <si>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</si>
  <si>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</si>
  <si>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</si>
  <si>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</si>
  <si>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</si>
  <si>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</si>
  <si>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</si>
  <si>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</si>
  <si>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</si>
  <si>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</si>
  <si>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</si>
  <si>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</si>
  <si>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</si>
  <si>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</si>
  <si>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</si>
  <si>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</si>
  <si>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</si>
  <si>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</si>
  <si>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</si>
  <si>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</si>
  <si>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</si>
  <si>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</si>
  <si>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</si>
  <si>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</si>
  <si>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</si>
  <si>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</si>
  <si>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</si>
  <si>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</si>
  <si>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</si>
  <si>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</si>
  <si>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</si>
  <si>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</si>
  <si>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</si>
  <si>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</si>
  <si>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</si>
  <si>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</si>
  <si>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</si>
  <si>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</si>
  <si>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</si>
  <si>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</si>
  <si>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</si>
  <si>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</si>
  <si>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</si>
  <si>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</si>
  <si>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</si>
  <si>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</si>
  <si>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</si>
  <si>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</si>
  <si>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</si>
  <si>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</si>
  <si>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</si>
  <si>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</si>
  <si>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</si>
  <si>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</si>
  <si>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</si>
  <si>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</si>
  <si>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</si>
  <si>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</si>
  <si>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</si>
  <si>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</si>
  <si>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</si>
  <si>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</si>
  <si>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</si>
  <si>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</si>
  <si>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</si>
  <si>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</si>
  <si>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</si>
  <si>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</si>
  <si>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</si>
  <si>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</si>
  <si>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</si>
  <si>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</si>
  <si>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</si>
  <si>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</si>
  <si>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</si>
  <si>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</si>
  <si>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</si>
  <si>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</si>
  <si>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</si>
  <si>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</si>
  <si>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</si>
  <si>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</si>
  <si>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</si>
  <si>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</si>
  <si>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</si>
  <si>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</si>
  <si>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</si>
  <si>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</si>
  <si>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</si>
  <si>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</si>
  <si>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</si>
  <si>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</si>
  <si>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</si>
  <si>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</si>
  <si>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</si>
  <si>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</si>
  <si>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</si>
  <si>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</si>
  <si>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</si>
  <si>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</si>
  <si>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</si>
  <si>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</si>
  <si>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</si>
  <si>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</si>
  <si>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</si>
  <si>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</si>
  <si>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</si>
  <si>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</si>
  <si>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</si>
  <si>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</si>
  <si>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</si>
  <si>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</si>
  <si>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</si>
  <si>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</si>
  <si>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</si>
  <si>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</si>
  <si>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</si>
  <si>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</si>
  <si>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</si>
  <si>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</si>
  <si>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</si>
  <si>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</si>
  <si>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</si>
  <si>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</si>
  <si>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</si>
  <si>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</si>
  <si>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</si>
  <si>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</si>
  <si>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</si>
  <si>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</si>
  <si>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</si>
  <si>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</si>
  <si>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</si>
  <si>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</si>
  <si>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</si>
  <si>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</si>
  <si>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</si>
  <si>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</si>
  <si>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</si>
  <si>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</si>
  <si>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</si>
  <si>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</si>
  <si>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</si>
  <si>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</si>
  <si>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</si>
  <si>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</si>
  <si>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</si>
  <si>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</si>
  <si>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</si>
  <si>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</si>
  <si>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</si>
  <si>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</si>
  <si>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</si>
  <si>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</si>
  <si>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</si>
  <si>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</si>
  <si>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</si>
  <si>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</si>
  <si>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</si>
  <si>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</si>
  <si>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</si>
  <si>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</si>
  <si>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</si>
  <si>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</si>
  <si>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</si>
  <si>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</si>
  <si>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</si>
  <si>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</si>
  <si>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</si>
  <si>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</si>
  <si>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</si>
  <si>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</si>
  <si>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</si>
  <si>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</si>
  <si>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</si>
  <si>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</si>
  <si>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</si>
  <si>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</si>
  <si>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</si>
  <si>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</si>
  <si>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</si>
  <si>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</si>
  <si>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</si>
  <si>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</si>
  <si>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</si>
  <si>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</si>
  <si>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</si>
  <si>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</si>
  <si>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</si>
  <si>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</si>
  <si>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</si>
  <si>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</si>
  <si>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</si>
  <si>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</si>
  <si>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</si>
  <si>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</si>
  <si>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</si>
  <si>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</si>
  <si>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</si>
  <si>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</si>
  <si>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</si>
  <si>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</si>
  <si>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</si>
  <si>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</si>
  <si>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</si>
  <si>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</si>
  <si>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</si>
  <si>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</si>
  <si>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</si>
  <si>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</si>
  <si>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</si>
  <si>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</si>
  <si>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</si>
  <si>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</si>
  <si>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</si>
  <si>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</si>
  <si>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</si>
  <si>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</si>
  <si>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</si>
  <si>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</si>
  <si>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</si>
  <si>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</si>
  <si>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</si>
  <si>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</si>
  <si>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</si>
  <si>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</si>
  <si>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</si>
  <si>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</si>
  <si>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</si>
  <si>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</si>
  <si>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COOK</t>
  </si>
  <si>
    <t>1177 DEE ROAD</t>
  </si>
  <si>
    <t>PARK RIDGE</t>
  </si>
  <si>
    <t>AROMITO@MAINE207.ORG</t>
  </si>
  <si>
    <t>X</t>
  </si>
  <si>
    <t>AMY ROMITO</t>
  </si>
  <si>
    <t>847-692-8024</t>
  </si>
  <si>
    <t>THOMAS AHLBECK</t>
  </si>
  <si>
    <t>TAHLBECK@AHLBECK.COM</t>
  </si>
  <si>
    <t>847-824-1812</t>
  </si>
  <si>
    <t>847-824-4012</t>
  </si>
  <si>
    <t>Maine Township Treasurer</t>
  </si>
  <si>
    <t>Maine Township High School District Insurance Plan</t>
  </si>
  <si>
    <t>Audit Check</t>
  </si>
  <si>
    <t>Contracts section not completed as the instructions indicate it is for school districts only.</t>
  </si>
  <si>
    <t xml:space="preserve">   Miscellaneous revenues </t>
  </si>
  <si>
    <t>Page 11, Line 107, Account 1999, Educational Fund, $22</t>
  </si>
  <si>
    <t>CHERYDEN JUERGENSEN</t>
  </si>
  <si>
    <t>MAINE TOWNSHIP</t>
  </si>
  <si>
    <t xml:space="preserve"> North Suburban Ed Reg for Vocation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</si>
</sst>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970">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2" fillId="0" borderId="0" applyAlignment="0"/>
    <xf numFmtId="185" fontId="163" fillId="0" borderId="0" applyFont="0" applyFill="0" applyBorder="0" applyAlignment="0" applyProtection="0"/>
    <xf numFmtId="186" fontId="163" fillId="0" borderId="0" applyFont="0" applyFill="0" applyBorder="0" applyAlignment="0" applyProtection="0"/>
    <xf numFmtId="43" fontId="12" fillId="0" borderId="0" applyAlignment="0"/>
    <xf numFmtId="0" fontId="4"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7" fontId="163" fillId="0" borderId="0" applyFont="0" applyFill="0" applyBorder="0" applyAlignment="0" applyProtection="0"/>
    <xf numFmtId="188" fontId="163" fillId="0" borderId="0" applyFont="0" applyFill="0" applyBorder="0" applyAlignment="0" applyProtection="0"/>
    <xf numFmtId="43" fontId="12" fillId="0" borderId="0" applyAlignment="0"/>
    <xf numFmtId="189" fontId="163" fillId="0" borderId="0" applyFont="0" applyFill="0" applyBorder="0" applyAlignment="0" applyProtection="0">
      <alignment horizontal="right"/>
    </xf>
    <xf numFmtId="190" fontId="163" fillId="0" borderId="0" applyFont="0" applyFill="0" applyBorder="0" applyAlignment="0" applyProtection="0"/>
    <xf numFmtId="191" fontId="163" fillId="0" borderId="0" applyFont="0" applyFill="0" applyBorder="0" applyAlignment="0" applyProtection="0">
      <alignment horizontal="right"/>
    </xf>
    <xf numFmtId="192" fontId="163" fillId="0" borderId="0" applyFont="0" applyFill="0" applyBorder="0" applyAlignment="0" applyProtection="0">
      <alignment horizontal="right"/>
    </xf>
    <xf numFmtId="193" fontId="163" fillId="0" borderId="0" applyFont="0" applyFill="0" applyBorder="0" applyAlignment="0" applyProtection="0">
      <alignment horizontal="right"/>
    </xf>
    <xf numFmtId="194" fontId="163" fillId="0" borderId="0" applyFont="0" applyFill="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29" borderId="0" applyNumberFormat="0" applyBorder="0" applyAlignment="0" applyProtection="0"/>
    <xf numFmtId="0" fontId="145" fillId="30"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9" borderId="0" applyNumberFormat="0" applyBorder="0" applyAlignment="0" applyProtection="0"/>
    <xf numFmtId="0" fontId="145" fillId="33" borderId="0" applyNumberFormat="0" applyBorder="0" applyAlignment="0" applyProtection="0"/>
    <xf numFmtId="0" fontId="157" fillId="30"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45" fillId="26" borderId="0" applyNumberFormat="0" applyBorder="0" applyAlignment="0" applyProtection="0"/>
    <xf numFmtId="0" fontId="145" fillId="30" borderId="0" applyNumberFormat="0" applyBorder="0" applyAlignment="0" applyProtection="0"/>
    <xf numFmtId="0" fontId="157" fillId="30"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34"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45" fillId="29" borderId="0" applyNumberFormat="0" applyBorder="0" applyAlignment="0" applyProtection="0"/>
    <xf numFmtId="0" fontId="145" fillId="36" borderId="0" applyNumberFormat="0" applyBorder="0" applyAlignment="0" applyProtection="0"/>
    <xf numFmtId="0" fontId="157" fillId="36"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63" fillId="0" borderId="164" applyNumberFormat="0" applyFill="0" applyAlignment="0" applyProtection="0"/>
    <xf numFmtId="195" fontId="164" fillId="0" borderId="164" applyNumberFormat="0" applyFill="0" applyAlignment="0" applyProtection="0">
      <alignment horizontal="center"/>
    </xf>
    <xf numFmtId="195" fontId="164" fillId="0" borderId="78" applyFill="0" applyAlignment="0" applyProtection="0">
      <alignment horizontal="center"/>
    </xf>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65" fillId="0" borderId="0" applyProtection="0"/>
    <xf numFmtId="195"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4" fillId="0" borderId="0" applyProtection="0"/>
    <xf numFmtId="196" fontId="163" fillId="0" borderId="0" applyFont="0" applyFill="0" applyBorder="0" applyAlignment="0" applyProtection="0"/>
    <xf numFmtId="195" fontId="164" fillId="0" borderId="166" applyNumberFormat="0" applyFill="0" applyAlignment="0" applyProtection="0"/>
    <xf numFmtId="0" fontId="163" fillId="0" borderId="166" applyNumberFormat="0" applyFill="0" applyAlignment="0" applyProtection="0"/>
    <xf numFmtId="0" fontId="156" fillId="40" borderId="0" applyNumberFormat="0" applyBorder="0" applyAlignment="0" applyProtection="0"/>
    <xf numFmtId="0" fontId="156" fillId="41" borderId="0" applyNumberFormat="0" applyBorder="0" applyAlignment="0" applyProtection="0"/>
    <xf numFmtId="0" fontId="156" fillId="42"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4" fillId="0" borderId="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39"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7" fontId="163" fillId="0" borderId="0" applyFont="0" applyFill="0" applyBorder="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64" fillId="0" borderId="0" applyNumberFormat="0" applyFill="0" applyAlignment="0" applyProtection="0"/>
    <xf numFmtId="0" fontId="12" fillId="0" borderId="0"/>
    <xf numFmtId="0" fontId="12" fillId="0" borderId="0"/>
    <xf numFmtId="0" fontId="12" fillId="0" borderId="0"/>
    <xf numFmtId="0" fontId="12" fillId="0" borderId="0"/>
    <xf numFmtId="0" fontId="4" fillId="0" borderId="0"/>
    <xf numFmtId="0" fontId="143" fillId="0" borderId="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198" fontId="164" fillId="0" borderId="0" applyFill="0" applyBorder="0" applyProtection="0">
      <alignment horizontal="right"/>
    </xf>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199"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2" applyNumberFormat="0" applyFont="0" applyFill="0" applyAlignment="0" applyProtection="0"/>
    <xf numFmtId="0" fontId="163" fillId="0" borderId="173" applyNumberFormat="0" applyFont="0" applyFill="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143" fillId="0" borderId="0"/>
    <xf numFmtId="0" fontId="12" fillId="0" borderId="0"/>
    <xf numFmtId="0" fontId="12" fillId="0" borderId="0"/>
    <xf numFmtId="0" fontId="12" fillId="0" borderId="0"/>
    <xf numFmtId="0" fontId="12" fillId="0" borderId="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4" fillId="0" borderId="0"/>
    <xf numFmtId="0" fontId="12" fillId="0" borderId="0"/>
    <xf numFmtId="43" fontId="4"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53" fillId="0" borderId="0"/>
    <xf numFmtId="0" fontId="4" fillId="0" borderId="0"/>
    <xf numFmtId="43" fontId="4" fillId="0" borderId="0" applyFont="0" applyFill="0" applyBorder="0" applyAlignment="0" applyProtection="0"/>
    <xf numFmtId="0" fontId="4" fillId="0" borderId="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8" fillId="0" borderId="0" applyNumberFormat="0" applyFill="0" applyBorder="0" applyAlignment="0" applyProtection="0">
      <alignment vertical="top"/>
      <protection locked="0"/>
    </xf>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2" fillId="0" borderId="0" applyAlignment="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4" fillId="0" borderId="0"/>
    <xf numFmtId="43" fontId="12" fillId="0" borderId="0" applyAlignment="0"/>
    <xf numFmtId="43" fontId="12" fillId="0" borderId="0" applyAlignment="0"/>
    <xf numFmtId="43"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4"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3" fillId="62" borderId="171" applyNumberFormat="0" applyAlignment="0" applyProtection="0"/>
    <xf numFmtId="0" fontId="156" fillId="0" borderId="177" applyNumberFormat="0" applyFill="0" applyAlignment="0" applyProtection="0"/>
    <xf numFmtId="43" fontId="4" fillId="0" borderId="0" applyFont="0" applyFill="0" applyBorder="0" applyAlignment="0" applyProtection="0"/>
    <xf numFmtId="0" fontId="4" fillId="0" borderId="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6"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2" fillId="0" borderId="0" applyAlignment="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4" fillId="0" borderId="0"/>
    <xf numFmtId="43" fontId="12" fillId="0" borderId="0" applyAlignment="0"/>
    <xf numFmtId="43" fontId="12" fillId="0" borderId="0" applyAlignment="0"/>
    <xf numFmtId="43"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2639">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2"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14" xfId="0" applyNumberFormat="1" applyFont="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0" fontId="59" fillId="0" borderId="0" xfId="3" applyFont="1" applyAlignment="1">
      <alignment horizontal="center" vertical="center"/>
    </xf>
    <xf numFmtId="0" fontId="3" fillId="0" borderId="0" xfId="3740"/>
    <xf numFmtId="0" fontId="102" fillId="0" borderId="178" xfId="3741" applyFont="1" applyBorder="1"/>
    <xf numFmtId="0" fontId="102" fillId="0" borderId="164" xfId="3741" applyFont="1" applyBorder="1"/>
    <xf numFmtId="0" fontId="102" fillId="0" borderId="179" xfId="3741" applyFont="1" applyBorder="1"/>
    <xf numFmtId="0" fontId="102" fillId="0" borderId="0" xfId="3741" applyFont="1"/>
    <xf numFmtId="0" fontId="102" fillId="0" borderId="181" xfId="3741" applyFont="1" applyBorder="1"/>
    <xf numFmtId="0" fontId="101" fillId="0" borderId="181" xfId="3741" applyFont="1" applyBorder="1"/>
    <xf numFmtId="0" fontId="102" fillId="0" borderId="180" xfId="3741" applyFont="1" applyBorder="1"/>
    <xf numFmtId="0" fontId="184" fillId="0" borderId="0" xfId="3741" applyFont="1"/>
    <xf numFmtId="38" fontId="67" fillId="16" borderId="182" xfId="3741" applyNumberFormat="1" applyFont="1" applyFill="1" applyBorder="1" applyAlignment="1">
      <alignment horizontal="center"/>
    </xf>
    <xf numFmtId="38" fontId="67" fillId="16" borderId="77" xfId="3741" applyNumberFormat="1" applyFont="1" applyFill="1" applyBorder="1" applyAlignment="1">
      <alignment horizontal="center"/>
    </xf>
    <xf numFmtId="38" fontId="67" fillId="66" borderId="77" xfId="3741" applyNumberFormat="1" applyFont="1" applyFill="1" applyBorder="1" applyAlignment="1">
      <alignment horizontal="center"/>
    </xf>
    <xf numFmtId="0" fontId="59" fillId="66" borderId="77" xfId="3741" applyFont="1" applyFill="1" applyBorder="1"/>
    <xf numFmtId="38" fontId="67" fillId="16" borderId="184" xfId="3741" applyNumberFormat="1" applyFont="1" applyFill="1" applyBorder="1" applyAlignment="1">
      <alignment horizontal="center" wrapText="1"/>
    </xf>
    <xf numFmtId="38" fontId="59" fillId="0" borderId="185" xfId="3741" applyNumberFormat="1" applyFont="1" applyBorder="1" applyAlignment="1" applyProtection="1">
      <alignment horizontal="center"/>
      <protection locked="0"/>
    </xf>
    <xf numFmtId="38" fontId="59" fillId="0" borderId="186" xfId="3741" applyNumberFormat="1" applyFont="1" applyBorder="1" applyAlignment="1" applyProtection="1">
      <alignment horizontal="center"/>
      <protection locked="0"/>
    </xf>
    <xf numFmtId="38" fontId="59" fillId="66" borderId="0" xfId="3741" applyNumberFormat="1" applyFont="1" applyFill="1" applyAlignment="1">
      <alignment horizontal="center"/>
    </xf>
    <xf numFmtId="0" fontId="59" fillId="0" borderId="185" xfId="3741" applyFont="1" applyBorder="1" applyAlignment="1">
      <alignment horizontal="center"/>
    </xf>
    <xf numFmtId="38" fontId="59" fillId="0" borderId="188" xfId="3741" applyNumberFormat="1" applyFont="1" applyBorder="1" applyAlignment="1" applyProtection="1">
      <alignment horizontal="center"/>
      <protection locked="0"/>
    </xf>
    <xf numFmtId="38" fontId="59" fillId="0" borderId="189" xfId="3741" applyNumberFormat="1" applyFont="1" applyBorder="1" applyAlignment="1" applyProtection="1">
      <alignment horizontal="center"/>
      <protection locked="0"/>
    </xf>
    <xf numFmtId="0" fontId="59" fillId="0" borderId="188" xfId="3741" applyFont="1" applyBorder="1" applyAlignment="1">
      <alignment horizontal="center"/>
    </xf>
    <xf numFmtId="38" fontId="59" fillId="0" borderId="191" xfId="3741" applyNumberFormat="1" applyFont="1" applyBorder="1" applyAlignment="1" applyProtection="1">
      <alignment horizontal="center"/>
      <protection locked="0"/>
    </xf>
    <xf numFmtId="38" fontId="59" fillId="0" borderId="192" xfId="3741" applyNumberFormat="1" applyFont="1" applyBorder="1" applyAlignment="1" applyProtection="1">
      <alignment horizontal="center"/>
      <protection locked="0"/>
    </xf>
    <xf numFmtId="38" fontId="67" fillId="67" borderId="193" xfId="3741" applyNumberFormat="1" applyFont="1" applyFill="1" applyBorder="1" applyAlignment="1" applyProtection="1">
      <alignment horizontal="center"/>
      <protection locked="0"/>
    </xf>
    <xf numFmtId="0" fontId="59" fillId="0" borderId="191" xfId="3741" applyFont="1" applyBorder="1" applyAlignment="1">
      <alignment horizontal="center"/>
    </xf>
    <xf numFmtId="0" fontId="103" fillId="0" borderId="182" xfId="3741" applyFont="1" applyBorder="1" applyAlignment="1">
      <alignment horizontal="center" wrapText="1"/>
    </xf>
    <xf numFmtId="0" fontId="103" fillId="0" borderId="77" xfId="3741" applyFont="1" applyBorder="1" applyAlignment="1">
      <alignment horizontal="center" wrapText="1"/>
    </xf>
    <xf numFmtId="0" fontId="59" fillId="66" borderId="77" xfId="3741" applyFont="1" applyFill="1" applyBorder="1" applyAlignment="1">
      <alignment horizontal="center"/>
    </xf>
    <xf numFmtId="0" fontId="59" fillId="0" borderId="180" xfId="3741" applyFont="1" applyBorder="1"/>
    <xf numFmtId="0" fontId="59" fillId="0" borderId="0" xfId="3741" applyFont="1"/>
    <xf numFmtId="0" fontId="59" fillId="0" borderId="181" xfId="3741" applyFont="1" applyBorder="1"/>
    <xf numFmtId="0" fontId="59" fillId="0" borderId="0" xfId="3" applyFont="1" applyAlignment="1">
      <alignment horizontal="right" vertical="center" indent="1"/>
    </xf>
    <xf numFmtId="0" fontId="185" fillId="0" borderId="181" xfId="3741" applyFont="1" applyBorder="1"/>
    <xf numFmtId="0" fontId="101" fillId="0" borderId="180" xfId="3741" applyFont="1" applyBorder="1" applyAlignment="1">
      <alignment wrapText="1"/>
    </xf>
    <xf numFmtId="0" fontId="101" fillId="0" borderId="0" xfId="3741" applyFont="1" applyAlignment="1">
      <alignment wrapText="1"/>
    </xf>
    <xf numFmtId="0" fontId="90" fillId="0" borderId="0" xfId="3741" applyFont="1"/>
    <xf numFmtId="0" fontId="59" fillId="0" borderId="180" xfId="3741" applyFont="1" applyBorder="1" applyAlignment="1">
      <alignment wrapText="1"/>
    </xf>
    <xf numFmtId="0" fontId="59" fillId="0" borderId="0" xfId="3741" applyFont="1" applyAlignment="1">
      <alignment wrapText="1"/>
    </xf>
    <xf numFmtId="0" fontId="59" fillId="0" borderId="181" xfId="3741" applyFont="1" applyBorder="1" applyAlignment="1">
      <alignment wrapText="1"/>
    </xf>
    <xf numFmtId="0" fontId="59" fillId="0" borderId="178" xfId="3" applyFont="1" applyBorder="1" applyAlignment="1">
      <alignment vertical="center"/>
    </xf>
    <xf numFmtId="0" fontId="59" fillId="0" borderId="164" xfId="3" applyFont="1" applyBorder="1" applyAlignment="1">
      <alignment vertical="center"/>
    </xf>
    <xf numFmtId="0" fontId="59" fillId="0" borderId="179" xfId="3" applyFont="1" applyBorder="1" applyAlignment="1">
      <alignment vertical="center"/>
    </xf>
    <xf numFmtId="0" fontId="59" fillId="0" borderId="180" xfId="3" applyFont="1" applyBorder="1" applyAlignment="1">
      <alignment vertical="center"/>
    </xf>
    <xf numFmtId="0" fontId="59" fillId="0" borderId="181" xfId="3" applyFont="1" applyBorder="1" applyAlignment="1">
      <alignment vertical="center"/>
    </xf>
    <xf numFmtId="0" fontId="59" fillId="0" borderId="0" xfId="3" quotePrefix="1" applyFont="1" applyAlignment="1" applyProtection="1">
      <alignment horizontal="left" vertical="top" wrapText="1" indent="2"/>
      <protection hidden="1"/>
    </xf>
    <xf numFmtId="0" fontId="67" fillId="0" borderId="22" xfId="3" applyFont="1" applyBorder="1" applyAlignment="1" applyProtection="1">
      <alignment horizontal="center" vertical="center"/>
      <protection locked="0"/>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applyFont="1" applyAlignment="1">
      <alignment horizontal="left" vertical="center" indent="2"/>
    </xf>
    <xf numFmtId="0" fontId="59" fillId="0" borderId="0" xfId="3" applyFont="1" applyAlignment="1" applyProtection="1">
      <alignment horizontal="left" vertical="top" wrapText="1" indent="2"/>
      <protection hidden="1"/>
    </xf>
    <xf numFmtId="0" fontId="67" fillId="0" borderId="0" xfId="3" applyFont="1" applyAlignment="1">
      <alignment vertical="center"/>
    </xf>
    <xf numFmtId="0" fontId="81" fillId="0" borderId="0" xfId="3" applyFont="1" applyAlignment="1">
      <alignment vertical="center"/>
    </xf>
    <xf numFmtId="0" fontId="82" fillId="0" borderId="0" xfId="3" applyFont="1" applyAlignment="1">
      <alignment horizontal="center" vertical="center" wrapText="1"/>
    </xf>
    <xf numFmtId="0" fontId="59" fillId="0" borderId="0" xfId="3" applyFont="1" applyAlignment="1">
      <alignment horizontal="center" wrapText="1"/>
    </xf>
    <xf numFmtId="0" fontId="67" fillId="0" borderId="0" xfId="3" applyFont="1" applyAlignment="1">
      <alignment horizontal="right"/>
    </xf>
    <xf numFmtId="0" fontId="59" fillId="0" borderId="0" xfId="3" applyFont="1" applyAlignment="1">
      <alignment horizontal="right" vertical="center"/>
    </xf>
    <xf numFmtId="0" fontId="82" fillId="0" borderId="0" xfId="3" applyFont="1"/>
    <xf numFmtId="0" fontId="82" fillId="0" borderId="131" xfId="3" applyFont="1" applyBorder="1" applyAlignment="1">
      <alignment horizontal="center"/>
    </xf>
    <xf numFmtId="0" fontId="82" fillId="0" borderId="0" xfId="3" applyFont="1" applyAlignment="1">
      <alignment vertical="center" wrapText="1"/>
    </xf>
    <xf numFmtId="0" fontId="59" fillId="0" borderId="131" xfId="3" applyFont="1" applyBorder="1" applyAlignment="1">
      <alignment vertical="center"/>
    </xf>
    <xf numFmtId="0" fontId="82" fillId="0" borderId="131" xfId="3" applyFont="1" applyBorder="1" applyAlignment="1">
      <alignment horizontal="center" vertical="center"/>
    </xf>
    <xf numFmtId="171" fontId="59" fillId="0" borderId="0" xfId="3" applyNumberFormat="1" applyFont="1" applyAlignment="1">
      <alignment horizontal="center"/>
    </xf>
    <xf numFmtId="0" fontId="82" fillId="0" borderId="181" xfId="3" applyFont="1" applyBorder="1" applyAlignment="1">
      <alignment vertical="center"/>
    </xf>
    <xf numFmtId="0" fontId="59" fillId="0" borderId="0" xfId="3" applyFont="1" applyAlignment="1" applyProtection="1">
      <alignment vertical="center"/>
      <protection hidden="1"/>
    </xf>
    <xf numFmtId="0" fontId="59" fillId="0" borderId="0" xfId="3" applyFont="1" applyAlignment="1" applyProtection="1">
      <alignment horizontal="right" vertical="center"/>
      <protection hidden="1"/>
    </xf>
    <xf numFmtId="0" fontId="59" fillId="0" borderId="181" xfId="3" applyFont="1" applyBorder="1" applyAlignment="1" applyProtection="1">
      <alignment vertical="center"/>
      <protection hidden="1"/>
    </xf>
    <xf numFmtId="0" fontId="67" fillId="0" borderId="181" xfId="3" applyFont="1" applyBorder="1" applyAlignment="1">
      <alignment vertical="center"/>
    </xf>
    <xf numFmtId="9" fontId="59" fillId="0" borderId="0" xfId="3" applyNumberFormat="1" applyFont="1" applyAlignment="1">
      <alignment horizontal="center" vertical="center" shrinkToFit="1"/>
    </xf>
    <xf numFmtId="0" fontId="59" fillId="0" borderId="0" xfId="3" applyFont="1" applyAlignment="1">
      <alignment vertical="center" shrinkToFit="1"/>
    </xf>
    <xf numFmtId="0" fontId="59" fillId="0" borderId="181" xfId="3" applyFont="1" applyBorder="1" applyAlignment="1">
      <alignment horizontal="right" vertical="center"/>
    </xf>
    <xf numFmtId="9" fontId="59" fillId="16" borderId="125" xfId="3" applyNumberFormat="1" applyFont="1" applyFill="1" applyBorder="1" applyAlignment="1">
      <alignment horizontal="center" vertical="center" shrinkToFit="1"/>
    </xf>
    <xf numFmtId="0" fontId="59" fillId="15" borderId="125" xfId="3" applyFont="1" applyFill="1" applyBorder="1" applyAlignment="1">
      <alignment vertical="center" shrinkToFit="1"/>
    </xf>
    <xf numFmtId="164" fontId="67" fillId="0" borderId="202" xfId="3" applyNumberFormat="1" applyFont="1" applyBorder="1" applyAlignment="1">
      <alignment horizontal="right" vertical="center"/>
    </xf>
    <xf numFmtId="38" fontId="59" fillId="16" borderId="27" xfId="3" applyNumberFormat="1" applyFont="1" applyFill="1" applyBorder="1" applyAlignment="1">
      <alignment vertical="center" shrinkToFit="1"/>
    </xf>
    <xf numFmtId="0" fontId="59" fillId="0" borderId="14" xfId="3" applyFont="1" applyBorder="1" applyAlignment="1">
      <alignment horizontal="center" vertical="center"/>
    </xf>
    <xf numFmtId="0" fontId="67" fillId="0" borderId="21" xfId="3" applyFont="1" applyBorder="1" applyAlignment="1">
      <alignment horizontal="left" vertical="center"/>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164" fontId="67" fillId="0" borderId="202" xfId="3" applyNumberFormat="1" applyFont="1" applyBorder="1" applyAlignment="1">
      <alignment vertical="top"/>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67" borderId="2" xfId="3" applyNumberFormat="1" applyFont="1" applyFill="1" applyBorder="1" applyAlignment="1" applyProtection="1">
      <alignment vertical="center" shrinkToFit="1"/>
      <protection locked="0"/>
    </xf>
    <xf numFmtId="0" fontId="59" fillId="0" borderId="2" xfId="3" applyFont="1" applyBorder="1" applyAlignment="1">
      <alignment horizontal="left" vertical="center" indent="1"/>
    </xf>
    <xf numFmtId="0" fontId="59" fillId="0" borderId="14" xfId="3" applyFont="1" applyBorder="1" applyAlignment="1">
      <alignment horizontal="left" vertical="center"/>
    </xf>
    <xf numFmtId="0" fontId="59" fillId="0" borderId="21" xfId="3" applyFont="1" applyBorder="1" applyAlignment="1">
      <alignment horizontal="left" vertical="center"/>
    </xf>
    <xf numFmtId="0" fontId="59" fillId="0" borderId="2" xfId="3" applyFont="1" applyBorder="1" applyAlignment="1">
      <alignment horizontal="left" vertical="top" indent="1"/>
    </xf>
    <xf numFmtId="0" fontId="67" fillId="0" borderId="125" xfId="3" applyFont="1" applyBorder="1" applyAlignment="1">
      <alignment horizontal="center" vertical="center"/>
    </xf>
    <xf numFmtId="0" fontId="67" fillId="0" borderId="125" xfId="3741" applyFont="1" applyBorder="1" applyAlignment="1">
      <alignment horizontal="center" vertical="center" wrapText="1"/>
    </xf>
    <xf numFmtId="0" fontId="67" fillId="0" borderId="125" xfId="3" applyFont="1" applyBorder="1" applyAlignment="1">
      <alignment horizontal="center" vertical="center" wrapText="1"/>
    </xf>
    <xf numFmtId="0" fontId="67" fillId="0" borderId="3" xfId="3" applyFont="1" applyBorder="1" applyAlignment="1">
      <alignment horizontal="center" vertical="center"/>
    </xf>
    <xf numFmtId="0" fontId="67" fillId="0" borderId="3" xfId="3741" quotePrefix="1" applyFont="1" applyBorder="1" applyAlignment="1">
      <alignment horizontal="center" vertical="center"/>
    </xf>
    <xf numFmtId="0" fontId="59" fillId="0" borderId="3" xfId="3" applyFont="1" applyBorder="1" applyAlignment="1">
      <alignment horizontal="center" vertical="center"/>
    </xf>
    <xf numFmtId="0" fontId="67" fillId="0" borderId="10" xfId="3" applyFont="1" applyBorder="1" applyAlignment="1">
      <alignment horizontal="center" vertical="center"/>
    </xf>
    <xf numFmtId="0" fontId="59" fillId="0" borderId="26" xfId="3" applyFont="1" applyBorder="1" applyAlignment="1">
      <alignment vertical="center"/>
    </xf>
    <xf numFmtId="0" fontId="59" fillId="0" borderId="10"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67" fillId="0" borderId="12" xfId="3" applyFont="1" applyBorder="1" applyAlignment="1" applyProtection="1">
      <alignment horizontal="centerContinuous" vertical="center"/>
      <protection hidden="1"/>
    </xf>
    <xf numFmtId="0" fontId="59" fillId="0" borderId="3" xfId="3" applyFont="1" applyBorder="1" applyAlignment="1">
      <alignment vertical="center"/>
    </xf>
    <xf numFmtId="0" fontId="59" fillId="0" borderId="16" xfId="3" applyFont="1" applyBorder="1" applyAlignment="1">
      <alignment vertical="center"/>
    </xf>
    <xf numFmtId="0" fontId="59" fillId="0" borderId="204" xfId="3" applyFont="1" applyBorder="1" applyAlignment="1">
      <alignment vertical="center"/>
    </xf>
    <xf numFmtId="0" fontId="59" fillId="0" borderId="126" xfId="3" applyFont="1" applyBorder="1" applyAlignment="1">
      <alignment vertical="center"/>
    </xf>
    <xf numFmtId="0" fontId="59" fillId="0" borderId="123" xfId="3" applyFont="1" applyBorder="1" applyAlignment="1">
      <alignment vertical="center"/>
    </xf>
    <xf numFmtId="0" fontId="59" fillId="22" borderId="124" xfId="3" applyFont="1" applyFill="1" applyBorder="1" applyAlignment="1">
      <alignment vertical="center"/>
    </xf>
    <xf numFmtId="0" fontId="59" fillId="22" borderId="126" xfId="3" applyFont="1" applyFill="1" applyBorder="1" applyAlignment="1">
      <alignment vertical="center"/>
    </xf>
    <xf numFmtId="0" fontId="59" fillId="22" borderId="203" xfId="3" applyFont="1" applyFill="1" applyBorder="1" applyAlignment="1">
      <alignment vertical="center"/>
    </xf>
    <xf numFmtId="0" fontId="59" fillId="0" borderId="17" xfId="3" applyFont="1" applyBorder="1" applyAlignment="1">
      <alignment vertical="center"/>
    </xf>
    <xf numFmtId="0" fontId="59" fillId="0" borderId="17" xfId="3" applyFont="1" applyBorder="1" applyAlignment="1">
      <alignment horizontal="center" vertical="center"/>
    </xf>
    <xf numFmtId="0" fontId="67" fillId="22" borderId="204" xfId="3" applyFont="1" applyFill="1" applyBorder="1" applyAlignment="1">
      <alignment horizontal="left"/>
    </xf>
    <xf numFmtId="0" fontId="67" fillId="0" borderId="0" xfId="3" applyFont="1" applyAlignment="1">
      <alignment horizontal="left" vertical="center"/>
    </xf>
    <xf numFmtId="0" fontId="59" fillId="0" borderId="196" xfId="3" applyFont="1" applyBorder="1" applyAlignment="1">
      <alignment vertical="center"/>
    </xf>
    <xf numFmtId="0" fontId="59" fillId="0" borderId="172" xfId="3" applyFont="1" applyBorder="1" applyAlignment="1">
      <alignment vertical="center"/>
    </xf>
    <xf numFmtId="0" fontId="67" fillId="0" borderId="172" xfId="3" applyFont="1" applyBorder="1" applyAlignment="1">
      <alignment horizontal="left" vertical="center"/>
    </xf>
    <xf numFmtId="0" fontId="67" fillId="0" borderId="172" xfId="3" applyFont="1" applyBorder="1" applyAlignment="1">
      <alignment horizontal="center" vertical="center"/>
    </xf>
    <xf numFmtId="0" fontId="59" fillId="0" borderId="205" xfId="3" applyFont="1" applyBorder="1" applyAlignment="1">
      <alignment vertical="center"/>
    </xf>
    <xf numFmtId="0" fontId="0" fillId="0" borderId="0" xfId="0"/>
    <xf numFmtId="0" fontId="59" fillId="0" borderId="0" xfId="0" applyFont="1"/>
    <xf numFmtId="164" fontId="64" fillId="0" borderId="0" xfId="0" applyNumberFormat="1" applyFont="1"/>
    <xf numFmtId="164" fontId="59" fillId="0" borderId="0" xfId="0" applyNumberFormat="1" applyFont="1"/>
    <xf numFmtId="0" fontId="0" fillId="0" borderId="0" xfId="0"/>
    <xf numFmtId="0" fontId="59" fillId="0" borderId="0" xfId="0" applyFont="1"/>
    <xf numFmtId="164" fontId="64" fillId="0" borderId="0" xfId="0" applyNumberFormat="1" applyFont="1"/>
    <xf numFmtId="164" fontId="59" fillId="0" borderId="0" xfId="0" applyNumberFormat="1" applyFont="1"/>
    <xf numFmtId="0" fontId="59" fillId="0" borderId="0" xfId="0" quotePrefix="1" applyFont="1"/>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67" borderId="78" xfId="3" applyFont="1" applyFill="1" applyBorder="1" applyAlignment="1" applyProtection="1">
      <alignment horizontal="left" vertical="center" indent="1"/>
      <protection locked="0"/>
    </xf>
    <xf numFmtId="0" fontId="67" fillId="67" borderId="78" xfId="3" applyFont="1" applyFill="1" applyBorder="1" applyAlignment="1" applyProtection="1">
      <alignment horizontal="left" vertical="center"/>
      <protection locked="0"/>
    </xf>
    <xf numFmtId="0" fontId="59" fillId="22" borderId="181"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67" borderId="76" xfId="3" applyNumberFormat="1" applyFont="1" applyFill="1" applyBorder="1" applyAlignment="1" applyProtection="1">
      <alignment horizontal="left" vertical="center" indent="1"/>
      <protection locked="0"/>
    </xf>
    <xf numFmtId="0" fontId="67" fillId="0" borderId="203" xfId="3"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59" fillId="0" borderId="126" xfId="3" applyFont="1" applyBorder="1" applyAlignment="1">
      <alignment horizontal="left" vertical="center" indent="1"/>
    </xf>
    <xf numFmtId="0" fontId="59" fillId="0" borderId="198" xfId="3" applyFont="1" applyBorder="1" applyAlignment="1">
      <alignment horizontal="left" vertical="center"/>
    </xf>
    <xf numFmtId="0" fontId="59" fillId="0" borderId="132" xfId="3"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Font="1" applyBorder="1" applyAlignment="1" applyProtection="1">
      <alignment horizontal="center"/>
      <protection locked="0"/>
    </xf>
    <xf numFmtId="0" fontId="82" fillId="0" borderId="131"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86" fillId="0" borderId="201" xfId="3741" applyFont="1" applyBorder="1" applyAlignment="1">
      <alignment horizontal="center"/>
    </xf>
    <xf numFmtId="0" fontId="186" fillId="0" borderId="200" xfId="3741" applyFont="1" applyBorder="1" applyAlignment="1">
      <alignment horizontal="center"/>
    </xf>
    <xf numFmtId="0" fontId="186" fillId="0" borderId="199" xfId="3741" applyFont="1" applyBorder="1" applyAlignment="1">
      <alignment horizontal="center"/>
    </xf>
    <xf numFmtId="0" fontId="59" fillId="0" borderId="181" xfId="3741" applyFont="1" applyBorder="1" applyAlignment="1">
      <alignment wrapText="1"/>
    </xf>
    <xf numFmtId="0" fontId="59" fillId="0" borderId="0" xfId="3741" applyFont="1" applyAlignment="1">
      <alignment wrapText="1"/>
    </xf>
    <xf numFmtId="0" fontId="59" fillId="0" borderId="180" xfId="3741" applyFont="1" applyBorder="1" applyAlignment="1">
      <alignment wrapText="1"/>
    </xf>
    <xf numFmtId="0" fontId="59" fillId="0" borderId="190" xfId="3741" applyFont="1" applyBorder="1"/>
    <xf numFmtId="0" fontId="59" fillId="0" borderId="188" xfId="3741" applyFont="1" applyBorder="1"/>
    <xf numFmtId="166" fontId="59" fillId="0" borderId="21" xfId="3" applyNumberFormat="1" applyFont="1" applyBorder="1" applyAlignment="1">
      <alignment horizontal="left" vertical="center" indent="1"/>
    </xf>
    <xf numFmtId="166" fontId="59" fillId="0" borderId="197" xfId="3" applyNumberFormat="1" applyFont="1" applyBorder="1" applyAlignment="1">
      <alignment horizontal="left" vertical="center" indent="1"/>
    </xf>
    <xf numFmtId="0" fontId="59" fillId="66" borderId="183" xfId="3741" applyFont="1" applyFill="1" applyBorder="1"/>
    <xf numFmtId="0" fontId="59" fillId="66" borderId="77" xfId="3741" applyFont="1" applyFill="1" applyBorder="1"/>
    <xf numFmtId="0" fontId="67" fillId="0" borderId="172" xfId="3741" applyFont="1" applyBorder="1" applyAlignment="1">
      <alignment horizontal="center" wrapText="1"/>
    </xf>
    <xf numFmtId="0" fontId="67" fillId="0" borderId="196" xfId="3741" applyFont="1" applyBorder="1" applyAlignment="1">
      <alignment horizontal="center" wrapText="1"/>
    </xf>
    <xf numFmtId="0" fontId="103" fillId="0" borderId="195" xfId="3741" applyFont="1" applyBorder="1" applyAlignment="1">
      <alignment horizontal="center"/>
    </xf>
    <xf numFmtId="0" fontId="103" fillId="0" borderId="78" xfId="3741" applyFont="1" applyBorder="1" applyAlignment="1">
      <alignment horizontal="center"/>
    </xf>
    <xf numFmtId="0" fontId="103" fillId="0" borderId="99" xfId="3741" applyFont="1" applyBorder="1" applyAlignment="1">
      <alignment horizontal="center"/>
    </xf>
    <xf numFmtId="0" fontId="59" fillId="0" borderId="194" xfId="3741" applyFont="1" applyBorder="1"/>
    <xf numFmtId="0" fontId="59" fillId="0" borderId="191" xfId="3741" applyFont="1" applyBorder="1"/>
    <xf numFmtId="0" fontId="59" fillId="0" borderId="190" xfId="3741" applyFont="1" applyBorder="1" applyAlignment="1">
      <alignment wrapText="1"/>
    </xf>
    <xf numFmtId="0" fontId="59" fillId="0" borderId="188" xfId="3741" applyFont="1" applyBorder="1" applyAlignment="1">
      <alignment wrapText="1"/>
    </xf>
    <xf numFmtId="0" fontId="183" fillId="0" borderId="164" xfId="3740" applyFont="1" applyBorder="1" applyAlignment="1">
      <alignment horizontal="left" vertical="center" wrapText="1"/>
    </xf>
    <xf numFmtId="0" fontId="183" fillId="0" borderId="0" xfId="3740" applyFont="1" applyAlignment="1">
      <alignment horizontal="left" vertical="center" wrapText="1"/>
    </xf>
    <xf numFmtId="0" fontId="183" fillId="0" borderId="180" xfId="3740" applyFont="1" applyBorder="1" applyAlignment="1">
      <alignment horizontal="left" vertical="center" wrapText="1"/>
    </xf>
    <xf numFmtId="0" fontId="103" fillId="0" borderId="0" xfId="3741" applyFont="1" applyAlignment="1">
      <alignment horizontal="center" vertical="top" wrapText="1"/>
    </xf>
    <xf numFmtId="0" fontId="103" fillId="0" borderId="180" xfId="3741" applyFont="1" applyBorder="1" applyAlignment="1">
      <alignment horizontal="center" vertical="top" wrapText="1"/>
    </xf>
    <xf numFmtId="0" fontId="59" fillId="0" borderId="187" xfId="3741" applyFont="1" applyBorder="1"/>
    <xf numFmtId="0" fontId="59" fillId="0" borderId="185" xfId="3741" applyFont="1" applyBorder="1"/>
    <xf numFmtId="0" fontId="67" fillId="0" borderId="183" xfId="3741" applyFont="1" applyBorder="1"/>
    <xf numFmtId="0" fontId="67" fillId="0" borderId="77" xfId="3741" applyFont="1" applyBorder="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3970">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3" xfId="3850" xr:uid="{E4DD630E-43D1-4A4C-8E74-08A7A69A5E44}"/>
    <cellStyle name="Comma 3 11" xfId="3508" xr:uid="{EFE4C2AF-257B-4B00-84A3-788A75D1DF95}"/>
    <cellStyle name="Comma 3 12" xfId="3760" xr:uid="{D4BD339F-0B9B-4693-BC1F-B3E8BC2DA060}"/>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3" xfId="3909" xr:uid="{AD41E5AB-7BA5-4F63-AC1D-2F577E4DF891}"/>
    <cellStyle name="Comma 3 4 2 2 3" xfId="3572" xr:uid="{E04064AF-8D5B-474A-A164-ECAD72B69992}"/>
    <cellStyle name="Comma 3 4 2 2 4" xfId="3824" xr:uid="{F7D87535-526C-4E1C-9B39-02A05461564E}"/>
    <cellStyle name="Comma 3 4 2 3" xfId="3448" xr:uid="{4C0A1973-8449-4512-99AA-605FE5B41319}"/>
    <cellStyle name="Comma 3 4 2 3 2" xfId="3713" xr:uid="{73AC7E66-23DF-4B58-93B2-01A534530147}"/>
    <cellStyle name="Comma 3 4 2 3 3" xfId="3949" xr:uid="{FB7A16DB-0F3C-45B2-A755-702C75E16F23}"/>
    <cellStyle name="Comma 3 4 2 4" xfId="2948" xr:uid="{E0A3DC83-1792-4502-9B85-BE13B72125D0}"/>
    <cellStyle name="Comma 3 4 2 4 2" xfId="3617" xr:uid="{DCBA6CE1-3F75-4542-8A63-8887027FE4C4}"/>
    <cellStyle name="Comma 3 4 2 4 3" xfId="3869" xr:uid="{2E48D805-BE48-442A-8185-06BCEF08AE16}"/>
    <cellStyle name="Comma 3 4 2 5" xfId="3527" xr:uid="{543CE7C5-B4AB-4997-941E-024611540791}"/>
    <cellStyle name="Comma 3 4 2 6" xfId="3779" xr:uid="{2C88C0A0-BE67-4A8E-BE6E-E0338AF8A7BB}"/>
    <cellStyle name="Comma 3 4 3" xfId="2886" xr:uid="{B4E3D386-4C3F-4F19-8DB4-D1B17CD29374}"/>
    <cellStyle name="Comma 3 4 3 2" xfId="2982" xr:uid="{056404B3-5C18-4C5C-A3B9-08979F4978C2}"/>
    <cellStyle name="Comma 3 4 3 2 2" xfId="3651" xr:uid="{D33F01AF-8027-4511-B56E-BE81C528FE09}"/>
    <cellStyle name="Comma 3 4 3 2 3" xfId="3892" xr:uid="{77F2E0B7-2DF1-4CA8-8179-93DBC2F8AE40}"/>
    <cellStyle name="Comma 3 4 3 3" xfId="3555" xr:uid="{C92B8B04-10FF-4182-8913-A1DA291D25C2}"/>
    <cellStyle name="Comma 3 4 3 4" xfId="3807" xr:uid="{50FF50F0-29FA-4709-B07E-62CCFE645DFF}"/>
    <cellStyle name="Comma 3 4 4" xfId="3424" xr:uid="{4F1C737B-D85A-402A-8AD7-C59FB17C0CFC}"/>
    <cellStyle name="Comma 3 4 4 2" xfId="3696" xr:uid="{76DC5773-C727-4A82-9030-A6E21916AE21}"/>
    <cellStyle name="Comma 3 4 4 3" xfId="3932" xr:uid="{FC049788-5025-45AD-B38F-10AC13CFEEBC}"/>
    <cellStyle name="Comma 3 4 5" xfId="2931" xr:uid="{1AB89C2F-68FE-47B6-A33C-DDF6A14AC0BD}"/>
    <cellStyle name="Comma 3 4 5 2" xfId="3600" xr:uid="{DFFDE328-BC63-47FC-ADF5-CB0CA6E7B6C8}"/>
    <cellStyle name="Comma 3 4 5 3" xfId="3852" xr:uid="{85E78A81-38D8-4BEB-A3C5-9C80838CCD1B}"/>
    <cellStyle name="Comma 3 4 6" xfId="3510" xr:uid="{AEF1870C-FE26-4342-9D6C-C02A94A4181C}"/>
    <cellStyle name="Comma 3 4 7" xfId="3762" xr:uid="{6B4D02CA-B3F2-496E-845B-FC78635FBE51}"/>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3" xfId="3913" xr:uid="{6290B202-E0B3-41BF-9CD0-D09F4B68CAC2}"/>
    <cellStyle name="Comma 3 5 2 2 3" xfId="3576" xr:uid="{01426F27-B567-4B2A-BFA0-C29176F9529F}"/>
    <cellStyle name="Comma 3 5 2 2 4" xfId="3828" xr:uid="{264C4EEA-7535-4558-A0E6-DA568F5D4F74}"/>
    <cellStyle name="Comma 3 5 2 3" xfId="3452" xr:uid="{8F116F01-8EC7-415E-B53F-03BD58197742}"/>
    <cellStyle name="Comma 3 5 2 3 2" xfId="3717" xr:uid="{D51EE3AA-1E0B-4DE9-B673-3537F8C83E11}"/>
    <cellStyle name="Comma 3 5 2 3 3" xfId="3953" xr:uid="{91D4D17D-20F8-4A21-B56A-09CF19606DA9}"/>
    <cellStyle name="Comma 3 5 2 4" xfId="2952" xr:uid="{20996558-6FFD-4C33-8575-38F6DBA626A3}"/>
    <cellStyle name="Comma 3 5 2 4 2" xfId="3621" xr:uid="{27053ED5-8166-4A31-9A7E-036D191E62A4}"/>
    <cellStyle name="Comma 3 5 2 4 3" xfId="3873" xr:uid="{155B8131-C008-483C-98AF-07B4421E57C1}"/>
    <cellStyle name="Comma 3 5 2 5" xfId="3531" xr:uid="{D014B1BE-8956-48FB-8061-223A2444B888}"/>
    <cellStyle name="Comma 3 5 2 6" xfId="3783" xr:uid="{26D7FA26-C3BE-4E19-B51B-872AD9ECF5C8}"/>
    <cellStyle name="Comma 3 5 3" xfId="2890" xr:uid="{8DED1700-37BC-4DEB-8908-183FECA7AD2B}"/>
    <cellStyle name="Comma 3 5 3 2" xfId="2991" xr:uid="{616C6411-5912-4A05-B822-26D039962FF1}"/>
    <cellStyle name="Comma 3 5 3 2 2" xfId="3660" xr:uid="{DB316F9A-AFEE-4790-8801-6BC8E7798880}"/>
    <cellStyle name="Comma 3 5 3 2 3" xfId="3896" xr:uid="{55BA0F07-A0D2-4F03-9B2B-EDD0E0910466}"/>
    <cellStyle name="Comma 3 5 3 3" xfId="3559" xr:uid="{9EA85F05-5CF3-4CFE-9812-6C7C3CBA00BA}"/>
    <cellStyle name="Comma 3 5 3 4" xfId="3811" xr:uid="{6542A24B-D1C3-4FB4-A5AE-997AB98F09E7}"/>
    <cellStyle name="Comma 3 5 4" xfId="3434" xr:uid="{9667342D-ABB3-452F-B960-77B17D69792D}"/>
    <cellStyle name="Comma 3 5 4 2" xfId="3700" xr:uid="{F83C68D2-717F-4975-A0AB-81F49BB11E3C}"/>
    <cellStyle name="Comma 3 5 4 3" xfId="3936" xr:uid="{881112DC-268E-4E56-A6DB-1E72C684CEDC}"/>
    <cellStyle name="Comma 3 5 5" xfId="2935" xr:uid="{FFC6E611-FEFD-4D94-A987-5EC9C9496D39}"/>
    <cellStyle name="Comma 3 5 5 2" xfId="3604" xr:uid="{11BEE5D8-4547-4655-B2F6-A0B892559211}"/>
    <cellStyle name="Comma 3 5 5 3" xfId="3856" xr:uid="{365F7E64-D98E-4154-A7EE-F61C0D9C5C78}"/>
    <cellStyle name="Comma 3 5 6" xfId="3514" xr:uid="{0A4D5C66-EF7C-42BD-98A5-A9CD187D38A5}"/>
    <cellStyle name="Comma 3 5 7" xfId="3766" xr:uid="{53DBDB39-C701-4654-B232-7592825B3C3F}"/>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3" xfId="3917" xr:uid="{0D823A87-E6DC-4351-AB94-B42DEF478F5E}"/>
    <cellStyle name="Comma 3 6 2 2 3" xfId="3580" xr:uid="{B2CE409E-9D40-4B69-8B10-BEF12F44CAE6}"/>
    <cellStyle name="Comma 3 6 2 2 4" xfId="3832" xr:uid="{6BC91E7B-066C-4BA4-B677-0AAE815E81F1}"/>
    <cellStyle name="Comma 3 6 2 3" xfId="3456" xr:uid="{19E13F85-9DEB-46B6-88D0-3E0159468281}"/>
    <cellStyle name="Comma 3 6 2 3 2" xfId="3721" xr:uid="{172A5543-0D9C-4C33-A386-3E65684B06E9}"/>
    <cellStyle name="Comma 3 6 2 3 3" xfId="3957" xr:uid="{38148E79-B9F6-4274-93C5-E83F5AA6A91F}"/>
    <cellStyle name="Comma 3 6 2 4" xfId="2956" xr:uid="{A3FF41A8-82B3-4934-A392-049227BBD6CC}"/>
    <cellStyle name="Comma 3 6 2 4 2" xfId="3625" xr:uid="{78B8B414-F0ED-4A8B-A6E4-B0D4CFF7BF34}"/>
    <cellStyle name="Comma 3 6 2 4 3" xfId="3877" xr:uid="{82F8038B-D520-45B3-B0B1-F5561FDF6E7B}"/>
    <cellStyle name="Comma 3 6 2 5" xfId="3535" xr:uid="{D993457B-BB89-4413-B123-2EE2A62D718C}"/>
    <cellStyle name="Comma 3 6 2 6" xfId="3787" xr:uid="{AEDDA551-B6D3-4277-9ACC-3DABBF18EE73}"/>
    <cellStyle name="Comma 3 6 3" xfId="2894" xr:uid="{878C4A08-86BD-49B7-A0A9-8A77F1045F64}"/>
    <cellStyle name="Comma 3 6 3 2" xfId="2995" xr:uid="{21565DD1-545A-4387-98D5-DA1DDE5800F6}"/>
    <cellStyle name="Comma 3 6 3 2 2" xfId="3664" xr:uid="{CE01EFA7-944E-4C88-836D-C73BEB9AA2D7}"/>
    <cellStyle name="Comma 3 6 3 2 3" xfId="3900" xr:uid="{4A662D06-4B0A-4154-B8E3-F6AC9E8EE59A}"/>
    <cellStyle name="Comma 3 6 3 3" xfId="3563" xr:uid="{65993E7F-2B56-4C43-BEBC-BF40D30BA7C1}"/>
    <cellStyle name="Comma 3 6 3 4" xfId="3815" xr:uid="{E794E5A5-13E3-45CD-BE4B-42BED27941A6}"/>
    <cellStyle name="Comma 3 6 4" xfId="3438" xr:uid="{E14B93A6-95BB-424A-B590-DA47656FABC7}"/>
    <cellStyle name="Comma 3 6 4 2" xfId="3704" xr:uid="{D86C5ADA-E3E5-4DE5-A865-D51ACA4464EE}"/>
    <cellStyle name="Comma 3 6 4 3" xfId="3940" xr:uid="{BB67A967-A242-47AB-B138-3C793772ECE6}"/>
    <cellStyle name="Comma 3 6 5" xfId="2939" xr:uid="{2D4036A9-4261-4BED-A372-C431896DCDFF}"/>
    <cellStyle name="Comma 3 6 5 2" xfId="3608" xr:uid="{7B471FB4-98BA-4914-BEB5-BCD1D03B1023}"/>
    <cellStyle name="Comma 3 6 5 3" xfId="3860" xr:uid="{D6370DE0-C650-445B-B4AC-0CF13D755B8F}"/>
    <cellStyle name="Comma 3 6 6" xfId="3518" xr:uid="{1080763B-E43B-4A51-B60E-3351A50A5F10}"/>
    <cellStyle name="Comma 3 6 7" xfId="3770" xr:uid="{E088685E-29D2-495C-B65A-2850EB297B28}"/>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3" xfId="3907" xr:uid="{B45CB344-2D23-4258-8610-54AF3346478A}"/>
    <cellStyle name="Comma 3 7 2 3" xfId="3570" xr:uid="{F6123F3E-F786-4442-84A7-86A08CC76F03}"/>
    <cellStyle name="Comma 3 7 2 4" xfId="3822" xr:uid="{25610721-7485-478E-8E9F-CBE3D6718EEF}"/>
    <cellStyle name="Comma 3 7 3" xfId="3446" xr:uid="{6BCC77A9-5E6A-42FB-A650-A80C2B2AFF75}"/>
    <cellStyle name="Comma 3 7 3 2" xfId="3711" xr:uid="{1F93ABAE-D387-40E1-874B-F6B0FF10DD60}"/>
    <cellStyle name="Comma 3 7 3 3" xfId="3947" xr:uid="{AB56AAD6-8B7B-4B26-B1F8-B13795733EBB}"/>
    <cellStyle name="Comma 3 7 4" xfId="2946" xr:uid="{7874155A-6C6D-499D-8A7C-5353A95E2735}"/>
    <cellStyle name="Comma 3 7 4 2" xfId="3615" xr:uid="{20059CE6-6314-459E-B521-5921E40A756C}"/>
    <cellStyle name="Comma 3 7 4 3" xfId="3867" xr:uid="{E3F3F8B1-8087-4E41-ABF3-91C70A6D4665}"/>
    <cellStyle name="Comma 3 7 5" xfId="3525" xr:uid="{14E23C52-4FA2-4526-BF01-6D29D8541278}"/>
    <cellStyle name="Comma 3 7 6" xfId="3777" xr:uid="{E7997273-E12D-496A-B38A-678A9F8C900B}"/>
    <cellStyle name="Comma 3 8" xfId="2884" xr:uid="{C9B36F34-9130-45D3-A320-1346E09E7C87}"/>
    <cellStyle name="Comma 3 8 2" xfId="2971" xr:uid="{C66229D5-25D3-410F-BC0E-43D220C9A4F2}"/>
    <cellStyle name="Comma 3 8 2 2" xfId="3640" xr:uid="{0E63BC05-6BCC-41C7-9EEF-4F073555BFC4}"/>
    <cellStyle name="Comma 3 8 2 3" xfId="3890" xr:uid="{040F92A0-A71D-4CBE-998B-997F0F814E15}"/>
    <cellStyle name="Comma 3 8 3" xfId="3553" xr:uid="{42BDFCAE-3765-4057-9BC9-F0181DC541E3}"/>
    <cellStyle name="Comma 3 8 4" xfId="3805" xr:uid="{5604B2BB-4C1F-4CA0-A0CE-BBC6B425DB29}"/>
    <cellStyle name="Comma 3 9" xfId="3039" xr:uid="{3C8CAE85-D6B1-4E5C-BEC0-FA4EEF3BBF18}"/>
    <cellStyle name="Comma 3 9 2" xfId="3694" xr:uid="{E3E723CF-DE91-4D77-91A1-CED072A62EB6}"/>
    <cellStyle name="Comma 3 9 3" xfId="3930" xr:uid="{72389178-ED7D-45EB-B762-BBC9CC3F6B11}"/>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3" xfId="3920" xr:uid="{78E8D534-E256-4D8A-A05F-6DCF8A64A57B}"/>
    <cellStyle name="Comma 5 2 3" xfId="3583" xr:uid="{62BEFAF8-5C29-4B53-B718-116974703191}"/>
    <cellStyle name="Comma 5 2 4" xfId="3835" xr:uid="{404448FF-E13B-4F9C-9F86-726C172F7B9C}"/>
    <cellStyle name="Comma 5 3" xfId="3459" xr:uid="{0B6DD5F4-4107-4CA4-A2E3-D7AB3A9A1363}"/>
    <cellStyle name="Comma 5 3 2" xfId="3724" xr:uid="{AB56FAF0-0D2B-4E84-ABDF-D24B4DFBDEFF}"/>
    <cellStyle name="Comma 5 3 3" xfId="3960" xr:uid="{A0BD4D46-FB85-4C7C-A2DA-4EA9736CD0E5}"/>
    <cellStyle name="Comma 5 4" xfId="2959" xr:uid="{BD4641BD-368C-4B1B-8C20-165DBCF2D8FC}"/>
    <cellStyle name="Comma 5 4 2" xfId="3628" xr:uid="{8B085F66-FD5D-4DD6-944F-EEA6294E187A}"/>
    <cellStyle name="Comma 5 4 3" xfId="3880" xr:uid="{C5129E65-1715-47C3-A5FA-44D6CAF5E286}"/>
    <cellStyle name="Comma 5 5" xfId="3538" xr:uid="{9CA2F56D-1D50-47EC-92E7-BED589E2846D}"/>
    <cellStyle name="Comma 5 6" xfId="3790" xr:uid="{373EDF80-E883-4589-BC3A-007C1B67E188}"/>
    <cellStyle name="Comma 58 2" xfId="1739" xr:uid="{0A8BC880-0544-4B8B-85FA-3F064FCB882F}"/>
    <cellStyle name="Comma 6" xfId="3480" xr:uid="{2F647900-AECC-4EC3-B7E1-70600B07B3B9}"/>
    <cellStyle name="Comma 6 2" xfId="3727" xr:uid="{478A7263-B51A-4F65-99EC-CEC9C2D4F793}"/>
    <cellStyle name="Comma 6 3" xfId="3963" xr:uid="{D1DEB803-F8A0-4DD2-A51B-4EC8CC25E62F}"/>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3" xfId="3902" xr:uid="{AA74F964-233C-43D8-82FD-E589B1378A5C}"/>
    <cellStyle name="Normal 3 10 2 3" xfId="3565" xr:uid="{02304A72-2AC1-4481-8B44-9DBF1C9C679E}"/>
    <cellStyle name="Normal 3 10 2 4" xfId="3817" xr:uid="{04E1A42F-373A-47C2-8648-FE760290C6DA}"/>
    <cellStyle name="Normal 3 10 3" xfId="3441" xr:uid="{5AD22851-273F-402C-B72C-A848480C2C01}"/>
    <cellStyle name="Normal 3 10 3 2" xfId="3706" xr:uid="{6396958C-2FEE-4741-9C04-0D953DBD4B2B}"/>
    <cellStyle name="Normal 3 10 3 3" xfId="3942" xr:uid="{32A99E3B-2364-4AE7-A3AF-5FCB71F25C5C}"/>
    <cellStyle name="Normal 3 10 4" xfId="2941" xr:uid="{462CDA6A-0C52-4C07-B947-2BC7D626CDC2}"/>
    <cellStyle name="Normal 3 10 4 2" xfId="3610" xr:uid="{6911D803-67A5-4D99-BFDD-EEA0E5856FFC}"/>
    <cellStyle name="Normal 3 10 4 3" xfId="3862" xr:uid="{D8291702-0E36-48ED-BE98-63AB942D5083}"/>
    <cellStyle name="Normal 3 10 5" xfId="3520" xr:uid="{A7366CB9-D620-4BFE-85E8-7DDC3FFAF77F}"/>
    <cellStyle name="Normal 3 10 6" xfId="3772" xr:uid="{4C77B666-2D99-4466-955D-2650AAF4D739}"/>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3" xfId="3921" xr:uid="{FB7FCF85-7599-4CA2-A099-DEF906170236}"/>
    <cellStyle name="Normal 3 11 2 3" xfId="3584" xr:uid="{687EC46E-A000-4D42-80C4-AB6653969B40}"/>
    <cellStyle name="Normal 3 11 2 4" xfId="3836" xr:uid="{F535A7F4-3808-4ECE-B07D-C3C4DD5FB055}"/>
    <cellStyle name="Normal 3 11 3" xfId="3460" xr:uid="{473FAF2A-6114-441A-921E-EE0D3A1E7E02}"/>
    <cellStyle name="Normal 3 11 3 2" xfId="3725" xr:uid="{FC14E282-5371-431C-A046-680CF234803C}"/>
    <cellStyle name="Normal 3 11 3 3" xfId="3961" xr:uid="{BCF568D0-CBDF-4E69-86F6-74C37C7CF695}"/>
    <cellStyle name="Normal 3 11 4" xfId="2960" xr:uid="{40DC0902-9D4C-42AA-8E56-D6A3EE61A3CF}"/>
    <cellStyle name="Normal 3 11 4 2" xfId="3629" xr:uid="{4A6DDF94-E641-429C-BE70-151C60D2BE02}"/>
    <cellStyle name="Normal 3 11 4 3" xfId="3881" xr:uid="{8BA4BC18-B7C6-44E2-8BF6-CD1C00DBF4AE}"/>
    <cellStyle name="Normal 3 11 5" xfId="3539" xr:uid="{7623E7D9-61BB-49B8-BFD6-E35F56069002}"/>
    <cellStyle name="Normal 3 11 6" xfId="3791" xr:uid="{682DB141-7FFA-4E2A-B111-E91D545E182C}"/>
    <cellStyle name="Normal 3 12" xfId="30" xr:uid="{CE7437FF-0DB7-410E-9D29-AFC41BAB1D47}"/>
    <cellStyle name="Normal 3 12 2" xfId="2876" xr:uid="{89019A92-E6D6-4AF1-A636-0C9530E78615}"/>
    <cellStyle name="Normal 3 12 2 2" xfId="3545" xr:uid="{2C114EFA-BAE4-4E13-8DEA-0CB8A46AFCC2}"/>
    <cellStyle name="Normal 3 12 2 3" xfId="3797" xr:uid="{38311A81-E454-4962-BB5D-592EC137023D}"/>
    <cellStyle name="Normal 3 12 3" xfId="2921" xr:uid="{72794F26-51F0-4D55-886D-1D1D5505C926}"/>
    <cellStyle name="Normal 3 12 3 2" xfId="3590" xr:uid="{2DFDE289-0A01-4BD9-B890-08D3D58BB688}"/>
    <cellStyle name="Normal 3 12 3 3" xfId="3842" xr:uid="{198C69AC-EC66-44AA-BD2C-447ED2F2A88A}"/>
    <cellStyle name="Normal 3 12 4" xfId="3500" xr:uid="{C5A3EFFA-2CF0-491B-BC77-0561BEB79347}"/>
    <cellStyle name="Normal 3 12 5" xfId="3752" xr:uid="{767DC2E8-E46B-403D-B2D9-A5270F57293B}"/>
    <cellStyle name="Normal 3 13" xfId="25" xr:uid="{5222AD7C-95CC-4035-B9B7-EAF5571229F0}"/>
    <cellStyle name="Normal 3 13 2" xfId="2961" xr:uid="{E4AE2F3C-F6EF-467F-BE76-66448912965B}"/>
    <cellStyle name="Normal 3 13 2 2" xfId="3630" xr:uid="{0C4C316D-B335-4DE8-B4BA-6BCF12C3253F}"/>
    <cellStyle name="Normal 3 13 2 3" xfId="3882" xr:uid="{78475270-B9CE-442E-B824-59CAD8A5444F}"/>
    <cellStyle name="Normal 3 13 3" xfId="3495" xr:uid="{5C90E67B-BE9E-4A09-BE46-8EA2C0777640}"/>
    <cellStyle name="Normal 3 13 4" xfId="3747" xr:uid="{6744BD78-292E-4F58-A81C-BEBABCAC1D81}"/>
    <cellStyle name="Normal 3 14" xfId="2871" xr:uid="{9BC96785-724F-4771-B0E8-0873FA9C0C9E}"/>
    <cellStyle name="Normal 3 14 2" xfId="3017" xr:uid="{7B9A33BF-D1B1-4F8F-B587-EDE13C531914}"/>
    <cellStyle name="Normal 3 14 2 2" xfId="3686" xr:uid="{3055CFB1-19FD-4A7B-8F7F-ED8BEEB24848}"/>
    <cellStyle name="Normal 3 14 2 3" xfId="3922" xr:uid="{2A09F4E1-2943-41C6-8004-7CE4DDF73513}"/>
    <cellStyle name="Normal 3 14 3" xfId="3540" xr:uid="{1FEF3577-6A9F-44CE-B975-AD63EEAC2406}"/>
    <cellStyle name="Normal 3 14 4" xfId="3792" xr:uid="{4C7F47A5-5A52-448A-9B5A-8331D57BA5EE}"/>
    <cellStyle name="Normal 3 15" xfId="3481" xr:uid="{93AD2539-2E2D-421F-AF08-E422C8555185}"/>
    <cellStyle name="Normal 3 15 2" xfId="3728" xr:uid="{9FBEFE11-E946-4BC0-8C71-4846E3B94257}"/>
    <cellStyle name="Normal 3 15 3" xfId="3964" xr:uid="{3473B49B-086D-481E-A8D8-6F27E8F480C7}"/>
    <cellStyle name="Normal 3 16" xfId="3482" xr:uid="{DA5E3B33-0D5D-4015-BC69-CAD4D66474EE}"/>
    <cellStyle name="Normal 3 16 2" xfId="3729" xr:uid="{A14504B8-2B59-45DC-A5B5-3F8CB6B56A7A}"/>
    <cellStyle name="Normal 3 16 3" xfId="3965" xr:uid="{9B438800-73BC-4EA1-B8CA-D38181DBE715}"/>
    <cellStyle name="Normal 3 17" xfId="2916" xr:uid="{E1470D30-0968-4AB4-86AA-CE8CC35963C2}"/>
    <cellStyle name="Normal 3 17 2" xfId="3585" xr:uid="{254563E4-644F-4A09-AC36-FBE4DD950CA6}"/>
    <cellStyle name="Normal 3 17 3" xfId="3837" xr:uid="{22C91358-3831-4513-8F8D-0C1648BC4F2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0 3" xfId="3966" xr:uid="{D92D859F-E49C-42DB-9FF5-521FA1D76981}"/>
    <cellStyle name="Normal 3 2 11" xfId="2917" xr:uid="{E35462F0-8F70-4525-96D0-17696167AD10}"/>
    <cellStyle name="Normal 3 2 11 2" xfId="3586" xr:uid="{4932E65F-F071-4A37-B3CE-70FD45154E58}"/>
    <cellStyle name="Normal 3 2 11 3" xfId="3838" xr:uid="{FDA65443-71D4-4D1E-B6FF-B93B8D0A92EB}"/>
    <cellStyle name="Normal 3 2 12" xfId="3491" xr:uid="{E6FA6BF8-52AA-49A2-95E3-BF658A677DAB}"/>
    <cellStyle name="Normal 3 2 13" xfId="21" xr:uid="{25DBC5BC-7E32-4E3B-A20B-D4888C99BA99}"/>
    <cellStyle name="Normal 3 2 14" xfId="3743" xr:uid="{E82CD2CF-6340-4759-9930-20B4EC87D008}"/>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3" xfId="3969" xr:uid="{C03CDC43-17FA-47DC-9131-A726A5A6F363}"/>
    <cellStyle name="Normal 3 2 2 3 3" xfId="3499" xr:uid="{D87B35BA-D399-4133-B262-4A0EED1F1321}"/>
    <cellStyle name="Normal 3 2 2 3 4" xfId="3751" xr:uid="{55B63B46-30C3-4E25-89DB-87B24449A9D3}"/>
    <cellStyle name="Normal 3 2 2 4" xfId="2875" xr:uid="{602BD524-FA18-41D2-A125-18B8D1D6943E}"/>
    <cellStyle name="Normal 3 2 2 4 2" xfId="3544" xr:uid="{98E9EC8A-0583-4C6D-A165-2B499227DFF9}"/>
    <cellStyle name="Normal 3 2 2 4 3" xfId="3796" xr:uid="{01B84469-3CB5-4E07-ACF7-A518EE71B2C5}"/>
    <cellStyle name="Normal 3 2 2 5" xfId="2920" xr:uid="{DF30F75E-C3A9-47A4-A54D-4259E8EB977F}"/>
    <cellStyle name="Normal 3 2 2 5 2" xfId="3589" xr:uid="{0E657184-C9AE-427D-B917-7A0928B66E88}"/>
    <cellStyle name="Normal 3 2 2 5 3" xfId="3841" xr:uid="{21E307E4-06A7-4FAF-B234-DCBC7CC824B1}"/>
    <cellStyle name="Normal 3 2 2 6" xfId="3494" xr:uid="{62B6D280-2B34-43A6-A094-7F89EDC62849}"/>
    <cellStyle name="Normal 3 2 2 7" xfId="3734" xr:uid="{279AF43C-9DF2-4779-988B-7998645A2B19}"/>
    <cellStyle name="Normal 3 2 2 8" xfId="24" xr:uid="{2C4572D3-A4B4-4D01-8834-280B8EF696AF}"/>
    <cellStyle name="Normal 3 2 2 9" xfId="3746" xr:uid="{D4B99DAA-BF14-4A4A-816D-7102B788E9F0}"/>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3" xfId="3912" xr:uid="{7719262E-FC24-4134-BEF4-F5BAFF859BD9}"/>
    <cellStyle name="Normal 3 2 3 2 2 3" xfId="3575" xr:uid="{1985A5BE-3165-4989-B82A-74CBFD2444C0}"/>
    <cellStyle name="Normal 3 2 3 2 2 4" xfId="3827" xr:uid="{06D4D9B9-0100-406A-82FF-EF852BDD9ECB}"/>
    <cellStyle name="Normal 3 2 3 2 3" xfId="3451" xr:uid="{4F1E9D89-0262-4E12-AE4A-DBFB2899C668}"/>
    <cellStyle name="Normal 3 2 3 2 3 2" xfId="3716" xr:uid="{28CF2699-DE0A-43AB-A7EE-64EFA4C5DCE4}"/>
    <cellStyle name="Normal 3 2 3 2 3 3" xfId="3952" xr:uid="{11ED9CCF-DBDE-426F-A656-675FB3E49747}"/>
    <cellStyle name="Normal 3 2 3 2 4" xfId="2951" xr:uid="{96B1A600-5B80-4469-ACC6-3C100661DD30}"/>
    <cellStyle name="Normal 3 2 3 2 4 2" xfId="3620" xr:uid="{38BA8692-4DAF-4099-A8FA-E58975284D66}"/>
    <cellStyle name="Normal 3 2 3 2 4 3" xfId="3872" xr:uid="{37FF3ED6-308C-4B74-B523-11C9F8541A6B}"/>
    <cellStyle name="Normal 3 2 3 2 5" xfId="3530" xr:uid="{D14F1F0B-62E8-4685-B659-9922CB85EC7B}"/>
    <cellStyle name="Normal 3 2 3 2 6" xfId="3782" xr:uid="{7A659158-CD09-475F-8A4F-16CB58EC6B5B}"/>
    <cellStyle name="Normal 3 2 3 3" xfId="2889" xr:uid="{4F6148E4-AF14-434E-8B11-1532018A0CE5}"/>
    <cellStyle name="Normal 3 2 3 3 2" xfId="2990" xr:uid="{81BA056D-8D84-4131-B030-7009F8A713E3}"/>
    <cellStyle name="Normal 3 2 3 3 2 2" xfId="3659" xr:uid="{930BD4F0-C881-4A49-9220-B9792DBB7318}"/>
    <cellStyle name="Normal 3 2 3 3 2 3" xfId="3895" xr:uid="{80B900A9-9FC9-433A-950A-001226005922}"/>
    <cellStyle name="Normal 3 2 3 3 3" xfId="3558" xr:uid="{3BE8AF4C-F0B1-406D-A3AC-34892377E476}"/>
    <cellStyle name="Normal 3 2 3 3 4" xfId="3810" xr:uid="{58466635-31B6-4586-8FDE-2620F7C7C972}"/>
    <cellStyle name="Normal 3 2 3 4" xfId="3433" xr:uid="{3574DC78-43D8-4F4C-B987-9DF72AD96737}"/>
    <cellStyle name="Normal 3 2 3 4 2" xfId="3699" xr:uid="{75F26E6B-3602-403D-A829-0FB94AA11660}"/>
    <cellStyle name="Normal 3 2 3 4 3" xfId="3935" xr:uid="{06373B72-DBA1-41E1-A0C0-C234B2862096}"/>
    <cellStyle name="Normal 3 2 3 5" xfId="2934" xr:uid="{BB4426AC-2E73-406E-B9D3-F75990E4C9B8}"/>
    <cellStyle name="Normal 3 2 3 5 2" xfId="3603" xr:uid="{0C0905AB-CCFE-4156-99F4-D614F937B5BF}"/>
    <cellStyle name="Normal 3 2 3 5 3" xfId="3855" xr:uid="{16321117-EEA3-4BF2-9611-5B39FE4A6644}"/>
    <cellStyle name="Normal 3 2 3 6" xfId="3513" xr:uid="{0FA0B881-11DB-45DF-9804-648C3EFF6988}"/>
    <cellStyle name="Normal 3 2 3 7" xfId="3765" xr:uid="{D20C5400-EA66-4660-B579-4B660F1CA614}"/>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3" xfId="3906" xr:uid="{9D7603C0-D631-4141-9CFA-3AA17C283169}"/>
    <cellStyle name="Normal 3 2 4 2 2 3" xfId="3569" xr:uid="{8BBD2548-1249-420D-BEA5-8369882A6348}"/>
    <cellStyle name="Normal 3 2 4 2 2 4" xfId="3821" xr:uid="{F640EAE6-C90D-4503-85AB-180CDE143FF2}"/>
    <cellStyle name="Normal 3 2 4 2 3" xfId="3445" xr:uid="{544EA63F-37BF-4A41-BD5A-CB44364A216D}"/>
    <cellStyle name="Normal 3 2 4 2 3 2" xfId="3710" xr:uid="{C137A5B7-D39E-444F-97E0-26F86D67BFFE}"/>
    <cellStyle name="Normal 3 2 4 2 3 3" xfId="3946" xr:uid="{C1FA5678-D83C-4D63-80CC-9AECE3C7C15B}"/>
    <cellStyle name="Normal 3 2 4 2 4" xfId="2945" xr:uid="{AC6DAD2F-D880-477C-8BA0-CD49D5412566}"/>
    <cellStyle name="Normal 3 2 4 2 4 2" xfId="3614" xr:uid="{992F29CC-FBCE-4791-A790-AC0DA26DF4BE}"/>
    <cellStyle name="Normal 3 2 4 2 4 3" xfId="3866" xr:uid="{69615B97-0161-4B92-80AD-07BBAB7DDD65}"/>
    <cellStyle name="Normal 3 2 4 2 5" xfId="3524" xr:uid="{1E239A57-4609-4E42-A12C-46BC178D6D1E}"/>
    <cellStyle name="Normal 3 2 4 2 6" xfId="3776" xr:uid="{C9C75937-0B84-4450-9A75-F7D9738406C2}"/>
    <cellStyle name="Normal 3 2 4 3" xfId="2883" xr:uid="{C3613C5B-D786-427C-B914-F90D2E6A82ED}"/>
    <cellStyle name="Normal 3 2 4 3 2" xfId="2968" xr:uid="{9325A9A2-D9ED-49F9-AB5F-54D40E2FE84E}"/>
    <cellStyle name="Normal 3 2 4 3 2 2" xfId="3637" xr:uid="{E3B4ACCA-1A2F-4F58-A34C-2A8CF90E4D03}"/>
    <cellStyle name="Normal 3 2 4 3 2 3" xfId="3889" xr:uid="{C72C3075-C799-40A2-971A-91CF9C4906DA}"/>
    <cellStyle name="Normal 3 2 4 3 3" xfId="3552" xr:uid="{4518D5D8-80B0-4F9A-8BB6-A00B900DF044}"/>
    <cellStyle name="Normal 3 2 4 3 4" xfId="3804" xr:uid="{532ED434-1AED-4E68-9E7B-D33E3C1DA259}"/>
    <cellStyle name="Normal 3 2 4 4" xfId="3028" xr:uid="{BB396068-A15A-46B8-9041-615276FC4E2B}"/>
    <cellStyle name="Normal 3 2 4 4 2" xfId="3693" xr:uid="{EABE2F68-111C-44CF-AABD-6E97882C83D8}"/>
    <cellStyle name="Normal 3 2 4 4 3" xfId="3929" xr:uid="{A4A11313-85CB-4FA1-AC05-372DF0577242}"/>
    <cellStyle name="Normal 3 2 4 5" xfId="2928" xr:uid="{61A635B5-39A7-49EC-A691-372097ABBB87}"/>
    <cellStyle name="Normal 3 2 4 5 2" xfId="3597" xr:uid="{8ADC7C4D-7E2F-4CA6-ABF0-48FE1C21C8CE}"/>
    <cellStyle name="Normal 3 2 4 5 3" xfId="3849" xr:uid="{35D65B01-F1BA-4B4D-B061-884669CE8F5C}"/>
    <cellStyle name="Normal 3 2 4 6" xfId="3507" xr:uid="{798DE8B5-E61C-4A5B-AA2F-6E84E30D6CCA}"/>
    <cellStyle name="Normal 3 2 4 7" xfId="3759" xr:uid="{4C06A27D-7097-454F-B0FD-7046C486D68B}"/>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3" xfId="3886" xr:uid="{590951BA-B1C7-4CCA-A294-4E5E6F439056}"/>
    <cellStyle name="Normal 3 2 5 2 3" xfId="3549" xr:uid="{42DC2D7D-B305-4E78-A543-A5C994A38F57}"/>
    <cellStyle name="Normal 3 2 5 2 4" xfId="3801" xr:uid="{59AFB967-8FFE-4771-AD8A-A76B0CBD00E8}"/>
    <cellStyle name="Normal 3 2 5 3" xfId="3021" xr:uid="{4E740726-28E9-4A37-98D8-69BCC8BAD6F7}"/>
    <cellStyle name="Normal 3 2 5 3 2" xfId="3690" xr:uid="{580DAE05-49F5-49A9-801D-D403F7CAE478}"/>
    <cellStyle name="Normal 3 2 5 3 3" xfId="3926" xr:uid="{9B880A24-178C-4CAF-8DD9-598E7F54AC0F}"/>
    <cellStyle name="Normal 3 2 5 4" xfId="2925" xr:uid="{B2679330-9511-44A5-A0E7-A2030AC0E9D7}"/>
    <cellStyle name="Normal 3 2 5 4 2" xfId="3594" xr:uid="{4AA1837D-B141-412F-AE5E-DEB5B5562DE0}"/>
    <cellStyle name="Normal 3 2 5 4 3" xfId="3846" xr:uid="{B800BABA-3A81-47D6-98C3-ED6DB2C76228}"/>
    <cellStyle name="Normal 3 2 5 5" xfId="3504" xr:uid="{40CEF293-530F-4496-B065-205F3F8A499C}"/>
    <cellStyle name="Normal 3 2 5 6" xfId="3756" xr:uid="{A9165763-A08F-4B35-B1D0-9C0796D731A5}"/>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3" xfId="3903" xr:uid="{B6657CA5-1685-4276-B2D5-2FEDFE06A10C}"/>
    <cellStyle name="Normal 3 2 6 2 3" xfId="3566" xr:uid="{E82DD52E-4EDC-48C6-963A-6B94ED1EC3EB}"/>
    <cellStyle name="Normal 3 2 6 2 4" xfId="3818" xr:uid="{FBD385FD-6E0B-4A7D-AA76-E3019B626EAA}"/>
    <cellStyle name="Normal 3 2 6 3" xfId="3442" xr:uid="{FFA32A7D-DF21-4608-B320-14F41FDC5635}"/>
    <cellStyle name="Normal 3 2 6 3 2" xfId="3707" xr:uid="{4AA068E7-DEB3-4883-A930-A5C5F0B52161}"/>
    <cellStyle name="Normal 3 2 6 3 3" xfId="3943" xr:uid="{710ED7C0-3196-4298-9663-51874191C54B}"/>
    <cellStyle name="Normal 3 2 6 4" xfId="2942" xr:uid="{6F039511-645D-4B28-9350-40E7266C3E91}"/>
    <cellStyle name="Normal 3 2 6 4 2" xfId="3611" xr:uid="{A2814150-5F40-4220-AA2D-BA56B3D8FB64}"/>
    <cellStyle name="Normal 3 2 6 4 3" xfId="3863" xr:uid="{FCC3375E-402F-4EF2-B935-8C0A39F1FD30}"/>
    <cellStyle name="Normal 3 2 6 5" xfId="3521" xr:uid="{1AEA6116-EC6B-4BB6-A00F-D9E00CB01DBF}"/>
    <cellStyle name="Normal 3 2 6 6" xfId="3773" xr:uid="{829814C9-B83D-4ECC-9F82-D98D640EBAEB}"/>
    <cellStyle name="Normal 3 2 7" xfId="31" xr:uid="{2F3C1975-D9A4-46DE-B8C2-B72AC2C044E0}"/>
    <cellStyle name="Normal 3 2 7 2" xfId="2877" xr:uid="{59781F0C-77A9-45FE-8065-6468F1E0AAEF}"/>
    <cellStyle name="Normal 3 2 7 2 2" xfId="3546" xr:uid="{7E4E383C-F467-4833-9603-62B435DCFA79}"/>
    <cellStyle name="Normal 3 2 7 2 3" xfId="3798" xr:uid="{0F9C8876-2243-4686-B211-3DB77F9D427D}"/>
    <cellStyle name="Normal 3 2 7 3" xfId="2922" xr:uid="{E4C8E062-8446-4FC6-BB97-540E387A26A7}"/>
    <cellStyle name="Normal 3 2 7 3 2" xfId="3591" xr:uid="{DF90C2F7-4C93-452D-ACE7-18F1D28980A1}"/>
    <cellStyle name="Normal 3 2 7 3 3" xfId="3843" xr:uid="{5B059BEB-632C-4BAB-B700-0BE255226586}"/>
    <cellStyle name="Normal 3 2 7 4" xfId="3501" xr:uid="{AE3D10A4-2F98-4CA8-875F-94496B9C4990}"/>
    <cellStyle name="Normal 3 2 7 5" xfId="3753" xr:uid="{334F18BD-19B6-45C7-96A1-D9A5D3DD127F}"/>
    <cellStyle name="Normal 3 2 8" xfId="26" xr:uid="{1A6667CB-56D8-4FDD-8F5E-B10A2CC5605D}"/>
    <cellStyle name="Normal 3 2 8 2" xfId="2962" xr:uid="{DD45B365-9B60-49ED-BE76-CFF5D5DAA582}"/>
    <cellStyle name="Normal 3 2 8 2 2" xfId="3631" xr:uid="{CC0F055B-6EF9-4E9B-9D49-E4C1FC9CB8EC}"/>
    <cellStyle name="Normal 3 2 8 2 3" xfId="3883" xr:uid="{FB6E3262-10AA-46E3-9C3A-69AA2B4D7B7A}"/>
    <cellStyle name="Normal 3 2 8 3" xfId="3496" xr:uid="{2A414241-0D56-46CA-AD32-83B8FE5D2AD7}"/>
    <cellStyle name="Normal 3 2 8 4" xfId="3748" xr:uid="{2DC688DD-C4B1-4A5E-960D-DBD7145CF81D}"/>
    <cellStyle name="Normal 3 2 9" xfId="2872" xr:uid="{5731358C-C79B-4179-A65F-2B477AD238AF}"/>
    <cellStyle name="Normal 3 2 9 2" xfId="3018" xr:uid="{714AB98F-C443-4AE8-AF84-F8E43C94A385}"/>
    <cellStyle name="Normal 3 2 9 2 2" xfId="3687" xr:uid="{BCC5716B-B9D8-4018-9F5A-2CB99B6DA829}"/>
    <cellStyle name="Normal 3 2 9 2 3" xfId="3923" xr:uid="{DFDA7486-74A4-439B-BBDD-C79E9A3BFC93}"/>
    <cellStyle name="Normal 3 2 9 3" xfId="3541" xr:uid="{2418FE40-2F8A-49D4-A8F2-E3D8124EF135}"/>
    <cellStyle name="Normal 3 2 9 4" xfId="3793" xr:uid="{038887ED-D1B5-4116-AD47-48EAC7C50ACD}"/>
    <cellStyle name="Normal 3 20" xfId="3742" xr:uid="{8E25BF83-2772-4904-9A25-BCD871F9D072}"/>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3" xfId="3910" xr:uid="{CD230B73-4EB3-4E4A-A96B-E7D9B560D051}"/>
    <cellStyle name="Normal 3 4 2 2 3" xfId="3573" xr:uid="{1CE5F716-B555-4D0B-B7F6-750E6DF20850}"/>
    <cellStyle name="Normal 3 4 2 2 4" xfId="3825" xr:uid="{0637E20A-15A1-4625-B6C2-A576F111749F}"/>
    <cellStyle name="Normal 3 4 2 3" xfId="3449" xr:uid="{F69352A1-49EA-464C-9645-A8456832A839}"/>
    <cellStyle name="Normal 3 4 2 3 2" xfId="3714" xr:uid="{F8A2F1CE-FB41-491C-8893-5596652AB2E3}"/>
    <cellStyle name="Normal 3 4 2 3 3" xfId="3950" xr:uid="{8B4D01AE-D1BC-43F4-9BE7-AB3497CC7695}"/>
    <cellStyle name="Normal 3 4 2 4" xfId="2949" xr:uid="{234F18C6-0530-4CFB-8567-9E316EFEA0F4}"/>
    <cellStyle name="Normal 3 4 2 4 2" xfId="3618" xr:uid="{F0D04E7E-2E24-4278-98F3-7B7E1A4B9B7A}"/>
    <cellStyle name="Normal 3 4 2 4 3" xfId="3870" xr:uid="{C0E5ACA7-FBBF-402B-A000-EAE2A9A3D77A}"/>
    <cellStyle name="Normal 3 4 2 5" xfId="3528" xr:uid="{BD8ADA06-C78C-4CAC-A038-694E43819B7E}"/>
    <cellStyle name="Normal 3 4 2 6" xfId="3780" xr:uid="{C68ADFE3-33EC-4CF8-8A4B-9144714EEE6B}"/>
    <cellStyle name="Normal 3 4 3" xfId="2887" xr:uid="{4250C279-464F-48CB-8AC2-E6FD78211848}"/>
    <cellStyle name="Normal 3 4 3 2" xfId="2988" xr:uid="{B3F2BA6A-0E88-4FCC-B919-25E912452C72}"/>
    <cellStyle name="Normal 3 4 3 2 2" xfId="3657" xr:uid="{A47EDDB5-6627-4F82-A69D-547318AABEE9}"/>
    <cellStyle name="Normal 3 4 3 2 3" xfId="3893" xr:uid="{97091CF3-98C9-4CF7-9AD8-D7211C3FEBE6}"/>
    <cellStyle name="Normal 3 4 3 3" xfId="3556" xr:uid="{56DC35D1-75FD-453E-90A6-BB86E3E6E135}"/>
    <cellStyle name="Normal 3 4 3 4" xfId="3808" xr:uid="{7A009F48-C76C-42A8-A807-32003507B7A3}"/>
    <cellStyle name="Normal 3 4 4" xfId="3425" xr:uid="{362C761A-090E-4494-B5E1-44C63EF42BC2}"/>
    <cellStyle name="Normal 3 4 4 2" xfId="3697" xr:uid="{098C6541-C5CD-41F4-99E2-563374098DE3}"/>
    <cellStyle name="Normal 3 4 4 3" xfId="3933" xr:uid="{CB2B90E2-C0E8-415A-AF6E-69DBB010F78C}"/>
    <cellStyle name="Normal 3 4 5" xfId="2932" xr:uid="{40F72571-2003-43CD-B387-825810AD604A}"/>
    <cellStyle name="Normal 3 4 5 2" xfId="3601" xr:uid="{4E3FDC2F-EBE6-4287-B788-11F779DC796F}"/>
    <cellStyle name="Normal 3 4 5 3" xfId="3853" xr:uid="{AE7CDE1F-3B6E-4A7D-8EF9-169C96927F91}"/>
    <cellStyle name="Normal 3 4 6" xfId="3511" xr:uid="{298C2B22-9A61-4873-8668-E49EC897D026}"/>
    <cellStyle name="Normal 3 4 7" xfId="3763" xr:uid="{C6D247B7-6E80-4BCE-B696-638A2205368C}"/>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3" xfId="3914" xr:uid="{6986AF18-6973-46AA-B06B-8EDA1C7AB8A2}"/>
    <cellStyle name="Normal 3 5 2 2 3" xfId="3577" xr:uid="{69E745A6-02F7-47F3-9760-DE85AE2423DE}"/>
    <cellStyle name="Normal 3 5 2 2 4" xfId="3829" xr:uid="{DB1A243D-90D7-4668-BCD7-232F50B62AAC}"/>
    <cellStyle name="Normal 3 5 2 3" xfId="3453" xr:uid="{3840D03D-FA91-4CD5-B314-888A226ABFF0}"/>
    <cellStyle name="Normal 3 5 2 3 2" xfId="3718" xr:uid="{7656B2BD-CE02-4B20-BDBE-66CB07948D6D}"/>
    <cellStyle name="Normal 3 5 2 3 3" xfId="3954" xr:uid="{5119F4E1-086B-4FA4-9A76-F16C5D380EAD}"/>
    <cellStyle name="Normal 3 5 2 4" xfId="2953" xr:uid="{5BEC0BD2-9149-476B-ABB5-0AF87C2FAF7D}"/>
    <cellStyle name="Normal 3 5 2 4 2" xfId="3622" xr:uid="{D9508435-6B5E-43F5-9DB7-7B2F61F6CEDC}"/>
    <cellStyle name="Normal 3 5 2 4 3" xfId="3874" xr:uid="{0CF3FFDA-473B-4D8E-9AB9-6DEEAA78A1B6}"/>
    <cellStyle name="Normal 3 5 2 5" xfId="3532" xr:uid="{363538B8-CC83-42E2-ABD1-32ECDE641743}"/>
    <cellStyle name="Normal 3 5 2 6" xfId="3784" xr:uid="{24E10609-61B9-450A-86CE-69D34470804D}"/>
    <cellStyle name="Normal 3 5 3" xfId="2891" xr:uid="{ECB1E89E-33F7-4979-9AF8-05F571C83AAF}"/>
    <cellStyle name="Normal 3 5 3 2" xfId="2992" xr:uid="{6C52CE60-5D32-4E61-8E64-2B04DAD55F56}"/>
    <cellStyle name="Normal 3 5 3 2 2" xfId="3661" xr:uid="{183B444B-DE9F-428A-B02E-9223A4647131}"/>
    <cellStyle name="Normal 3 5 3 2 3" xfId="3897" xr:uid="{D535BECC-3BDB-4FC0-B9B1-E7B44B7A6DE6}"/>
    <cellStyle name="Normal 3 5 3 3" xfId="3560" xr:uid="{A211DFBE-063D-47E7-87EF-A6CDDDA2E1C3}"/>
    <cellStyle name="Normal 3 5 3 4" xfId="3812" xr:uid="{DF481CAE-794D-4E2C-B6CC-CE566FF24E43}"/>
    <cellStyle name="Normal 3 5 4" xfId="3435" xr:uid="{861AAC26-C3FF-48A7-A3C4-F906BA8B1DF7}"/>
    <cellStyle name="Normal 3 5 4 2" xfId="3701" xr:uid="{959C22F2-C3CB-486E-9FF7-32C9393F2A90}"/>
    <cellStyle name="Normal 3 5 4 3" xfId="3937" xr:uid="{092ADEBE-9C69-43BD-9EFF-54486D2A1726}"/>
    <cellStyle name="Normal 3 5 5" xfId="2936" xr:uid="{FE634913-EAE7-49BC-8321-DE62527417E2}"/>
    <cellStyle name="Normal 3 5 5 2" xfId="3605" xr:uid="{E12D629C-B992-4564-B07F-C4ABFAD74C3F}"/>
    <cellStyle name="Normal 3 5 5 3" xfId="3857" xr:uid="{B7787C20-EBC7-4A11-9054-68BBAC5914FB}"/>
    <cellStyle name="Normal 3 5 6" xfId="3515" xr:uid="{D8B0D612-C100-4C09-8B1D-DA82ED309ED9}"/>
    <cellStyle name="Normal 3 5 7" xfId="3767" xr:uid="{CE278983-D24A-4188-ABE7-7576CD38C674}"/>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3" xfId="3916" xr:uid="{4CB552CD-F079-420E-AC37-A9ACB6E21A59}"/>
    <cellStyle name="Normal 3 6 2 2 3" xfId="3579" xr:uid="{46C6946B-5B0F-4775-ADF2-FE3BB48F6852}"/>
    <cellStyle name="Normal 3 6 2 2 4" xfId="3831" xr:uid="{61BBA475-4D27-4178-A4CA-6FEDBACB55DE}"/>
    <cellStyle name="Normal 3 6 2 3" xfId="3455" xr:uid="{21C68592-3DDB-4928-A6C0-75877A37ADCE}"/>
    <cellStyle name="Normal 3 6 2 3 2" xfId="3720" xr:uid="{BDDFE2FE-3968-469B-A9E4-7253F968F104}"/>
    <cellStyle name="Normal 3 6 2 3 3" xfId="3956" xr:uid="{68CE0F73-2CA1-4D2F-8268-9A0D64C6000F}"/>
    <cellStyle name="Normal 3 6 2 4" xfId="2955" xr:uid="{B3992CC1-5494-4763-A54C-7F02EF68E46D}"/>
    <cellStyle name="Normal 3 6 2 4 2" xfId="3624" xr:uid="{56E72497-4FD9-4928-92E9-1B1F6569095C}"/>
    <cellStyle name="Normal 3 6 2 4 3" xfId="3876" xr:uid="{AAA852E4-1F15-4CA2-A13C-31958DADF2DB}"/>
    <cellStyle name="Normal 3 6 2 5" xfId="3534" xr:uid="{0F6DD857-3E47-4D4A-97C1-38AE13D8E9E8}"/>
    <cellStyle name="Normal 3 6 2 6" xfId="3786" xr:uid="{409D0FBB-AE7B-4E1B-9A7D-1535EE40F387}"/>
    <cellStyle name="Normal 3 6 3" xfId="2893" xr:uid="{AF48D1B9-5F0A-4162-948C-E4BA765EE164}"/>
    <cellStyle name="Normal 3 6 3 2" xfId="2994" xr:uid="{0B8D98EF-A3F0-4428-9465-2084740EEBDF}"/>
    <cellStyle name="Normal 3 6 3 2 2" xfId="3663" xr:uid="{99359995-C15C-4214-80A7-22A72076F5AA}"/>
    <cellStyle name="Normal 3 6 3 2 3" xfId="3899" xr:uid="{FE77FD71-1ABD-48AB-9DE5-D6DE52A5D80B}"/>
    <cellStyle name="Normal 3 6 3 3" xfId="3562" xr:uid="{A41465FF-C763-40D7-BE17-986A19DEA467}"/>
    <cellStyle name="Normal 3 6 3 4" xfId="3814" xr:uid="{2A296914-247F-43CD-8153-47B831AC11B9}"/>
    <cellStyle name="Normal 3 6 4" xfId="3437" xr:uid="{18980BF1-5D51-4084-90DB-84C6ED63DE1A}"/>
    <cellStyle name="Normal 3 6 4 2" xfId="3703" xr:uid="{B3269BC1-33E5-4817-A995-96A1BD7061D1}"/>
    <cellStyle name="Normal 3 6 4 3" xfId="3939" xr:uid="{764EA2AE-18F4-456C-8EE5-DFC9C8C5E82B}"/>
    <cellStyle name="Normal 3 6 5" xfId="2938" xr:uid="{464D1B4F-3FDE-4325-BF32-01E30F8597D3}"/>
    <cellStyle name="Normal 3 6 5 2" xfId="3607" xr:uid="{E3BEC948-CB48-4699-9BF7-398E9057341F}"/>
    <cellStyle name="Normal 3 6 5 3" xfId="3859" xr:uid="{BC846693-37AE-4C68-BC03-902D2F47C0A0}"/>
    <cellStyle name="Normal 3 6 6" xfId="3517" xr:uid="{36B40373-C254-42BF-9844-AB2E19D74B61}"/>
    <cellStyle name="Normal 3 6 7" xfId="3769" xr:uid="{E988F79F-9554-4EF7-8442-FEC68EEA6CAC}"/>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3" xfId="3905" xr:uid="{B57D4589-91EC-4F8F-A746-E12F3D3B32CD}"/>
    <cellStyle name="Normal 3 7 2 2 3" xfId="3568" xr:uid="{C7D6B39A-772D-4D3C-9D2F-8300C65922DB}"/>
    <cellStyle name="Normal 3 7 2 2 4" xfId="3820" xr:uid="{20A6AB42-43E1-411C-9E87-F14C771475E8}"/>
    <cellStyle name="Normal 3 7 2 3" xfId="3444" xr:uid="{67957013-F341-4E6C-A69B-0EDB178F8F47}"/>
    <cellStyle name="Normal 3 7 2 3 2" xfId="3709" xr:uid="{8200D914-E07F-4E54-A2AF-C55324BA3CCE}"/>
    <cellStyle name="Normal 3 7 2 3 3" xfId="3945" xr:uid="{536C1E95-7AA8-439D-9B5A-F12D30475CE0}"/>
    <cellStyle name="Normal 3 7 2 4" xfId="2944" xr:uid="{9C47C7AE-7CA9-4452-A77C-95B435A66C76}"/>
    <cellStyle name="Normal 3 7 2 4 2" xfId="3613" xr:uid="{31B6E725-703C-4DD5-95DA-D3E2F219BA7A}"/>
    <cellStyle name="Normal 3 7 2 4 3" xfId="3865" xr:uid="{A6F17307-5C5D-4E30-869F-6153B7E3CE2A}"/>
    <cellStyle name="Normal 3 7 2 5" xfId="3523" xr:uid="{FC001EC6-1FFF-4CFF-87BE-A1DF17CEADBB}"/>
    <cellStyle name="Normal 3 7 2 6" xfId="3775" xr:uid="{872F1431-61DD-4882-88E3-D556FA39306C}"/>
    <cellStyle name="Normal 3 7 3" xfId="2882" xr:uid="{CAC8F409-912F-4248-A145-ECB4A69E53C0}"/>
    <cellStyle name="Normal 3 7 3 2" xfId="2967" xr:uid="{AD2F175F-6CE0-4BF1-89F7-8D6F4DAA212B}"/>
    <cellStyle name="Normal 3 7 3 2 2" xfId="3636" xr:uid="{444573FF-F4BC-490C-8DAC-4281FD2C5097}"/>
    <cellStyle name="Normal 3 7 3 2 3" xfId="3888" xr:uid="{02AE4DE1-8B54-491D-A0C0-24545A16802C}"/>
    <cellStyle name="Normal 3 7 3 3" xfId="3551" xr:uid="{FD155A5A-1FB9-4188-A30F-4138488D7210}"/>
    <cellStyle name="Normal 3 7 3 4" xfId="3803" xr:uid="{D7F4D3A4-8800-4678-8EE4-B098E6BC5F6E}"/>
    <cellStyle name="Normal 3 7 4" xfId="3023" xr:uid="{17C3627A-5390-4086-994A-FC055B3E2812}"/>
    <cellStyle name="Normal 3 7 4 2" xfId="3692" xr:uid="{60957BF5-3C0E-48DB-BEAA-33FBC66548BE}"/>
    <cellStyle name="Normal 3 7 4 3" xfId="3928" xr:uid="{B6806D39-31C1-4A98-859D-2C641B177A23}"/>
    <cellStyle name="Normal 3 7 5" xfId="2927" xr:uid="{F7BA3C64-391D-4B30-ACDD-3661ABDF053D}"/>
    <cellStyle name="Normal 3 7 5 2" xfId="3596" xr:uid="{FEF7B1B7-3C7A-4C91-A177-C9900B215FC2}"/>
    <cellStyle name="Normal 3 7 5 3" xfId="3848" xr:uid="{FDE0279F-6D0A-495B-9406-38F50C2B3CA8}"/>
    <cellStyle name="Normal 3 7 6" xfId="3506" xr:uid="{C85A07FA-469B-4060-A313-D5D1D97E3931}"/>
    <cellStyle name="Normal 3 7 7" xfId="3758" xr:uid="{EADFC464-3E4E-401D-9FC0-7C507DE33138}"/>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3" xfId="3904" xr:uid="{D87A483E-476D-4168-9E15-B7ED129B757A}"/>
    <cellStyle name="Normal 3 8 2 2 3" xfId="3567" xr:uid="{660FA052-BE0C-4619-814C-B0B964F6E8D1}"/>
    <cellStyle name="Normal 3 8 2 2 4" xfId="3819" xr:uid="{FCE5AEAB-68C7-4C95-B82E-BA9A8A137859}"/>
    <cellStyle name="Normal 3 8 2 3" xfId="3443" xr:uid="{674C9D59-715E-492F-A955-8D053C361483}"/>
    <cellStyle name="Normal 3 8 2 3 2" xfId="3708" xr:uid="{E2CA6EA0-C2D0-4FF4-8419-F505D58A1287}"/>
    <cellStyle name="Normal 3 8 2 3 3" xfId="3944" xr:uid="{54C5436F-5139-4ACB-8C45-3CDB8B9C6332}"/>
    <cellStyle name="Normal 3 8 2 4" xfId="2943" xr:uid="{A5926E68-6E3A-4F69-A50C-5F3732548537}"/>
    <cellStyle name="Normal 3 8 2 4 2" xfId="3612" xr:uid="{426E6E58-B351-40DF-B238-9CB13D60576D}"/>
    <cellStyle name="Normal 3 8 2 4 3" xfId="3864" xr:uid="{71B02CA7-1CB2-43B9-A4E9-593ECBD4DA6C}"/>
    <cellStyle name="Normal 3 8 2 5" xfId="3522" xr:uid="{979A876D-B891-40C7-82DA-3DA04C5FC453}"/>
    <cellStyle name="Normal 3 8 2 6" xfId="3774" xr:uid="{61A5046A-33C4-40C6-9AB9-079C66138BD9}"/>
    <cellStyle name="Normal 3 8 3" xfId="2881" xr:uid="{2A6C37F5-3EAB-4641-9972-109045CFDB2E}"/>
    <cellStyle name="Normal 3 8 3 2" xfId="2966" xr:uid="{AFE56341-50A2-420E-881F-FFFAAFB96C76}"/>
    <cellStyle name="Normal 3 8 3 2 2" xfId="3635" xr:uid="{561A7084-8F92-4AFE-B823-304C3BC04B2F}"/>
    <cellStyle name="Normal 3 8 3 2 3" xfId="3887" xr:uid="{BDE24C8D-D6A1-4E90-9C34-41EBF4B1000D}"/>
    <cellStyle name="Normal 3 8 3 3" xfId="3550" xr:uid="{6CCE2FCA-0C88-41D9-88FA-C698D5BBAA6A}"/>
    <cellStyle name="Normal 3 8 3 4" xfId="3802" xr:uid="{75853CDD-D30D-4A9F-9517-4F873D9D8744}"/>
    <cellStyle name="Normal 3 8 4" xfId="3022" xr:uid="{490F8661-2274-477D-8A62-38B0B8A8D80D}"/>
    <cellStyle name="Normal 3 8 4 2" xfId="3691" xr:uid="{9DD60BA5-4A4A-42A8-9FD2-601FBE28019B}"/>
    <cellStyle name="Normal 3 8 4 3" xfId="3927" xr:uid="{F8A24432-9630-404F-A1B0-767D1652B99B}"/>
    <cellStyle name="Normal 3 8 5" xfId="2926" xr:uid="{0B0E2B2C-3A3B-4C12-8B19-70D50DDFA4C7}"/>
    <cellStyle name="Normal 3 8 5 2" xfId="3595" xr:uid="{186A2956-2B57-4DA0-BFE5-9620666BBD34}"/>
    <cellStyle name="Normal 3 8 5 3" xfId="3847" xr:uid="{CFABF7DB-557A-49F6-8E85-222B7593C51F}"/>
    <cellStyle name="Normal 3 8 6" xfId="3505" xr:uid="{E133F36B-E891-49F4-8CB9-372603913109}"/>
    <cellStyle name="Normal 3 8 7" xfId="3757" xr:uid="{56516DCC-B7E3-4544-9292-EC6589C0B861}"/>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3" xfId="3885" xr:uid="{8A3DAD6F-B0DE-43BD-9A3E-C258079902C5}"/>
    <cellStyle name="Normal 3 9 2 3" xfId="3548" xr:uid="{928090B1-A035-40CA-9A84-C9997FF0BEA2}"/>
    <cellStyle name="Normal 3 9 2 4" xfId="3800" xr:uid="{C3097377-193C-4898-86EB-ACE25AE7BE74}"/>
    <cellStyle name="Normal 3 9 3" xfId="3020" xr:uid="{330F775B-D10F-4B3F-B787-95506BC9D1F2}"/>
    <cellStyle name="Normal 3 9 3 2" xfId="3689" xr:uid="{EE795DE7-6555-4372-98BD-6B6263B6979F}"/>
    <cellStyle name="Normal 3 9 3 3" xfId="3925" xr:uid="{36B704B3-F5DE-4F6B-B96A-FDEF44D0ACB9}"/>
    <cellStyle name="Normal 3 9 4" xfId="2924" xr:uid="{BAC23DD2-8035-4E02-BEDA-BC8AE034543F}"/>
    <cellStyle name="Normal 3 9 4 2" xfId="3593" xr:uid="{23ABD6F3-84EB-4393-B461-5D2B2F099B98}"/>
    <cellStyle name="Normal 3 9 4 3" xfId="3845" xr:uid="{B00B2B70-7B79-4B93-BEBE-0939C49C6CA3}"/>
    <cellStyle name="Normal 3 9 5" xfId="3503" xr:uid="{3F0E68A4-505F-4743-A141-2A4ADDEC93C6}"/>
    <cellStyle name="Normal 3 9 6" xfId="3755" xr:uid="{4232EF77-DD32-4835-A8D4-4D1679A8F92C}"/>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3" xfId="3924" xr:uid="{50052E95-3CC1-41BF-83F1-1D1E870435AF}"/>
    <cellStyle name="Normal 4 10 3" xfId="3542" xr:uid="{39EA222C-770B-41E7-A4CC-C117C50904EE}"/>
    <cellStyle name="Normal 4 10 4" xfId="3794" xr:uid="{D128B21E-877D-468A-B78E-8D0140B5A649}"/>
    <cellStyle name="Normal 4 11" xfId="3484" xr:uid="{E1E9D421-EAA4-4FD4-91B6-26A35DFAACCA}"/>
    <cellStyle name="Normal 4 11 2" xfId="3731" xr:uid="{6C3D6F15-8596-4BBF-9E70-FE8E148C2BD0}"/>
    <cellStyle name="Normal 4 11 3" xfId="3967" xr:uid="{280B2C81-2806-4776-A96C-28F17C2C119F}"/>
    <cellStyle name="Normal 4 12" xfId="2918" xr:uid="{776488AA-3726-479F-9BB8-4CE8059F9DA4}"/>
    <cellStyle name="Normal 4 12 2" xfId="3587" xr:uid="{FED39AA4-4B50-4DAA-B527-5CA2B810B28A}"/>
    <cellStyle name="Normal 4 12 3" xfId="3839" xr:uid="{EF01FA18-6BF0-4B3E-B863-6A4F8C5C6E94}"/>
    <cellStyle name="Normal 4 13" xfId="3492" xr:uid="{BA64252E-E332-442C-AF6B-08C40B5879B8}"/>
    <cellStyle name="Normal 4 14" xfId="22" xr:uid="{8086ED49-FE76-4531-AB0E-FA4CAA2327F8}"/>
    <cellStyle name="Normal 4 15" xfId="3744" xr:uid="{5AF083A2-4C9E-4F5C-BF25-2C9811F98F0B}"/>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3" xfId="3911" xr:uid="{0F300BE7-49B3-40CD-A492-14AF20E66B70}"/>
    <cellStyle name="Normal 4 2 2 2 3" xfId="3574" xr:uid="{DF14BEFE-7DC0-43AB-8B39-12BC4C643D9A}"/>
    <cellStyle name="Normal 4 2 2 2 4" xfId="3826" xr:uid="{846747AC-DAF4-4926-AD6C-C04AEE7E2F69}"/>
    <cellStyle name="Normal 4 2 2 3" xfId="3450" xr:uid="{8A145DD6-8681-439E-A9C6-50BC7D1C8EE6}"/>
    <cellStyle name="Normal 4 2 2 3 2" xfId="3715" xr:uid="{2215DDA7-181D-4DE5-B5C9-757B742671F6}"/>
    <cellStyle name="Normal 4 2 2 3 3" xfId="3951" xr:uid="{0A3D1D7E-73B3-489E-A548-907751020409}"/>
    <cellStyle name="Normal 4 2 2 4" xfId="2950" xr:uid="{C95DDB79-805C-4C12-A415-C6FAA93F53B4}"/>
    <cellStyle name="Normal 4 2 2 4 2" xfId="3619" xr:uid="{DD3BD707-27A4-49A9-BF52-05B761F4D9B7}"/>
    <cellStyle name="Normal 4 2 2 4 3" xfId="3871" xr:uid="{DAC65459-05C5-4E5F-86FF-D0C41D160D91}"/>
    <cellStyle name="Normal 4 2 2 5" xfId="3529" xr:uid="{B95641FF-C168-45AD-B8C9-C4F9D814D317}"/>
    <cellStyle name="Normal 4 2 2 6" xfId="3781" xr:uid="{66B2877E-8F6A-4A3D-A000-45B952247A0A}"/>
    <cellStyle name="Normal 4 2 3" xfId="2888" xr:uid="{32807B66-8F0E-4006-9465-31D3322D1FA5}"/>
    <cellStyle name="Normal 4 2 3 2" xfId="2989" xr:uid="{D2CD65BD-F44D-476A-8304-1002F84EE031}"/>
    <cellStyle name="Normal 4 2 3 2 2" xfId="3658" xr:uid="{7F9D4086-4BC7-4361-8FF1-EDBC554D495F}"/>
    <cellStyle name="Normal 4 2 3 2 3" xfId="3894" xr:uid="{B32CFF3D-6BA8-4065-B5F5-901B163C092F}"/>
    <cellStyle name="Normal 4 2 3 3" xfId="3557" xr:uid="{A82876CE-3AC7-40AF-942A-CC71D7FE0E16}"/>
    <cellStyle name="Normal 4 2 3 4" xfId="3809" xr:uid="{A75D8E50-3E4B-4F9C-867F-DA67CA2F453E}"/>
    <cellStyle name="Normal 4 2 4" xfId="3426" xr:uid="{394C2112-16E4-407C-8D72-54B8B4347EA6}"/>
    <cellStyle name="Normal 4 2 4 2" xfId="3698" xr:uid="{71AE0EC5-12FA-47C6-AC62-AAFF5AA9056E}"/>
    <cellStyle name="Normal 4 2 4 3" xfId="3934" xr:uid="{09B30A3C-C6FA-41FF-ABBA-E9CF369A6CDC}"/>
    <cellStyle name="Normal 4 2 5" xfId="2933" xr:uid="{7422A233-B604-4CEF-8DB3-3B38D3B76A4F}"/>
    <cellStyle name="Normal 4 2 5 2" xfId="3602" xr:uid="{B3A4FAF7-0A25-4FD0-99A6-9D242DCD9793}"/>
    <cellStyle name="Normal 4 2 5 3" xfId="3854" xr:uid="{ECCEF091-7F35-4C4B-9B7B-8ABF355F3100}"/>
    <cellStyle name="Normal 4 2 6" xfId="3512" xr:uid="{4499489B-EA7A-4C79-88EE-8A8C8CDEE43E}"/>
    <cellStyle name="Normal 4 2 7" xfId="3764" xr:uid="{DC19B621-4D6F-4AE5-9783-D7B062583CF8}"/>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3" xfId="3915" xr:uid="{8925B81F-86A7-4FD8-8B04-170CAA9153E1}"/>
    <cellStyle name="Normal 4 3 2 2 3" xfId="3578" xr:uid="{3502D45F-E9A4-483F-A01F-19140A102337}"/>
    <cellStyle name="Normal 4 3 2 2 4" xfId="3830" xr:uid="{A8AC7F21-A6FF-4B83-9829-B2D8C3259260}"/>
    <cellStyle name="Normal 4 3 2 3" xfId="3454" xr:uid="{40666BB9-5300-4A90-A041-C2B05E0212C7}"/>
    <cellStyle name="Normal 4 3 2 3 2" xfId="3719" xr:uid="{27CD0467-DAC3-4379-9F87-015AC64E0485}"/>
    <cellStyle name="Normal 4 3 2 3 3" xfId="3955" xr:uid="{0BFF770B-7F5B-41F6-BA5C-07A7CA7CDADE}"/>
    <cellStyle name="Normal 4 3 2 4" xfId="2954" xr:uid="{A9FD7A50-AF92-46E9-B0DE-DEF8A5AB0621}"/>
    <cellStyle name="Normal 4 3 2 4 2" xfId="3623" xr:uid="{1861C970-CC5A-4BEB-AD97-887F2A8BE552}"/>
    <cellStyle name="Normal 4 3 2 4 3" xfId="3875" xr:uid="{90D8EA37-6925-4698-83B8-B05A8F7275EE}"/>
    <cellStyle name="Normal 4 3 2 5" xfId="3533" xr:uid="{2A1BC6D7-965B-4D75-8A88-2EC268E535D0}"/>
    <cellStyle name="Normal 4 3 2 6" xfId="3785" xr:uid="{939DC21F-6553-452D-95D6-B753B730CC68}"/>
    <cellStyle name="Normal 4 3 3" xfId="2892" xr:uid="{6C5564FB-3250-4620-823E-01C2904A3432}"/>
    <cellStyle name="Normal 4 3 3 2" xfId="2993" xr:uid="{C673568D-B830-421D-9F57-682A545B10F2}"/>
    <cellStyle name="Normal 4 3 3 2 2" xfId="3662" xr:uid="{7993FE68-3A7B-45CD-8A86-C8FF0BCD0CE9}"/>
    <cellStyle name="Normal 4 3 3 2 3" xfId="3898" xr:uid="{CC140A56-F986-45B1-98AA-733FFB011555}"/>
    <cellStyle name="Normal 4 3 3 3" xfId="3561" xr:uid="{EBFA198F-0452-4CF7-B47B-FF3047664F36}"/>
    <cellStyle name="Normal 4 3 3 4" xfId="3813" xr:uid="{AA80A5D6-07F3-46C3-ACBA-4FED823BF8FC}"/>
    <cellStyle name="Normal 4 3 4" xfId="3436" xr:uid="{9D31176D-BE12-49D1-828B-B3658E91ABDD}"/>
    <cellStyle name="Normal 4 3 4 2" xfId="3702" xr:uid="{8B3D2050-B085-477E-9C06-E5213BFE71A6}"/>
    <cellStyle name="Normal 4 3 4 3" xfId="3938" xr:uid="{046E3401-2EB2-4452-83FA-981EBDA6C9D0}"/>
    <cellStyle name="Normal 4 3 5" xfId="2937" xr:uid="{5A091B88-F41A-4AF7-91C4-1F079688941A}"/>
    <cellStyle name="Normal 4 3 5 2" xfId="3606" xr:uid="{6B8C2F25-0AB1-45B2-AE85-87D20184DFAC}"/>
    <cellStyle name="Normal 4 3 5 3" xfId="3858" xr:uid="{0BFE7712-6F70-495D-946B-95BBA06E5C6C}"/>
    <cellStyle name="Normal 4 3 6" xfId="3516" xr:uid="{7C95A12E-99DA-4C3A-82F2-8515CBB4FDA4}"/>
    <cellStyle name="Normal 4 3 7" xfId="3768" xr:uid="{A0901E0A-F6EC-4E21-A0C0-FF1BE6C9F2F2}"/>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3" xfId="3918" xr:uid="{5FF0C793-7EFD-4E5C-96CE-480D15288BF0}"/>
    <cellStyle name="Normal 4 4 2 2 3" xfId="3581" xr:uid="{48EED8D4-76B9-4A46-A51F-BC81D3E1D646}"/>
    <cellStyle name="Normal 4 4 2 2 4" xfId="3833" xr:uid="{A0FFEC4B-565D-4346-92ED-6AFE70C17796}"/>
    <cellStyle name="Normal 4 4 2 3" xfId="3457" xr:uid="{603BC009-A252-49E1-A966-6BBF24B62296}"/>
    <cellStyle name="Normal 4 4 2 3 2" xfId="3722" xr:uid="{244380B4-5AEC-48D0-A2EF-A95450406E38}"/>
    <cellStyle name="Normal 4 4 2 3 3" xfId="3958" xr:uid="{A07E4339-B32B-407D-A03F-35796B21B202}"/>
    <cellStyle name="Normal 4 4 2 4" xfId="2957" xr:uid="{B6BD8F4B-7DE3-4A49-8A75-171644DE4B45}"/>
    <cellStyle name="Normal 4 4 2 4 2" xfId="3626" xr:uid="{C6ED27FC-A2F5-473D-B52E-DA25506805BC}"/>
    <cellStyle name="Normal 4 4 2 4 3" xfId="3878" xr:uid="{75CB2AEA-C7CE-4F2B-BB52-F43459316BA8}"/>
    <cellStyle name="Normal 4 4 2 5" xfId="3536" xr:uid="{1B9216E6-0302-4DDB-842E-1C4D5D558AF7}"/>
    <cellStyle name="Normal 4 4 2 6" xfId="3788" xr:uid="{6B14861D-D558-4E0E-B464-ECCB3240F349}"/>
    <cellStyle name="Normal 4 4 3" xfId="2895" xr:uid="{31D89E02-9E55-42A5-9DC4-1228FD145ADF}"/>
    <cellStyle name="Normal 4 4 3 2" xfId="2996" xr:uid="{08E4F956-9DC8-4470-AAB7-3C6C658BCCD1}"/>
    <cellStyle name="Normal 4 4 3 2 2" xfId="3665" xr:uid="{56F916F1-3B59-4C13-B7CF-6FFD72C16681}"/>
    <cellStyle name="Normal 4 4 3 2 3" xfId="3901" xr:uid="{94E9F3E5-4F9E-4E07-B8F4-064221EB1AC3}"/>
    <cellStyle name="Normal 4 4 3 3" xfId="3564" xr:uid="{94591AE2-72AD-46F7-A8E0-36A4C1395603}"/>
    <cellStyle name="Normal 4 4 3 4" xfId="3816" xr:uid="{66C0C78C-27EF-4A82-A9B9-3E964ACBB55A}"/>
    <cellStyle name="Normal 4 4 4" xfId="3439" xr:uid="{2C59E7BB-97B5-4DF7-829F-EE7A50649E81}"/>
    <cellStyle name="Normal 4 4 4 2" xfId="3705" xr:uid="{98E0296E-A976-4DB9-9CA4-2839128A46C2}"/>
    <cellStyle name="Normal 4 4 4 3" xfId="3941" xr:uid="{09EBEC7C-A201-43BF-BB6C-4245F36CBC76}"/>
    <cellStyle name="Normal 4 4 5" xfId="2940" xr:uid="{D339D396-524A-4FC5-93FD-8ADCB9EC87F1}"/>
    <cellStyle name="Normal 4 4 5 2" xfId="3609" xr:uid="{8A005C51-8150-44F5-B3F9-8A689A25B884}"/>
    <cellStyle name="Normal 4 4 5 3" xfId="3861" xr:uid="{E17F907A-B5B0-42CA-A9B6-21B33D72F535}"/>
    <cellStyle name="Normal 4 4 6" xfId="3519" xr:uid="{12B38230-8BF1-4B5B-A331-B6FB04606618}"/>
    <cellStyle name="Normal 4 4 7" xfId="3771" xr:uid="{935631FF-EAD1-46AC-B414-193B9F176F50}"/>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3" xfId="3891" xr:uid="{41EEE98B-5EC7-44DB-96CF-C0DFE5D6CA00}"/>
    <cellStyle name="Normal 4 5 2 3" xfId="3554" xr:uid="{7D9911A8-E0D2-4AE2-829D-199C5E3823B4}"/>
    <cellStyle name="Normal 4 5 2 4" xfId="3806" xr:uid="{0503EE78-B308-4C6E-B7C6-D43B2AE39314}"/>
    <cellStyle name="Normal 4 5 3" xfId="3040" xr:uid="{FF07AB09-14AA-4828-B57E-B817117672A2}"/>
    <cellStyle name="Normal 4 5 3 2" xfId="3695" xr:uid="{83F37EC2-5319-4AE8-87C5-D0A028B6C2FB}"/>
    <cellStyle name="Normal 4 5 3 3" xfId="3931" xr:uid="{4DF4F5F0-2A36-4FAE-8DC3-CAA5DCC13EFF}"/>
    <cellStyle name="Normal 4 5 4" xfId="2930" xr:uid="{127037BD-9E37-413D-9A1B-89CC01040EA9}"/>
    <cellStyle name="Normal 4 5 4 2" xfId="3599" xr:uid="{50DE78CD-2FF4-4B6C-996B-38AC7BD3C038}"/>
    <cellStyle name="Normal 4 5 4 3" xfId="3851" xr:uid="{4E3E9C45-1156-4C61-9EEE-7D779442CDA1}"/>
    <cellStyle name="Normal 4 5 5" xfId="3509" xr:uid="{EE80D27D-FF68-47E9-B3FD-412ABF79C8FA}"/>
    <cellStyle name="Normal 4 5 6" xfId="3761" xr:uid="{9D3554BD-90FA-4D4D-ACCE-2A270443FB4C}"/>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3" xfId="3908" xr:uid="{80B369C5-262F-4400-A6D5-B52A0F01D2F9}"/>
    <cellStyle name="Normal 4 6 2 3" xfId="3571" xr:uid="{0A1A40D1-C1B0-41DA-AF95-6D0B88ADA848}"/>
    <cellStyle name="Normal 4 6 2 4" xfId="3823" xr:uid="{FCEE0689-C8D5-47D5-A5CB-F691BF70BFEA}"/>
    <cellStyle name="Normal 4 6 3" xfId="3447" xr:uid="{5403DFEF-8DF5-4821-A5AD-BE962DCD5622}"/>
    <cellStyle name="Normal 4 6 3 2" xfId="3712" xr:uid="{94C7A8FA-212A-4E84-8519-272318F7EBA8}"/>
    <cellStyle name="Normal 4 6 3 3" xfId="3948" xr:uid="{D6E42D32-6483-43E4-8665-099EB227FFF8}"/>
    <cellStyle name="Normal 4 6 4" xfId="2947" xr:uid="{A671DB3F-E4AD-4FC7-940F-2A343291A944}"/>
    <cellStyle name="Normal 4 6 4 2" xfId="3616" xr:uid="{300DBA71-10EE-416C-8D9C-3A6BE45C10B1}"/>
    <cellStyle name="Normal 4 6 4 3" xfId="3868" xr:uid="{51B13282-2A69-4E61-9493-90FA79C3E5DF}"/>
    <cellStyle name="Normal 4 6 5" xfId="3526" xr:uid="{B066C5EF-CD9C-4F81-8FC7-F8B1C146D8B9}"/>
    <cellStyle name="Normal 4 6 6" xfId="3778" xr:uid="{46C37FD4-9AC8-421A-9A13-72907DDFA8AA}"/>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3" xfId="3799" xr:uid="{82B40852-04B9-410A-91EE-2F8FF1268235}"/>
    <cellStyle name="Normal 4 8 3" xfId="2923" xr:uid="{F834450C-FB76-4614-87A2-14233A0E8F61}"/>
    <cellStyle name="Normal 4 8 3 2" xfId="3592" xr:uid="{95336BC0-AF1C-441E-B761-6F87729A275C}"/>
    <cellStyle name="Normal 4 8 3 3" xfId="3844" xr:uid="{5CB78B28-0581-4A84-A24E-5B198D7E8927}"/>
    <cellStyle name="Normal 4 8 4" xfId="3502" xr:uid="{C4359809-4B06-4ECC-85DA-A62E889FB51E}"/>
    <cellStyle name="Normal 4 8 5" xfId="3754" xr:uid="{19FE0B4F-111B-4D4F-8932-5198CBD8895F}"/>
    <cellStyle name="Normal 4 9" xfId="27" xr:uid="{991B9F0F-1632-4E82-BA15-D4F5B44B6040}"/>
    <cellStyle name="Normal 4 9 2" xfId="2963" xr:uid="{1130FF09-DC98-4189-BFBA-210000AC8890}"/>
    <cellStyle name="Normal 4 9 2 2" xfId="3632" xr:uid="{63756306-B1DD-407B-B9E6-5AC0453CA823}"/>
    <cellStyle name="Normal 4 9 2 3" xfId="3884" xr:uid="{0337CA38-D066-4524-AA9F-5031B2FD53C9}"/>
    <cellStyle name="Normal 4 9 3" xfId="3497" xr:uid="{7AF635FA-A1A1-48C3-B6EE-0201F5320E85}"/>
    <cellStyle name="Normal 4 9 4" xfId="3749" xr:uid="{E418F54E-ED24-4934-8C1C-FF3E395645DB}"/>
    <cellStyle name="Normal 5" xfId="17" xr:uid="{00000000-0005-0000-0000-000009000000}"/>
    <cellStyle name="Normal 5 10" xfId="3745" xr:uid="{55C03246-FBFE-4372-A976-447605DEE6B6}"/>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3" xfId="3968" xr:uid="{53EF9D53-D798-498A-BAE8-85D2CD61CFCC}"/>
    <cellStyle name="Normal 5 4 3" xfId="3498" xr:uid="{2D4D7C69-4DE4-4FC8-A914-E421AFAB2860}"/>
    <cellStyle name="Normal 5 4 4" xfId="3750" xr:uid="{FA6C7E94-A0B4-4C51-A5BD-86642F0996ED}"/>
    <cellStyle name="Normal 5 5" xfId="2874" xr:uid="{9CDE6A7D-AF32-4552-B970-EE61A24273A0}"/>
    <cellStyle name="Normal 5 5 2" xfId="3543" xr:uid="{B74F021B-0F43-46BC-A2D3-0716E4A3AF8C}"/>
    <cellStyle name="Normal 5 5 3" xfId="3795" xr:uid="{AB1EF789-3390-441A-B6A2-B1E1B508B55F}"/>
    <cellStyle name="Normal 5 6" xfId="2919" xr:uid="{B16276D1-98A2-4189-986F-7A9FF9B2E12B}"/>
    <cellStyle name="Normal 5 6 2" xfId="3588" xr:uid="{DA980C1F-D20E-4C94-9DA4-E0EC327351BC}"/>
    <cellStyle name="Normal 5 6 3" xfId="3840" xr:uid="{DF247A80-A2E7-493A-8322-8EC55F365A2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3" xfId="3919" xr:uid="{84F4779F-92FC-4BD6-896E-7BBFD2F3E842}"/>
    <cellStyle name="Normal 7 3 3" xfId="3582" xr:uid="{7D2264C0-F1A9-4DCA-A32A-EB499D494EBF}"/>
    <cellStyle name="Normal 7 3 4" xfId="3834" xr:uid="{51AF34F3-451B-4B27-998C-3F04D185DDFB}"/>
    <cellStyle name="Normal 7 4" xfId="3458" xr:uid="{1092CC19-2F99-4393-B784-EFC2A6AEB43C}"/>
    <cellStyle name="Normal 7 4 2" xfId="3723" xr:uid="{0D55B3BF-BBD0-4E9D-86FD-488182A6561F}"/>
    <cellStyle name="Normal 7 4 3" xfId="3959" xr:uid="{B9159DD8-35DC-4091-8209-5591ACC91D70}"/>
    <cellStyle name="Normal 7 5" xfId="2958" xr:uid="{99099E35-371D-44EE-A4D8-19D973BD4E12}"/>
    <cellStyle name="Normal 7 5 2" xfId="3627" xr:uid="{6A79BA35-1D50-41F6-B98D-FCBCCD565DF3}"/>
    <cellStyle name="Normal 7 5 3" xfId="3879" xr:uid="{CF37A15E-6FCB-496E-B534-EACA8EC46B52}"/>
    <cellStyle name="Normal 7 6" xfId="3537" xr:uid="{0B2E2D67-91A9-4261-A82B-2178984B9A39}"/>
    <cellStyle name="Normal 7 7" xfId="3789" xr:uid="{99A30504-31BD-4371-BCB4-9E427EF57501}"/>
    <cellStyle name="Normal 8" xfId="3479" xr:uid="{F65E7F24-28BF-47D4-B373-5F9607D80DE1}"/>
    <cellStyle name="Normal 8 2" xfId="2269" xr:uid="{B3E2D75E-C975-46FE-B6CD-080EE9FE5F8B}"/>
    <cellStyle name="Normal 8 3" xfId="3726" xr:uid="{D5BC5667-1DB1-4948-AF65-C6F8BB8B7555}"/>
    <cellStyle name="Normal 8 4" xfId="3962" xr:uid="{6A9B026A-8A64-4DD0-B88A-C0DC3673DCC2}"/>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1076325</xdr:colOff>
          <xdr:row>11</xdr:row>
          <xdr:rowOff>28575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6</xdr:row>
          <xdr:rowOff>38100</xdr:rowOff>
        </xdr:from>
        <xdr:to>
          <xdr:col>1</xdr:col>
          <xdr:colOff>2190750</xdr:colOff>
          <xdr:row>11</xdr:row>
          <xdr:rowOff>28575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F48"/>
  <sheetViews>
    <sheetView showGridLines="0" tabSelected="1" topLeftCell="A7"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4">
        <f>+'AFR20'!E4</f>
        <v>44119</v>
      </c>
      <c r="C1" s="2134"/>
      <c r="D1" s="2135"/>
      <c r="I1" s="2093" t="s">
        <v>402</v>
      </c>
      <c r="J1" s="2094"/>
      <c r="K1" s="2094"/>
      <c r="L1" s="2094"/>
      <c r="M1" s="2094"/>
      <c r="N1" s="2094"/>
      <c r="O1" s="2094"/>
      <c r="P1" s="2094"/>
      <c r="Q1" s="2094"/>
      <c r="R1" s="2094"/>
      <c r="S1" s="2094"/>
    </row>
    <row r="2" spans="1:32" ht="12" customHeight="1" x14ac:dyDescent="0.2">
      <c r="A2" s="1820" t="str">
        <f>"Due to ISBE on "</f>
        <v xml:space="preserve">Due to ISBE on </v>
      </c>
      <c r="B2" s="2136">
        <f>+'AFR20'!F4</f>
        <v>44151</v>
      </c>
      <c r="C2" s="2136"/>
      <c r="D2" s="2137"/>
      <c r="I2" s="2095" t="s">
        <v>2000</v>
      </c>
      <c r="J2" s="2094"/>
      <c r="K2" s="2094"/>
      <c r="L2" s="2094"/>
      <c r="M2" s="2094"/>
      <c r="N2" s="2094"/>
      <c r="O2" s="2094"/>
      <c r="P2" s="2094"/>
      <c r="Q2" s="2094"/>
      <c r="R2" s="2094"/>
      <c r="S2" s="2094"/>
    </row>
    <row r="3" spans="1:32" ht="12" customHeight="1" x14ac:dyDescent="0.2">
      <c r="A3" s="1823" t="str">
        <f>"SD/JA"&amp;MID('AFR20'!E2,3,2)</f>
        <v>SD/JA20</v>
      </c>
      <c r="B3" s="151"/>
      <c r="C3" s="151"/>
      <c r="D3" s="152"/>
      <c r="I3" s="2095" t="s">
        <v>52</v>
      </c>
      <c r="J3" s="2094"/>
      <c r="K3" s="2094"/>
      <c r="L3" s="2094"/>
      <c r="M3" s="2094"/>
      <c r="N3" s="2094"/>
      <c r="O3" s="2094"/>
      <c r="P3" s="2094"/>
      <c r="Q3" s="2094"/>
      <c r="R3" s="2094"/>
      <c r="S3" s="2094"/>
    </row>
    <row r="4" spans="1:32" ht="12" customHeight="1" x14ac:dyDescent="0.2">
      <c r="A4" s="37"/>
      <c r="I4" s="2095" t="s">
        <v>521</v>
      </c>
      <c r="J4" s="2094"/>
      <c r="K4" s="2094"/>
      <c r="L4" s="2094"/>
      <c r="M4" s="2094"/>
      <c r="N4" s="2094"/>
      <c r="O4" s="2094"/>
      <c r="P4" s="2094"/>
      <c r="Q4" s="2094"/>
      <c r="R4" s="2094"/>
      <c r="S4" s="2094"/>
    </row>
    <row r="5" spans="1:32" ht="14.1" customHeight="1" x14ac:dyDescent="0.2">
      <c r="B5" s="101"/>
      <c r="C5" s="26" t="s">
        <v>903</v>
      </c>
      <c r="D5" s="81"/>
      <c r="E5" s="81"/>
      <c r="H5" s="38"/>
      <c r="I5" s="2103" t="s">
        <v>675</v>
      </c>
      <c r="J5" s="2102"/>
      <c r="K5" s="2102"/>
      <c r="L5" s="2102"/>
      <c r="M5" s="2102"/>
      <c r="N5" s="2102"/>
      <c r="O5" s="2102"/>
      <c r="P5" s="2102"/>
      <c r="Q5" s="2102"/>
      <c r="R5" s="2102"/>
      <c r="S5" s="2102"/>
      <c r="AF5" s="1816"/>
    </row>
    <row r="6" spans="1:32" ht="14.1" customHeight="1" x14ac:dyDescent="0.2">
      <c r="B6" s="101" t="s">
        <v>2062</v>
      </c>
      <c r="C6" s="26" t="s">
        <v>904</v>
      </c>
      <c r="D6" s="81"/>
      <c r="E6" s="81"/>
      <c r="I6" s="2101" t="s">
        <v>876</v>
      </c>
      <c r="J6" s="2102"/>
      <c r="K6" s="2102"/>
      <c r="L6" s="2102"/>
      <c r="M6" s="2102"/>
      <c r="N6" s="2102"/>
      <c r="O6" s="2102"/>
      <c r="P6" s="2102"/>
      <c r="Q6" s="2102"/>
      <c r="R6" s="2102"/>
      <c r="S6" s="2102"/>
    </row>
    <row r="7" spans="1:32" ht="12.2" customHeight="1" x14ac:dyDescent="0.2">
      <c r="I7" s="2096" t="str">
        <f>"June 30, "&amp;'AFR20'!E2</f>
        <v>June 30, 2020</v>
      </c>
      <c r="J7" s="2097"/>
      <c r="K7" s="2097"/>
      <c r="L7" s="2097"/>
      <c r="M7" s="2097"/>
      <c r="N7" s="2097"/>
      <c r="O7" s="2097"/>
      <c r="P7" s="2097"/>
      <c r="Q7" s="2097"/>
      <c r="R7" s="2097"/>
      <c r="S7" s="209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8" t="s">
        <v>669</v>
      </c>
      <c r="J9" s="2099"/>
      <c r="K9" s="2099"/>
      <c r="L9" s="2099"/>
      <c r="M9" s="2099"/>
      <c r="N9" s="2099"/>
      <c r="O9" s="2099"/>
      <c r="P9" s="2099"/>
      <c r="Q9" s="2099"/>
      <c r="R9" s="2099"/>
      <c r="S9" s="2100"/>
      <c r="T9" s="2151" t="s">
        <v>530</v>
      </c>
      <c r="U9" s="2152"/>
      <c r="V9" s="2152"/>
      <c r="W9" s="2152"/>
      <c r="X9" s="2152"/>
      <c r="Y9" s="2152"/>
      <c r="Z9" s="2152"/>
      <c r="AA9" s="2153"/>
    </row>
    <row r="10" spans="1:32" ht="13.5" customHeight="1" x14ac:dyDescent="0.2">
      <c r="A10" s="2158" t="s">
        <v>670</v>
      </c>
      <c r="B10" s="2159"/>
      <c r="C10" s="2159"/>
      <c r="D10" s="2159"/>
      <c r="E10" s="2159"/>
      <c r="F10" s="2159"/>
      <c r="G10" s="2159"/>
      <c r="H10" s="2160"/>
      <c r="I10" s="29"/>
      <c r="J10" s="30"/>
      <c r="K10" s="28"/>
      <c r="R10" s="30"/>
      <c r="S10" s="30"/>
      <c r="T10" s="2154"/>
      <c r="U10" s="2102"/>
      <c r="V10" s="2102"/>
      <c r="W10" s="2102"/>
      <c r="X10" s="2102"/>
      <c r="Y10" s="2102"/>
      <c r="Z10" s="2102"/>
      <c r="AA10" s="2108"/>
    </row>
    <row r="11" spans="1:32" ht="14.25" customHeight="1" x14ac:dyDescent="0.2">
      <c r="A11" s="2161" t="s">
        <v>948</v>
      </c>
      <c r="B11" s="2162"/>
      <c r="C11" s="2162"/>
      <c r="D11" s="2162"/>
      <c r="E11" s="2162"/>
      <c r="F11" s="2162"/>
      <c r="G11" s="2162"/>
      <c r="H11" s="2163"/>
      <c r="I11" s="27"/>
      <c r="J11" s="71"/>
      <c r="K11" s="27"/>
      <c r="O11" s="144" t="s">
        <v>2067</v>
      </c>
      <c r="P11" s="97" t="s">
        <v>199</v>
      </c>
      <c r="Q11" s="30"/>
      <c r="R11" s="28"/>
      <c r="S11" s="27"/>
      <c r="T11" s="2155"/>
      <c r="U11" s="2156"/>
      <c r="V11" s="2156"/>
      <c r="W11" s="2156"/>
      <c r="X11" s="2156"/>
      <c r="Y11" s="2156"/>
      <c r="Z11" s="2156"/>
      <c r="AA11" s="2157"/>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4">
        <v>5016207046</v>
      </c>
      <c r="B13" s="2115"/>
      <c r="C13" s="2115"/>
      <c r="D13" s="2115"/>
      <c r="E13" s="2115"/>
      <c r="F13" s="2115"/>
      <c r="G13" s="2115"/>
      <c r="H13" s="2116"/>
      <c r="I13" s="31"/>
      <c r="J13" s="30"/>
      <c r="K13" s="28"/>
      <c r="L13" s="30"/>
      <c r="M13" s="30"/>
      <c r="N13" s="30"/>
      <c r="O13" s="30"/>
      <c r="P13" s="30"/>
      <c r="Q13" s="30"/>
      <c r="R13" s="30"/>
      <c r="S13" s="30"/>
      <c r="T13" s="2120" t="s">
        <v>2015</v>
      </c>
      <c r="U13" s="2121"/>
      <c r="V13" s="2121"/>
      <c r="W13" s="2121"/>
      <c r="X13" s="2121"/>
      <c r="Y13" s="2122"/>
      <c r="Z13" s="2122"/>
      <c r="AA13" s="212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17" t="s">
        <v>2063</v>
      </c>
      <c r="B15" s="2118"/>
      <c r="C15" s="2118"/>
      <c r="D15" s="2118"/>
      <c r="E15" s="2118"/>
      <c r="F15" s="2118"/>
      <c r="G15" s="2118"/>
      <c r="H15" s="2119"/>
      <c r="T15" s="2124" t="s">
        <v>2080</v>
      </c>
      <c r="U15" s="2081"/>
      <c r="V15" s="2081"/>
      <c r="W15" s="2081"/>
      <c r="X15" s="2081"/>
      <c r="Y15" s="2125"/>
      <c r="Z15" s="2125"/>
      <c r="AA15" s="212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7" t="s">
        <v>2082</v>
      </c>
      <c r="B17" s="2088"/>
      <c r="C17" s="2088"/>
      <c r="D17" s="2088"/>
      <c r="E17" s="2088"/>
      <c r="F17" s="2088"/>
      <c r="G17" s="2088"/>
      <c r="H17" s="2113"/>
      <c r="T17" s="2131" t="s">
        <v>2016</v>
      </c>
      <c r="U17" s="2132"/>
      <c r="V17" s="2132"/>
      <c r="W17" s="2132"/>
      <c r="X17" s="2132"/>
      <c r="Y17" s="2132"/>
      <c r="Z17" s="2132"/>
      <c r="AA17" s="2133"/>
    </row>
    <row r="18" spans="1:27" ht="13.5" customHeight="1" x14ac:dyDescent="0.2">
      <c r="A18" s="82" t="s">
        <v>527</v>
      </c>
      <c r="B18" s="73"/>
      <c r="C18" s="69"/>
      <c r="D18" s="73"/>
      <c r="E18" s="73"/>
      <c r="F18" s="73"/>
      <c r="G18" s="73"/>
      <c r="H18" s="53"/>
      <c r="I18" s="2112" t="s">
        <v>671</v>
      </c>
      <c r="J18" s="2063"/>
      <c r="K18" s="2063"/>
      <c r="L18" s="2063"/>
      <c r="M18" s="2063"/>
      <c r="N18" s="2063"/>
      <c r="O18" s="2063"/>
      <c r="P18" s="2063"/>
      <c r="Q18" s="2063"/>
      <c r="R18" s="2063"/>
      <c r="S18" s="2064"/>
      <c r="T18" s="82" t="s">
        <v>705</v>
      </c>
      <c r="U18" s="48"/>
      <c r="V18" s="69"/>
      <c r="W18" s="47"/>
      <c r="X18" s="82" t="s">
        <v>264</v>
      </c>
      <c r="Y18" s="78"/>
      <c r="Z18" s="154" t="s">
        <v>672</v>
      </c>
      <c r="AA18" s="44"/>
    </row>
    <row r="19" spans="1:27" ht="13.5" customHeight="1" x14ac:dyDescent="0.2">
      <c r="A19" s="2117" t="s">
        <v>2064</v>
      </c>
      <c r="B19" s="2073"/>
      <c r="C19" s="2073"/>
      <c r="D19" s="2073"/>
      <c r="E19" s="2073"/>
      <c r="F19" s="2073"/>
      <c r="G19" s="2073"/>
      <c r="H19" s="2053"/>
      <c r="I19" s="30"/>
      <c r="J19" s="96"/>
      <c r="K19" s="40"/>
      <c r="L19" s="38"/>
      <c r="M19" s="109" t="s">
        <v>312</v>
      </c>
      <c r="P19" s="27"/>
      <c r="Q19" s="27"/>
      <c r="R19" s="27"/>
      <c r="S19" s="31"/>
      <c r="T19" s="2117" t="s">
        <v>2017</v>
      </c>
      <c r="U19" s="2052"/>
      <c r="V19" s="2052"/>
      <c r="W19" s="2053"/>
      <c r="X19" s="2129" t="s">
        <v>2018</v>
      </c>
      <c r="Y19" s="2130"/>
      <c r="Z19" s="2127">
        <v>60050</v>
      </c>
      <c r="AA19" s="2128"/>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51" t="s">
        <v>2065</v>
      </c>
      <c r="B21" s="2052"/>
      <c r="C21" s="2052"/>
      <c r="D21" s="2052"/>
      <c r="E21" s="2052"/>
      <c r="F21" s="2052"/>
      <c r="G21" s="2052"/>
      <c r="H21" s="2053"/>
      <c r="I21" s="2107" t="s">
        <v>673</v>
      </c>
      <c r="J21" s="2102"/>
      <c r="K21" s="2102"/>
      <c r="L21" s="2102"/>
      <c r="M21" s="2102"/>
      <c r="N21" s="2102"/>
      <c r="O21" s="2102"/>
      <c r="P21" s="2102"/>
      <c r="Q21" s="2102"/>
      <c r="R21" s="2102"/>
      <c r="S21" s="2108"/>
      <c r="T21" s="2142" t="s">
        <v>2019</v>
      </c>
      <c r="U21" s="2143"/>
      <c r="V21" s="2143"/>
      <c r="W21" s="2143"/>
      <c r="X21" s="2148" t="s">
        <v>2020</v>
      </c>
      <c r="Y21" s="2149"/>
      <c r="Z21" s="2149"/>
      <c r="AA21" s="2150"/>
    </row>
    <row r="22" spans="1:27" ht="13.5" customHeight="1" x14ac:dyDescent="0.2">
      <c r="A22" s="84" t="s">
        <v>528</v>
      </c>
      <c r="B22" s="56"/>
      <c r="C22" s="56"/>
      <c r="D22" s="56"/>
      <c r="E22" s="56"/>
      <c r="F22" s="56"/>
      <c r="G22" s="56"/>
      <c r="H22" s="57"/>
      <c r="I22" s="2109" t="s">
        <v>1409</v>
      </c>
      <c r="J22" s="2110"/>
      <c r="K22" s="2110"/>
      <c r="L22" s="2110"/>
      <c r="M22" s="2110"/>
      <c r="N22" s="2110"/>
      <c r="O22" s="2110"/>
      <c r="P22" s="2110"/>
      <c r="Q22" s="2110"/>
      <c r="R22" s="2110"/>
      <c r="S22" s="2111"/>
      <c r="T22" s="82" t="s">
        <v>1496</v>
      </c>
      <c r="U22" s="48"/>
      <c r="V22" s="69"/>
      <c r="W22" s="48"/>
      <c r="X22" s="155" t="s">
        <v>1306</v>
      </c>
      <c r="Z22" s="43"/>
      <c r="AA22" s="44"/>
    </row>
    <row r="23" spans="1:27" ht="13.5" customHeight="1" x14ac:dyDescent="0.2">
      <c r="A23" s="2104" t="s">
        <v>2066</v>
      </c>
      <c r="B23" s="2105"/>
      <c r="C23" s="2105"/>
      <c r="D23" s="2105"/>
      <c r="E23" s="2105"/>
      <c r="F23" s="2105"/>
      <c r="G23" s="2105"/>
      <c r="H23" s="2106"/>
      <c r="T23" s="2087" t="s">
        <v>2021</v>
      </c>
      <c r="U23" s="2141"/>
      <c r="V23" s="2141"/>
      <c r="W23" s="2141"/>
      <c r="X23" s="2145">
        <v>44530</v>
      </c>
      <c r="Y23" s="2146"/>
      <c r="Z23" s="2146"/>
      <c r="AA23" s="2147"/>
    </row>
    <row r="24" spans="1:27" ht="14.1" customHeight="1" x14ac:dyDescent="0.2">
      <c r="A24" s="85" t="s">
        <v>672</v>
      </c>
      <c r="B24" s="46"/>
      <c r="C24" s="46"/>
      <c r="D24" s="46"/>
      <c r="E24" s="46"/>
      <c r="F24" s="46"/>
      <c r="G24" s="46"/>
      <c r="H24" s="58"/>
      <c r="J24" s="2074" t="str">
        <f>IF(B5="x",IF(AUDITCHECK!D29="AFR form Incomplete.","",IF(AUDITCHECK!D29="Deficit reduction plan is required.","School District must complete a deficit reduction plan in the 2020-2021 Budget",)),"")</f>
        <v/>
      </c>
      <c r="K24" s="2074"/>
      <c r="L24" s="2074"/>
      <c r="M24" s="2074"/>
      <c r="N24" s="2074"/>
      <c r="O24" s="2074"/>
      <c r="P24" s="2074"/>
      <c r="Q24" s="2074"/>
      <c r="R24" s="2074"/>
      <c r="S24" s="2075"/>
      <c r="T24" s="102" t="s">
        <v>528</v>
      </c>
      <c r="U24" s="103"/>
      <c r="V24" s="103"/>
      <c r="W24" s="103"/>
      <c r="X24" s="104"/>
      <c r="Y24" s="104"/>
      <c r="Z24" s="104"/>
      <c r="AA24" s="105"/>
    </row>
    <row r="25" spans="1:27" ht="14.1" customHeight="1" x14ac:dyDescent="0.2">
      <c r="A25" s="2051">
        <v>60068</v>
      </c>
      <c r="B25" s="2052"/>
      <c r="C25" s="2052"/>
      <c r="D25" s="2052"/>
      <c r="E25" s="2052"/>
      <c r="F25" s="2052"/>
      <c r="G25" s="2052"/>
      <c r="H25" s="2053"/>
      <c r="I25" s="110"/>
      <c r="J25" s="2076"/>
      <c r="K25" s="2076"/>
      <c r="L25" s="2076"/>
      <c r="M25" s="2076"/>
      <c r="N25" s="2076"/>
      <c r="O25" s="2076"/>
      <c r="P25" s="2076"/>
      <c r="Q25" s="2076"/>
      <c r="R25" s="2076"/>
      <c r="S25" s="2077"/>
      <c r="T25" s="2138" t="s">
        <v>2022</v>
      </c>
      <c r="U25" s="2139"/>
      <c r="V25" s="2139"/>
      <c r="W25" s="2139"/>
      <c r="X25" s="2139"/>
      <c r="Y25" s="2139"/>
      <c r="Z25" s="2139"/>
      <c r="AA25" s="214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62" t="s">
        <v>1491</v>
      </c>
      <c r="J27" s="2063"/>
      <c r="K27" s="2063"/>
      <c r="L27" s="2063"/>
      <c r="M27" s="2063"/>
      <c r="N27" s="2063"/>
      <c r="O27" s="2063"/>
      <c r="P27" s="2063"/>
      <c r="Q27" s="2063"/>
      <c r="R27" s="2063"/>
      <c r="S27" s="206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t="s">
        <v>2067</v>
      </c>
      <c r="C29" s="121" t="s">
        <v>814</v>
      </c>
      <c r="D29" s="111"/>
      <c r="E29" s="133"/>
      <c r="F29" s="137" t="s">
        <v>1304</v>
      </c>
      <c r="G29" s="111"/>
      <c r="I29" s="51"/>
      <c r="J29" s="99"/>
      <c r="K29" s="28" t="s">
        <v>572</v>
      </c>
      <c r="L29" s="144" t="s">
        <v>2067</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144" t="s">
        <v>2067</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2067</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73" t="s">
        <v>2081</v>
      </c>
      <c r="Q35" s="2052"/>
      <c r="R35" s="205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7" t="s">
        <v>2068</v>
      </c>
      <c r="B38" s="2088"/>
      <c r="C38" s="2088"/>
      <c r="D38" s="2088"/>
      <c r="E38" s="2088"/>
      <c r="F38" s="2052"/>
      <c r="G38" s="2052"/>
      <c r="H38" s="2053"/>
      <c r="I38" s="2080" t="s">
        <v>2070</v>
      </c>
      <c r="J38" s="2081"/>
      <c r="K38" s="2081"/>
      <c r="L38" s="2081"/>
      <c r="M38" s="2081"/>
      <c r="N38" s="2081"/>
      <c r="O38" s="2081"/>
      <c r="P38" s="2082"/>
      <c r="Q38" s="2082"/>
      <c r="R38" s="2082"/>
      <c r="S38" s="2083"/>
      <c r="T38" s="2124"/>
      <c r="U38" s="2081"/>
      <c r="V38" s="2081"/>
      <c r="W38" s="2081"/>
      <c r="X38" s="2082"/>
      <c r="Y38" s="2082"/>
      <c r="Z38" s="2082"/>
      <c r="AA38" s="2083"/>
    </row>
    <row r="39" spans="1:27" ht="12" customHeight="1" x14ac:dyDescent="0.2">
      <c r="A39" s="2057" t="s">
        <v>528</v>
      </c>
      <c r="B39" s="2058"/>
      <c r="C39" s="69"/>
      <c r="D39" s="66"/>
      <c r="E39" s="66"/>
      <c r="F39" s="76"/>
      <c r="G39" s="66"/>
      <c r="H39" s="53"/>
      <c r="I39" s="2057" t="s">
        <v>528</v>
      </c>
      <c r="J39" s="2058"/>
      <c r="K39" s="2058"/>
      <c r="L39" s="2058"/>
      <c r="M39" s="2058"/>
      <c r="N39" s="64"/>
      <c r="O39" s="69"/>
      <c r="P39" s="69"/>
      <c r="Q39" s="75"/>
      <c r="R39" s="69"/>
      <c r="S39" s="53"/>
      <c r="T39" s="69" t="s">
        <v>528</v>
      </c>
      <c r="U39" s="48"/>
      <c r="V39" s="69"/>
      <c r="W39" s="47"/>
      <c r="X39" s="75"/>
      <c r="Y39" s="43"/>
      <c r="Z39" s="43"/>
      <c r="AA39" s="44"/>
    </row>
    <row r="40" spans="1:27" ht="13.5" customHeight="1" x14ac:dyDescent="0.2">
      <c r="A40" s="2065" t="s">
        <v>2066</v>
      </c>
      <c r="B40" s="2066"/>
      <c r="C40" s="2067"/>
      <c r="D40" s="2067"/>
      <c r="E40" s="2067"/>
      <c r="F40" s="2068"/>
      <c r="G40" s="2068"/>
      <c r="H40" s="2069"/>
      <c r="I40" s="2090" t="s">
        <v>2071</v>
      </c>
      <c r="J40" s="2091"/>
      <c r="K40" s="2091"/>
      <c r="L40" s="2091"/>
      <c r="M40" s="2091"/>
      <c r="N40" s="2091"/>
      <c r="O40" s="2091"/>
      <c r="P40" s="2091"/>
      <c r="Q40" s="2091"/>
      <c r="R40" s="2091"/>
      <c r="S40" s="2092"/>
      <c r="T40" s="2090"/>
      <c r="U40" s="2144"/>
      <c r="V40" s="2091"/>
      <c r="W40" s="2091"/>
      <c r="X40" s="2091"/>
      <c r="Y40" s="2091"/>
      <c r="Z40" s="2091"/>
      <c r="AA40" s="209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9" t="s">
        <v>2069</v>
      </c>
      <c r="B42" s="2071"/>
      <c r="C42" s="2072"/>
      <c r="D42" s="2070"/>
      <c r="E42" s="2071"/>
      <c r="F42" s="2071"/>
      <c r="G42" s="2071"/>
      <c r="H42" s="2072"/>
      <c r="I42" s="2054" t="s">
        <v>2072</v>
      </c>
      <c r="J42" s="2055"/>
      <c r="K42" s="2055"/>
      <c r="L42" s="2055"/>
      <c r="M42" s="2055"/>
      <c r="N42" s="2055"/>
      <c r="O42" s="2056"/>
      <c r="P42" s="2089" t="s">
        <v>2073</v>
      </c>
      <c r="Q42" s="2055"/>
      <c r="R42" s="2055"/>
      <c r="S42" s="2056"/>
      <c r="T42" s="2054"/>
      <c r="U42" s="2055"/>
      <c r="V42" s="2055"/>
      <c r="W42" s="2056"/>
      <c r="X42" s="2089"/>
      <c r="Y42" s="2055"/>
      <c r="Z42" s="2055"/>
      <c r="AA42" s="205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4"/>
      <c r="B44" s="2085"/>
      <c r="C44" s="2085"/>
      <c r="D44" s="2085"/>
      <c r="E44" s="2085"/>
      <c r="F44" s="2085"/>
      <c r="G44" s="2085"/>
      <c r="H44" s="2086"/>
      <c r="I44" s="2059"/>
      <c r="J44" s="2060"/>
      <c r="K44" s="2060"/>
      <c r="L44" s="2060"/>
      <c r="M44" s="2060"/>
      <c r="N44" s="2060"/>
      <c r="O44" s="2060"/>
      <c r="P44" s="2060"/>
      <c r="Q44" s="2060"/>
      <c r="R44" s="2060"/>
      <c r="S44" s="2061"/>
      <c r="T44" s="2059"/>
      <c r="U44" s="2078"/>
      <c r="V44" s="2078"/>
      <c r="W44" s="2078"/>
      <c r="X44" s="2078"/>
      <c r="Y44" s="2078"/>
      <c r="Z44" s="2060"/>
      <c r="AA44" s="2061"/>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election activeCell="C44" sqref="C4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302"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303"/>
      <c r="B3" s="1287"/>
      <c r="C3" s="1288"/>
      <c r="D3" s="1289" t="s">
        <v>254</v>
      </c>
      <c r="E3" s="1288"/>
      <c r="F3" s="1289" t="s">
        <v>255</v>
      </c>
    </row>
    <row r="4" spans="1:8" ht="13.7" customHeight="1" x14ac:dyDescent="0.2">
      <c r="A4" s="579" t="s">
        <v>1144</v>
      </c>
      <c r="B4" s="1710">
        <f>'Revenues 9-14'!C5</f>
        <v>0</v>
      </c>
      <c r="C4" s="1711"/>
      <c r="D4" s="1712">
        <f>B4-C4</f>
        <v>0</v>
      </c>
      <c r="E4" s="1711"/>
      <c r="F4" s="1712">
        <f>E4-C4</f>
        <v>0</v>
      </c>
    </row>
    <row r="5" spans="1:8" ht="13.7" customHeight="1" x14ac:dyDescent="0.2">
      <c r="A5" s="579" t="s">
        <v>864</v>
      </c>
      <c r="B5" s="1713">
        <f>'Revenues 9-14'!D5</f>
        <v>0</v>
      </c>
      <c r="C5" s="1654"/>
      <c r="D5" s="1714">
        <f t="shared" ref="D5:D18" si="0">B5-C5</f>
        <v>0</v>
      </c>
      <c r="E5" s="1654"/>
      <c r="F5" s="1714">
        <f>E5-C5</f>
        <v>0</v>
      </c>
    </row>
    <row r="6" spans="1:8" ht="13.7" customHeight="1" x14ac:dyDescent="0.2">
      <c r="A6" s="579" t="s">
        <v>408</v>
      </c>
      <c r="B6" s="1713">
        <f>'Revenues 9-14'!E5</f>
        <v>0</v>
      </c>
      <c r="C6" s="1654"/>
      <c r="D6" s="1714">
        <f t="shared" si="0"/>
        <v>0</v>
      </c>
      <c r="E6" s="1654"/>
      <c r="F6" s="1714">
        <f t="shared" ref="F6:F18" si="1">E6-C6</f>
        <v>0</v>
      </c>
    </row>
    <row r="7" spans="1:8" ht="13.7" customHeight="1" x14ac:dyDescent="0.2">
      <c r="A7" s="579" t="s">
        <v>154</v>
      </c>
      <c r="B7" s="1713">
        <f>'Revenues 9-14'!F5</f>
        <v>0</v>
      </c>
      <c r="C7" s="1654"/>
      <c r="D7" s="1714">
        <f t="shared" si="0"/>
        <v>0</v>
      </c>
      <c r="E7" s="1654"/>
      <c r="F7" s="1714">
        <f t="shared" si="1"/>
        <v>0</v>
      </c>
    </row>
    <row r="8" spans="1:8" ht="13.7" customHeight="1" x14ac:dyDescent="0.2">
      <c r="A8" s="579" t="s">
        <v>1168</v>
      </c>
      <c r="B8" s="1713">
        <f>'Revenues 9-14'!G5</f>
        <v>0</v>
      </c>
      <c r="C8" s="1654"/>
      <c r="D8" s="1714">
        <f t="shared" si="0"/>
        <v>0</v>
      </c>
      <c r="E8" s="1654"/>
      <c r="F8" s="1714">
        <f t="shared" si="1"/>
        <v>0</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0</v>
      </c>
      <c r="C10" s="1654"/>
      <c r="D10" s="1714">
        <f t="shared" si="0"/>
        <v>0</v>
      </c>
      <c r="E10" s="1654"/>
      <c r="F10" s="1714">
        <f t="shared" si="1"/>
        <v>0</v>
      </c>
    </row>
    <row r="11" spans="1:8" x14ac:dyDescent="0.2">
      <c r="A11" s="579" t="s">
        <v>406</v>
      </c>
      <c r="B11" s="1713">
        <f>'Revenues 9-14'!J5</f>
        <v>0</v>
      </c>
      <c r="C11" s="1654"/>
      <c r="D11" s="1714">
        <f t="shared" si="0"/>
        <v>0</v>
      </c>
      <c r="E11" s="1654"/>
      <c r="F11" s="1714">
        <f t="shared" si="1"/>
        <v>0</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0</v>
      </c>
      <c r="C14" s="1654"/>
      <c r="D14" s="1714">
        <f t="shared" si="0"/>
        <v>0</v>
      </c>
      <c r="E14" s="1654"/>
      <c r="F14" s="1714">
        <f t="shared" si="1"/>
        <v>0</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0</v>
      </c>
      <c r="C16" s="1654"/>
      <c r="D16" s="1714">
        <f t="shared" si="0"/>
        <v>0</v>
      </c>
      <c r="E16" s="1654"/>
      <c r="F16" s="1714">
        <f t="shared" si="1"/>
        <v>0</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0</v>
      </c>
      <c r="C19" s="1715">
        <f>SUM(C4:C18)</f>
        <v>0</v>
      </c>
      <c r="D19" s="1715">
        <f>SUM(D4:D18)</f>
        <v>0</v>
      </c>
      <c r="E19" s="1715">
        <f>SUM(E4:E18)</f>
        <v>0</v>
      </c>
      <c r="F19" s="1715">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A1:K59"/>
  <sheetViews>
    <sheetView showGridLines="0" defaultGridColor="0" colorId="8" zoomScale="110" zoomScaleNormal="110" workbookViewId="0">
      <selection activeCell="C44" sqref="C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4" t="s">
        <v>625</v>
      </c>
      <c r="B1" s="2322"/>
      <c r="C1" s="585"/>
    </row>
    <row r="2" spans="1:7" ht="33.75" x14ac:dyDescent="0.2">
      <c r="A2" s="2329" t="s">
        <v>1776</v>
      </c>
      <c r="B2" s="2330"/>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31" t="s">
        <v>1103</v>
      </c>
      <c r="B3" s="2332"/>
      <c r="C3" s="2325"/>
      <c r="D3" s="2326"/>
      <c r="E3" s="2326"/>
      <c r="F3" s="2327"/>
    </row>
    <row r="4" spans="1:7" ht="12.75" customHeight="1" thickBot="1" x14ac:dyDescent="0.25">
      <c r="A4" s="2319" t="s">
        <v>626</v>
      </c>
      <c r="B4" s="2320"/>
      <c r="C4" s="1646"/>
      <c r="D4" s="1646"/>
      <c r="E4" s="1646"/>
      <c r="F4" s="1721">
        <f>SUM(C4+D4)-E4</f>
        <v>0</v>
      </c>
    </row>
    <row r="5" spans="1:7" ht="15.75" customHeight="1" thickTop="1" x14ac:dyDescent="0.2">
      <c r="A5" s="2323" t="s">
        <v>1100</v>
      </c>
      <c r="B5" s="2318"/>
      <c r="C5" s="2312"/>
      <c r="D5" s="2313"/>
      <c r="E5" s="2313"/>
      <c r="F5" s="2314"/>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15" t="s">
        <v>627</v>
      </c>
      <c r="B15" s="2316"/>
      <c r="C15" s="1721">
        <f>SUM(C6:C14)</f>
        <v>0</v>
      </c>
      <c r="D15" s="1721">
        <f>SUM(D6:D14)</f>
        <v>0</v>
      </c>
      <c r="E15" s="1721">
        <f>SUM(E6:E14)</f>
        <v>0</v>
      </c>
      <c r="F15" s="1721">
        <f>SUM(F6:F14)</f>
        <v>0</v>
      </c>
      <c r="G15" s="473"/>
    </row>
    <row r="16" spans="1:7" s="197" customFormat="1" ht="15.75" customHeight="1" thickTop="1" x14ac:dyDescent="0.2">
      <c r="A16" s="2328" t="s">
        <v>1101</v>
      </c>
      <c r="B16" s="2318"/>
      <c r="C16" s="2312"/>
      <c r="D16" s="2313"/>
      <c r="E16" s="2313"/>
      <c r="F16" s="2314"/>
    </row>
    <row r="17" spans="1:11" ht="12.75" customHeight="1" thickBot="1" x14ac:dyDescent="0.25">
      <c r="A17" s="2310" t="s">
        <v>64</v>
      </c>
      <c r="B17" s="2311"/>
      <c r="C17" s="1722"/>
      <c r="D17" s="1654"/>
      <c r="E17" s="1722"/>
      <c r="F17" s="1721">
        <f>SUM(C17+D17)-E17</f>
        <v>0</v>
      </c>
    </row>
    <row r="18" spans="1:11" ht="12.75" customHeight="1" thickTop="1" thickBot="1" x14ac:dyDescent="0.25">
      <c r="A18" s="2310" t="s">
        <v>6</v>
      </c>
      <c r="B18" s="2311"/>
      <c r="C18" s="1722"/>
      <c r="D18" s="1654"/>
      <c r="E18" s="1722"/>
      <c r="F18" s="1721">
        <f>SUM(C18+D18)-E18</f>
        <v>0</v>
      </c>
    </row>
    <row r="19" spans="1:11" ht="12.75" customHeight="1" thickTop="1" thickBot="1" x14ac:dyDescent="0.25">
      <c r="A19" s="2310" t="s">
        <v>385</v>
      </c>
      <c r="B19" s="2311"/>
      <c r="C19" s="1722"/>
      <c r="D19" s="1654"/>
      <c r="E19" s="1722"/>
      <c r="F19" s="1721">
        <f>SUM(C19+D19)-E19</f>
        <v>0</v>
      </c>
    </row>
    <row r="20" spans="1:11" ht="12.75" customHeight="1" thickTop="1" thickBot="1" x14ac:dyDescent="0.25">
      <c r="A20" s="2310" t="s">
        <v>445</v>
      </c>
      <c r="B20" s="2311"/>
      <c r="C20" s="1722"/>
      <c r="D20" s="1654"/>
      <c r="E20" s="1722"/>
      <c r="F20" s="1721">
        <f>SUM(C20+D20)-E20</f>
        <v>0</v>
      </c>
    </row>
    <row r="21" spans="1:11" ht="14.25" thickTop="1" thickBot="1" x14ac:dyDescent="0.25">
      <c r="A21" s="2315" t="s">
        <v>628</v>
      </c>
      <c r="B21" s="2316"/>
      <c r="C21" s="1721">
        <f>SUM(C17:C20)</f>
        <v>0</v>
      </c>
      <c r="D21" s="1721">
        <f>SUM(D17:D20)</f>
        <v>0</v>
      </c>
      <c r="E21" s="1721">
        <f>SUM(E17:E20)</f>
        <v>0</v>
      </c>
      <c r="F21" s="1721">
        <f>SUM(F17:F20)</f>
        <v>0</v>
      </c>
      <c r="G21" s="473"/>
    </row>
    <row r="22" spans="1:11" ht="15.75" customHeight="1" thickTop="1" x14ac:dyDescent="0.2">
      <c r="A22" s="2317" t="s">
        <v>1102</v>
      </c>
      <c r="B22" s="2318"/>
      <c r="C22" s="2312"/>
      <c r="D22" s="2313"/>
      <c r="E22" s="2313"/>
      <c r="F22" s="2314"/>
    </row>
    <row r="23" spans="1:11" ht="13.5" thickBot="1" x14ac:dyDescent="0.25">
      <c r="A23" s="2319" t="s">
        <v>629</v>
      </c>
      <c r="B23" s="2320"/>
      <c r="C23" s="1646"/>
      <c r="D23" s="1646"/>
      <c r="E23" s="1646"/>
      <c r="F23" s="1721">
        <f>SUM(C23+D23)-E23</f>
        <v>0</v>
      </c>
      <c r="G23" s="473"/>
    </row>
    <row r="24" spans="1:11" ht="15.75" customHeight="1" thickTop="1" x14ac:dyDescent="0.2">
      <c r="A24" s="2317" t="s">
        <v>2003</v>
      </c>
      <c r="B24" s="2318"/>
      <c r="C24" s="2312"/>
      <c r="D24" s="2313"/>
      <c r="E24" s="2313"/>
      <c r="F24" s="2314"/>
    </row>
    <row r="25" spans="1:11" ht="13.5" thickBot="1" x14ac:dyDescent="0.25">
      <c r="A25" s="2319" t="s">
        <v>2004</v>
      </c>
      <c r="B25" s="2320"/>
      <c r="C25" s="1646"/>
      <c r="D25" s="1646"/>
      <c r="E25" s="1646"/>
      <c r="F25" s="1721">
        <f>SUM(C25+D25)-E25</f>
        <v>0</v>
      </c>
      <c r="G25" s="473"/>
    </row>
    <row r="26" spans="1:11" ht="15.75" customHeight="1" thickTop="1" x14ac:dyDescent="0.2">
      <c r="A26" s="2323" t="s">
        <v>652</v>
      </c>
      <c r="B26" s="2318"/>
      <c r="C26" s="589"/>
      <c r="D26" s="589"/>
      <c r="E26" s="589"/>
      <c r="F26" s="590"/>
    </row>
    <row r="27" spans="1:11" ht="13.5" thickBot="1" x14ac:dyDescent="0.25">
      <c r="A27" s="2315" t="s">
        <v>1060</v>
      </c>
      <c r="B27" s="2316"/>
      <c r="C27" s="1654"/>
      <c r="D27" s="1654"/>
      <c r="E27" s="1654"/>
      <c r="F27" s="1721">
        <f>SUM(C27+D27)-E27</f>
        <v>0</v>
      </c>
      <c r="G27" s="473"/>
    </row>
    <row r="28" spans="1:11" ht="7.5" customHeight="1" thickTop="1" x14ac:dyDescent="0.2">
      <c r="A28" s="489"/>
    </row>
    <row r="29" spans="1:11" ht="23.25" customHeight="1" x14ac:dyDescent="0.2">
      <c r="A29" s="2321" t="s">
        <v>578</v>
      </c>
      <c r="B29" s="2322"/>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c r="B31" s="595"/>
      <c r="C31" s="1723"/>
      <c r="D31" s="1724"/>
      <c r="E31" s="1723"/>
      <c r="F31" s="1723"/>
      <c r="G31" s="1723"/>
      <c r="H31" s="1723"/>
      <c r="I31" s="1725">
        <f>((E31+F31)-H31)+G31</f>
        <v>0</v>
      </c>
      <c r="J31" s="1723"/>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0</v>
      </c>
      <c r="D49" s="1731"/>
      <c r="E49" s="1725">
        <f t="shared" ref="E49:J49" si="2">SUM(E31:E48)</f>
        <v>0</v>
      </c>
      <c r="F49" s="1725">
        <f t="shared" si="2"/>
        <v>0</v>
      </c>
      <c r="G49" s="1725">
        <f t="shared" si="2"/>
        <v>0</v>
      </c>
      <c r="H49" s="1725">
        <f t="shared" si="2"/>
        <v>0</v>
      </c>
      <c r="I49" s="1725">
        <f t="shared" si="2"/>
        <v>0</v>
      </c>
      <c r="J49" s="1725">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04" t="s">
        <v>580</v>
      </c>
      <c r="C52" s="2305"/>
      <c r="D52" s="2305"/>
      <c r="E52" s="603" t="s">
        <v>839</v>
      </c>
      <c r="F52" s="2306"/>
      <c r="G52" s="2307"/>
      <c r="H52" s="596"/>
      <c r="I52" s="596"/>
      <c r="J52" s="600"/>
    </row>
    <row r="53" spans="1:11" ht="11.25" customHeight="1" x14ac:dyDescent="0.2">
      <c r="A53" s="604" t="s">
        <v>906</v>
      </c>
      <c r="B53" s="605" t="s">
        <v>944</v>
      </c>
      <c r="C53" s="600"/>
      <c r="D53" s="597"/>
      <c r="E53" s="603" t="s">
        <v>494</v>
      </c>
      <c r="F53" s="2308"/>
      <c r="G53" s="2309"/>
      <c r="H53" s="596"/>
      <c r="I53" s="596"/>
      <c r="J53" s="600"/>
    </row>
    <row r="54" spans="1:11" ht="11.25" customHeight="1" x14ac:dyDescent="0.2">
      <c r="A54" s="606" t="s">
        <v>907</v>
      </c>
      <c r="B54" s="601" t="s">
        <v>945</v>
      </c>
      <c r="C54" s="600"/>
      <c r="D54" s="597"/>
      <c r="E54" s="603" t="s">
        <v>495</v>
      </c>
      <c r="F54" s="2308"/>
      <c r="G54" s="230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110" zoomScaleNormal="110" workbookViewId="0">
      <selection activeCell="C44" sqref="C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3" t="s">
        <v>850</v>
      </c>
      <c r="B1" s="2334"/>
      <c r="C1" s="2334"/>
      <c r="D1" s="2334"/>
      <c r="E1" s="2334"/>
      <c r="F1" s="2334"/>
      <c r="G1" s="2335"/>
      <c r="H1" s="1291"/>
      <c r="I1" s="614"/>
      <c r="J1" s="400"/>
    </row>
    <row r="2" spans="1:11" ht="26.25" x14ac:dyDescent="0.2">
      <c r="A2" s="2352" t="s">
        <v>1655</v>
      </c>
      <c r="B2" s="2353"/>
      <c r="C2" s="2353"/>
      <c r="D2" s="2353"/>
      <c r="E2" s="2354"/>
      <c r="F2" s="615" t="s">
        <v>897</v>
      </c>
      <c r="G2" s="616" t="s">
        <v>1652</v>
      </c>
      <c r="H2" s="616" t="s">
        <v>407</v>
      </c>
      <c r="I2" s="616" t="s">
        <v>1147</v>
      </c>
      <c r="J2" s="616" t="s">
        <v>1786</v>
      </c>
      <c r="K2" s="616" t="s">
        <v>137</v>
      </c>
    </row>
    <row r="3" spans="1:11" x14ac:dyDescent="0.2">
      <c r="A3" s="2355" t="str">
        <f>"Cash Basis Fund Balance as of July 1, "&amp;'AFR20'!E2-1</f>
        <v>Cash Basis Fund Balance as of July 1, 2019</v>
      </c>
      <c r="B3" s="2356"/>
      <c r="C3" s="2356"/>
      <c r="D3" s="2356"/>
      <c r="E3" s="2357"/>
      <c r="F3" s="617"/>
      <c r="G3" s="1733"/>
      <c r="H3" s="1733"/>
      <c r="I3" s="1733"/>
      <c r="J3" s="1734"/>
      <c r="K3" s="1734"/>
    </row>
    <row r="4" spans="1:11" x14ac:dyDescent="0.2">
      <c r="A4" s="2358" t="s">
        <v>366</v>
      </c>
      <c r="B4" s="2359"/>
      <c r="C4" s="2359"/>
      <c r="D4" s="2359"/>
      <c r="E4" s="2305"/>
      <c r="F4" s="620"/>
      <c r="G4" s="1735"/>
      <c r="H4" s="1736"/>
      <c r="I4" s="1735"/>
      <c r="J4" s="1737"/>
      <c r="K4" s="1737"/>
    </row>
    <row r="5" spans="1:11" x14ac:dyDescent="0.2">
      <c r="A5" s="2336" t="s">
        <v>1059</v>
      </c>
      <c r="B5" s="2337"/>
      <c r="C5" s="2337"/>
      <c r="D5" s="2337"/>
      <c r="E5" s="2338"/>
      <c r="F5" s="622" t="s">
        <v>842</v>
      </c>
      <c r="G5" s="1738"/>
      <c r="H5" s="1733">
        <f>'Revenues 9-14'!C7</f>
        <v>0</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36" t="s">
        <v>1787</v>
      </c>
      <c r="B10" s="2337"/>
      <c r="C10" s="2337"/>
      <c r="D10" s="2337"/>
      <c r="E10" s="2339"/>
      <c r="F10" s="633" t="s">
        <v>856</v>
      </c>
      <c r="G10" s="1742"/>
      <c r="H10" s="1743"/>
      <c r="I10" s="1733"/>
      <c r="J10" s="1734"/>
      <c r="K10" s="1734"/>
    </row>
    <row r="11" spans="1:11" x14ac:dyDescent="0.2">
      <c r="A11" s="2336" t="s">
        <v>159</v>
      </c>
      <c r="B11" s="2337"/>
      <c r="C11" s="2337"/>
      <c r="D11" s="2337"/>
      <c r="E11" s="2338"/>
      <c r="F11" s="622" t="s">
        <v>846</v>
      </c>
      <c r="G11" s="1738"/>
      <c r="H11" s="1733"/>
      <c r="I11" s="1733"/>
      <c r="J11" s="1734"/>
      <c r="K11" s="1740"/>
    </row>
    <row r="12" spans="1:11" ht="13.5" thickBot="1" x14ac:dyDescent="0.25">
      <c r="A12" s="2363" t="s">
        <v>898</v>
      </c>
      <c r="B12" s="2364"/>
      <c r="C12" s="2364"/>
      <c r="D12" s="2364"/>
      <c r="E12" s="2365"/>
      <c r="F12" s="1426"/>
      <c r="G12" s="1744">
        <f>SUM(G5:G11)</f>
        <v>0</v>
      </c>
      <c r="H12" s="1744">
        <f>SUM(H5:H11)</f>
        <v>0</v>
      </c>
      <c r="I12" s="1744">
        <f>SUM(I5:I11)</f>
        <v>0</v>
      </c>
      <c r="J12" s="1744">
        <f>SUM(J5:J11)</f>
        <v>0</v>
      </c>
      <c r="K12" s="1744">
        <f>SUM(K5:K11)</f>
        <v>0</v>
      </c>
    </row>
    <row r="13" spans="1:11" ht="13.5" thickTop="1" x14ac:dyDescent="0.2">
      <c r="A13" s="2360" t="s">
        <v>367</v>
      </c>
      <c r="B13" s="2361"/>
      <c r="C13" s="2361"/>
      <c r="D13" s="2361"/>
      <c r="E13" s="2362"/>
      <c r="F13" s="634"/>
      <c r="G13" s="1745"/>
      <c r="H13" s="1746"/>
      <c r="I13" s="1747"/>
      <c r="J13" s="1747"/>
      <c r="K13" s="1747"/>
    </row>
    <row r="14" spans="1:11" x14ac:dyDescent="0.2">
      <c r="A14" s="2343" t="s">
        <v>453</v>
      </c>
      <c r="B14" s="2343"/>
      <c r="C14" s="2343"/>
      <c r="D14" s="2343"/>
      <c r="E14" s="2344"/>
      <c r="F14" s="635" t="s">
        <v>848</v>
      </c>
      <c r="G14" s="1742"/>
      <c r="H14" s="1733">
        <f>H12</f>
        <v>0</v>
      </c>
      <c r="I14" s="1738"/>
      <c r="J14" s="1740"/>
      <c r="K14" s="1734"/>
    </row>
    <row r="15" spans="1:11" x14ac:dyDescent="0.2">
      <c r="A15" s="2337" t="s">
        <v>4</v>
      </c>
      <c r="B15" s="2337"/>
      <c r="C15" s="2337"/>
      <c r="D15" s="2337"/>
      <c r="E15" s="2338"/>
      <c r="F15" s="635" t="s">
        <v>849</v>
      </c>
      <c r="G15" s="1738"/>
      <c r="H15" s="1733"/>
      <c r="I15" s="1733"/>
      <c r="J15" s="1734"/>
      <c r="K15" s="1734"/>
    </row>
    <row r="16" spans="1:11" x14ac:dyDescent="0.2">
      <c r="A16" s="2337" t="s">
        <v>295</v>
      </c>
      <c r="B16" s="2337"/>
      <c r="C16" s="2337"/>
      <c r="D16" s="2337"/>
      <c r="E16" s="2338"/>
      <c r="F16" s="635" t="s">
        <v>916</v>
      </c>
      <c r="G16" s="1739"/>
      <c r="H16" s="1735"/>
      <c r="I16" s="1735"/>
      <c r="J16" s="1737"/>
      <c r="K16" s="1737"/>
    </row>
    <row r="17" spans="1:15" x14ac:dyDescent="0.2">
      <c r="A17" s="2370" t="s">
        <v>928</v>
      </c>
      <c r="B17" s="2370"/>
      <c r="C17" s="2370"/>
      <c r="D17" s="2370"/>
      <c r="E17" s="2371"/>
      <c r="F17" s="636"/>
      <c r="G17" s="1748"/>
      <c r="H17" s="1749"/>
      <c r="I17" s="1749"/>
      <c r="J17" s="1750"/>
      <c r="K17" s="1751"/>
    </row>
    <row r="18" spans="1:15" x14ac:dyDescent="0.2">
      <c r="A18" s="2347" t="s">
        <v>365</v>
      </c>
      <c r="B18" s="2348"/>
      <c r="C18" s="2348"/>
      <c r="D18" s="2348"/>
      <c r="E18" s="2349"/>
      <c r="F18" s="635" t="s">
        <v>925</v>
      </c>
      <c r="G18" s="1742"/>
      <c r="H18" s="1742"/>
      <c r="I18" s="1742"/>
      <c r="J18" s="1734"/>
      <c r="K18" s="1752"/>
    </row>
    <row r="19" spans="1:15" ht="21.75" customHeight="1" x14ac:dyDescent="0.2">
      <c r="A19" s="2345" t="s">
        <v>1783</v>
      </c>
      <c r="B19" s="2345"/>
      <c r="C19" s="2345"/>
      <c r="D19" s="2345"/>
      <c r="E19" s="2346"/>
      <c r="F19" s="635" t="s">
        <v>926</v>
      </c>
      <c r="G19" s="1742"/>
      <c r="H19" s="1742"/>
      <c r="I19" s="1742"/>
      <c r="J19" s="1734"/>
      <c r="K19" s="1752"/>
    </row>
    <row r="20" spans="1:15" x14ac:dyDescent="0.2">
      <c r="A20" s="2347" t="s">
        <v>1788</v>
      </c>
      <c r="B20" s="2348"/>
      <c r="C20" s="2348"/>
      <c r="D20" s="2348"/>
      <c r="E20" s="2349"/>
      <c r="F20" s="635" t="s">
        <v>927</v>
      </c>
      <c r="G20" s="1742"/>
      <c r="H20" s="1742"/>
      <c r="I20" s="1742"/>
      <c r="J20" s="1734"/>
      <c r="K20" s="1752"/>
    </row>
    <row r="21" spans="1:15" ht="13.5" thickBot="1" x14ac:dyDescent="0.25">
      <c r="A21" s="2366" t="s">
        <v>633</v>
      </c>
      <c r="B21" s="2366"/>
      <c r="C21" s="2366"/>
      <c r="D21" s="2366"/>
      <c r="E21" s="2366"/>
      <c r="F21" s="1427"/>
      <c r="G21" s="1749"/>
      <c r="H21" s="1753"/>
      <c r="I21" s="1753"/>
      <c r="J21" s="1754">
        <f>SUM(J18:J20)</f>
        <v>0</v>
      </c>
      <c r="K21" s="1750"/>
    </row>
    <row r="22" spans="1:15" ht="13.5" thickTop="1" x14ac:dyDescent="0.2">
      <c r="A22" s="2337" t="s">
        <v>1789</v>
      </c>
      <c r="B22" s="2337"/>
      <c r="C22" s="2337"/>
      <c r="D22" s="2337"/>
      <c r="E22" s="2338"/>
      <c r="F22" s="635" t="s">
        <v>856</v>
      </c>
      <c r="G22" s="1742"/>
      <c r="H22" s="1733"/>
      <c r="I22" s="1733"/>
      <c r="J22" s="1755"/>
      <c r="K22" s="1734"/>
    </row>
    <row r="23" spans="1:15" ht="13.5" thickBot="1" x14ac:dyDescent="0.25">
      <c r="A23" s="2367" t="s">
        <v>899</v>
      </c>
      <c r="B23" s="2366"/>
      <c r="C23" s="2366"/>
      <c r="D23" s="2366"/>
      <c r="E23" s="2366"/>
      <c r="F23" s="1429"/>
      <c r="G23" s="1744">
        <f>SUM(G14:G16,G21,G22)</f>
        <v>0</v>
      </c>
      <c r="H23" s="1744">
        <f>SUM(H14:H16,H21,H22)</f>
        <v>0</v>
      </c>
      <c r="I23" s="1744">
        <f>SUM(I14:I16,I21,I22)</f>
        <v>0</v>
      </c>
      <c r="J23" s="1744">
        <f>SUM(J14:J16,J21,J22)</f>
        <v>0</v>
      </c>
      <c r="K23" s="1744">
        <f>SUM(K14:K16,K21,K22)</f>
        <v>0</v>
      </c>
      <c r="M23" s="1835"/>
      <c r="N23" s="1835"/>
      <c r="O23" s="1835"/>
    </row>
    <row r="24" spans="1:15" ht="14.25" thickTop="1" thickBot="1" x14ac:dyDescent="0.25">
      <c r="A24" s="2368" t="str">
        <f>"Ending Cash Basis Fund Balance as of June 30, "&amp;'AFR20'!E2</f>
        <v>Ending Cash Basis Fund Balance as of June 30, 2020</v>
      </c>
      <c r="B24" s="2369"/>
      <c r="C24" s="2369"/>
      <c r="D24" s="2369"/>
      <c r="E24" s="2369"/>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40"/>
      <c r="I31" s="2341"/>
      <c r="J31" s="2341"/>
      <c r="K31" s="2341"/>
    </row>
    <row r="32" spans="1:15" x14ac:dyDescent="0.2">
      <c r="A32" s="649"/>
      <c r="B32" s="232"/>
      <c r="C32" s="232"/>
      <c r="D32" s="232"/>
      <c r="E32" s="645"/>
      <c r="F32" s="651" t="s">
        <v>537</v>
      </c>
      <c r="G32" s="618"/>
      <c r="H32" s="2342"/>
      <c r="I32" s="2341"/>
      <c r="J32" s="2341"/>
      <c r="K32" s="2341"/>
    </row>
    <row r="33" spans="1:11" ht="1.5" customHeight="1" x14ac:dyDescent="0.2">
      <c r="A33" s="652" t="s">
        <v>1158</v>
      </c>
      <c r="B33" s="341"/>
      <c r="C33" s="341"/>
      <c r="D33" s="341"/>
      <c r="E33" s="341"/>
      <c r="F33" s="341"/>
      <c r="G33" s="653"/>
      <c r="H33" s="2342"/>
      <c r="I33" s="2341"/>
      <c r="J33" s="2341"/>
      <c r="K33" s="2341"/>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7" t="s">
        <v>538</v>
      </c>
      <c r="B41" s="2350"/>
      <c r="C41" s="2350"/>
      <c r="D41" s="2350"/>
      <c r="E41" s="2350"/>
      <c r="F41" s="235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activeCell="C44" sqref="C4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4" t="s">
        <v>1872</v>
      </c>
      <c r="B1" s="2375"/>
      <c r="C1" s="2376"/>
      <c r="D1" s="666"/>
      <c r="E1" s="667"/>
      <c r="F1" s="667"/>
      <c r="G1" s="668"/>
      <c r="H1" s="669"/>
      <c r="I1" s="670"/>
      <c r="J1" s="2372"/>
      <c r="K1" s="2373"/>
      <c r="L1" s="2373"/>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c r="D5" s="1759"/>
      <c r="E5" s="1759"/>
      <c r="F5" s="1754">
        <f>(C5+D5)-E5</f>
        <v>0</v>
      </c>
      <c r="G5" s="676"/>
      <c r="H5" s="680"/>
      <c r="I5" s="680"/>
      <c r="J5" s="680"/>
      <c r="K5" s="637"/>
      <c r="L5" s="1435">
        <f>F5-K5</f>
        <v>0</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c r="D8" s="1760"/>
      <c r="E8" s="1760"/>
      <c r="F8" s="1754">
        <f>(C8+D8)-E8</f>
        <v>0</v>
      </c>
      <c r="G8" s="681">
        <v>50</v>
      </c>
      <c r="H8" s="619"/>
      <c r="I8" s="619"/>
      <c r="J8" s="619"/>
      <c r="K8" s="1435">
        <f>(H8+I8)-J8</f>
        <v>0</v>
      </c>
      <c r="L8" s="1435">
        <f>F8-K8</f>
        <v>0</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c r="D10" s="1761"/>
      <c r="E10" s="1761"/>
      <c r="F10" s="1762">
        <f>(C10+D10)-E10</f>
        <v>0</v>
      </c>
      <c r="G10" s="681">
        <v>20</v>
      </c>
      <c r="H10" s="683"/>
      <c r="I10" s="683"/>
      <c r="J10" s="683"/>
      <c r="K10" s="1435">
        <f>(H10+I10)-J10</f>
        <v>0</v>
      </c>
      <c r="L10" s="1435">
        <f>F10-K10</f>
        <v>0</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c r="D12" s="1760"/>
      <c r="E12" s="1760"/>
      <c r="F12" s="1754">
        <f>(C12+D12)-E12</f>
        <v>0</v>
      </c>
      <c r="G12" s="681">
        <v>10</v>
      </c>
      <c r="H12" s="619"/>
      <c r="I12" s="619"/>
      <c r="J12" s="619"/>
      <c r="K12" s="1435">
        <f>(H12+I12)-J12</f>
        <v>0</v>
      </c>
      <c r="L12" s="1435">
        <f>F12-K12</f>
        <v>0</v>
      </c>
    </row>
    <row r="13" spans="1:14" ht="14.25" thickTop="1" thickBot="1" x14ac:dyDescent="0.25">
      <c r="A13" s="684" t="s">
        <v>1111</v>
      </c>
      <c r="B13" s="679">
        <v>252</v>
      </c>
      <c r="C13" s="1760"/>
      <c r="D13" s="1760"/>
      <c r="E13" s="1760"/>
      <c r="F13" s="1754">
        <f>(C13+D13)-E13</f>
        <v>0</v>
      </c>
      <c r="G13" s="681">
        <v>5</v>
      </c>
      <c r="H13" s="619"/>
      <c r="I13" s="619"/>
      <c r="J13" s="619"/>
      <c r="K13" s="1435">
        <f>(H13+I13)-J13</f>
        <v>0</v>
      </c>
      <c r="L13" s="1435">
        <f>F13-K13</f>
        <v>0</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c r="D15" s="1760"/>
      <c r="E15" s="1760"/>
      <c r="F15" s="1754">
        <f>(C15+D15)-E15</f>
        <v>0</v>
      </c>
      <c r="G15" s="685" t="s">
        <v>856</v>
      </c>
      <c r="H15" s="632"/>
      <c r="I15" s="632"/>
      <c r="J15" s="632"/>
      <c r="K15" s="632"/>
      <c r="L15" s="1435">
        <f>F15-K15</f>
        <v>0</v>
      </c>
    </row>
    <row r="16" spans="1:14" ht="15" customHeight="1" thickTop="1" thickBot="1" x14ac:dyDescent="0.25">
      <c r="A16" s="1431" t="s">
        <v>638</v>
      </c>
      <c r="B16" s="1432">
        <v>200</v>
      </c>
      <c r="C16" s="1754">
        <f>SUM(C3,C5:C6,C8:C10,C12:C15)</f>
        <v>0</v>
      </c>
      <c r="D16" s="1754">
        <f>SUM(D3,D5:D6,D8:D10,D12:D15)</f>
        <v>0</v>
      </c>
      <c r="E16" s="1754">
        <f>SUM(E3,E5:E6,E8:E10,E12:E15)</f>
        <v>0</v>
      </c>
      <c r="F16" s="1754">
        <f>SUM(F3,F5:F6,F8:F10,F12:F15)</f>
        <v>0</v>
      </c>
      <c r="G16" s="681"/>
      <c r="H16" s="1428">
        <f>SUM(H3,H6,H8:H10,H12:H14,)</f>
        <v>0</v>
      </c>
      <c r="I16" s="1428">
        <f>SUM(I3,I6,I8:I10,I12:I14,)</f>
        <v>0</v>
      </c>
      <c r="J16" s="1428">
        <f>SUM(J3,J6,J8:J10,J12:J14,)</f>
        <v>0</v>
      </c>
      <c r="K16" s="1428">
        <f>(H16+I16)-J16</f>
        <v>0</v>
      </c>
      <c r="L16" s="1428">
        <f>F16-K16</f>
        <v>0</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679</v>
      </c>
      <c r="B18" s="1434"/>
      <c r="C18" s="623"/>
      <c r="D18" s="623"/>
      <c r="E18" s="623"/>
      <c r="F18" s="686"/>
      <c r="G18" s="687"/>
      <c r="H18" s="624"/>
      <c r="I18" s="1428">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colorId="8" zoomScale="110" zoomScaleNormal="110" workbookViewId="0">
      <pane ySplit="5" topLeftCell="A161" activePane="bottomLeft" state="frozen"/>
      <selection activeCell="A47" sqref="A47"/>
      <selection pane="bottomLeft"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0" t="str">
        <f>"ESTIMATED OPERATING EXPENSE PER PUPIL (OEPP)/PER CAPITA TUITION CHARGE (PCTC) COMPUTATIONS ("&amp;'AFR20'!E2-1&amp;" - "&amp;'AFR20'!E2&amp;")"</f>
        <v>ESTIMATED OPERATING EXPENSE PER PUPIL (OEPP)/PER CAPITA TUITION CHARGE (PCTC) COMPUTATIONS (2019 - 2020)</v>
      </c>
      <c r="B1" s="2381"/>
      <c r="C1" s="2381"/>
      <c r="D1" s="2381"/>
      <c r="E1" s="2381"/>
      <c r="F1" s="2382"/>
      <c r="G1" s="691"/>
      <c r="I1" s="701"/>
    </row>
    <row r="2" spans="1:9" ht="15" customHeight="1" thickBot="1" x14ac:dyDescent="0.25">
      <c r="A2" s="2383" t="s">
        <v>474</v>
      </c>
      <c r="B2" s="2384"/>
      <c r="C2" s="2384"/>
      <c r="D2" s="2384"/>
      <c r="E2" s="2384"/>
      <c r="F2" s="2385"/>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86"/>
      <c r="B5" s="2387"/>
      <c r="C5" s="2387"/>
      <c r="D5" s="2387"/>
      <c r="E5" s="2387"/>
      <c r="F5" s="2387"/>
    </row>
    <row r="6" spans="1:9" ht="13.5" customHeight="1" thickBot="1" x14ac:dyDescent="0.25">
      <c r="A6" s="2377" t="s">
        <v>1094</v>
      </c>
      <c r="B6" s="2378"/>
      <c r="C6" s="2378"/>
      <c r="D6" s="2378"/>
      <c r="E6" s="2378"/>
      <c r="F6" s="2379"/>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1470954</v>
      </c>
      <c r="G8" s="701"/>
    </row>
    <row r="9" spans="1:9" x14ac:dyDescent="0.2">
      <c r="A9" s="705" t="s">
        <v>457</v>
      </c>
      <c r="B9" s="706" t="s">
        <v>1845</v>
      </c>
      <c r="C9" s="707"/>
      <c r="D9" s="705" t="s">
        <v>498</v>
      </c>
      <c r="E9" s="704"/>
      <c r="F9" s="1764">
        <f>'Expenditures 15-22'!K151</f>
        <v>0</v>
      </c>
      <c r="G9" s="708"/>
    </row>
    <row r="10" spans="1:9" x14ac:dyDescent="0.2">
      <c r="A10" s="705" t="s">
        <v>496</v>
      </c>
      <c r="B10" s="706" t="s">
        <v>1846</v>
      </c>
      <c r="C10" s="707"/>
      <c r="D10" s="705" t="s">
        <v>498</v>
      </c>
      <c r="E10" s="704"/>
      <c r="F10" s="1764">
        <f>'Expenditures 15-22'!K174</f>
        <v>0</v>
      </c>
      <c r="G10" s="708"/>
    </row>
    <row r="11" spans="1:9" x14ac:dyDescent="0.2">
      <c r="A11" s="705" t="s">
        <v>458</v>
      </c>
      <c r="B11" s="706" t="s">
        <v>1847</v>
      </c>
      <c r="C11" s="707"/>
      <c r="D11" s="705" t="s">
        <v>498</v>
      </c>
      <c r="E11" s="704"/>
      <c r="F11" s="1764">
        <f>'Expenditures 15-22'!K210</f>
        <v>0</v>
      </c>
      <c r="G11" s="708"/>
    </row>
    <row r="12" spans="1:9" x14ac:dyDescent="0.2">
      <c r="A12" s="705" t="s">
        <v>459</v>
      </c>
      <c r="B12" s="706" t="s">
        <v>1848</v>
      </c>
      <c r="C12" s="707"/>
      <c r="D12" s="705" t="s">
        <v>498</v>
      </c>
      <c r="E12" s="704"/>
      <c r="F12" s="1764">
        <f>'Expenditures 15-22'!K295</f>
        <v>0</v>
      </c>
      <c r="G12" s="708"/>
    </row>
    <row r="13" spans="1:9" x14ac:dyDescent="0.2">
      <c r="A13" s="705" t="s">
        <v>106</v>
      </c>
      <c r="B13" s="706" t="s">
        <v>1849</v>
      </c>
      <c r="C13" s="707"/>
      <c r="D13" s="705" t="s">
        <v>498</v>
      </c>
      <c r="E13" s="704"/>
      <c r="F13" s="1764">
        <f>'Expenditures 15-22'!K342</f>
        <v>0</v>
      </c>
      <c r="G13" s="709"/>
    </row>
    <row r="14" spans="1:9" ht="12" customHeight="1" thickBot="1" x14ac:dyDescent="0.25">
      <c r="A14" s="1436"/>
      <c r="B14" s="1437"/>
      <c r="C14" s="1438"/>
      <c r="D14" s="1439" t="s">
        <v>498</v>
      </c>
      <c r="E14" s="1440" t="s">
        <v>951</v>
      </c>
      <c r="F14" s="1765">
        <f>SUM(F8:F13)</f>
        <v>1470954</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1139315</v>
      </c>
      <c r="G53" s="701"/>
    </row>
    <row r="54" spans="1:7" x14ac:dyDescent="0.2">
      <c r="A54" s="705" t="s">
        <v>456</v>
      </c>
      <c r="B54" s="705" t="s">
        <v>1456</v>
      </c>
      <c r="C54" s="724" t="s">
        <v>974</v>
      </c>
      <c r="D54" s="720" t="s">
        <v>1085</v>
      </c>
      <c r="E54" s="704"/>
      <c r="F54" s="1771">
        <f>'Expenditures 15-22'!G114</f>
        <v>0</v>
      </c>
      <c r="G54" s="701"/>
    </row>
    <row r="55" spans="1:7" x14ac:dyDescent="0.2">
      <c r="A55" s="705" t="s">
        <v>456</v>
      </c>
      <c r="B55" s="705" t="s">
        <v>1457</v>
      </c>
      <c r="C55" s="724" t="s">
        <v>974</v>
      </c>
      <c r="D55" s="720" t="s">
        <v>288</v>
      </c>
      <c r="E55" s="704"/>
      <c r="F55" s="1771">
        <f>'Expenditures 15-22'!I114</f>
        <v>0</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0</v>
      </c>
      <c r="G58" s="701"/>
    </row>
    <row r="59" spans="1:7" x14ac:dyDescent="0.2">
      <c r="A59" s="728" t="s">
        <v>457</v>
      </c>
      <c r="B59" s="692" t="s">
        <v>1852</v>
      </c>
      <c r="C59" s="729" t="s">
        <v>974</v>
      </c>
      <c r="D59" s="692" t="s">
        <v>288</v>
      </c>
      <c r="F59" s="1774">
        <f>'Expenditures 15-22'!I151</f>
        <v>0</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0</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1139315</v>
      </c>
      <c r="G77" s="701"/>
    </row>
    <row r="78" spans="1:9" s="728" customFormat="1" ht="12" customHeight="1" thickTop="1" thickBot="1" x14ac:dyDescent="0.25">
      <c r="A78" s="1443"/>
      <c r="B78" s="1441"/>
      <c r="C78" s="1438"/>
      <c r="D78" s="1442" t="s">
        <v>2009</v>
      </c>
      <c r="E78" s="1440"/>
      <c r="F78" s="1777">
        <f>(F14-F77)</f>
        <v>331639</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0</v>
      </c>
      <c r="G79" s="733"/>
      <c r="H79" s="705"/>
      <c r="I79" s="705"/>
    </row>
    <row r="80" spans="1:9" s="728" customFormat="1" ht="12" customHeight="1" thickBot="1" x14ac:dyDescent="0.25">
      <c r="A80" s="1445"/>
      <c r="B80" s="1441"/>
      <c r="C80" s="1438"/>
      <c r="D80" s="1442" t="s">
        <v>2010</v>
      </c>
      <c r="E80" s="1440" t="s">
        <v>951</v>
      </c>
      <c r="F80" s="1779" t="str">
        <f>IF(F79&gt;0,F78/F79," Complete Line 79")</f>
        <v xml:space="preserve"> Complete Line 79</v>
      </c>
      <c r="G80" s="705"/>
    </row>
    <row r="81" spans="1:7" s="728" customFormat="1" ht="8.25" customHeight="1" thickTop="1" x14ac:dyDescent="0.2">
      <c r="A81" s="734"/>
      <c r="B81" s="705"/>
      <c r="C81" s="707"/>
      <c r="D81" s="735"/>
      <c r="E81" s="704"/>
      <c r="F81" s="1780"/>
      <c r="G81" s="705"/>
    </row>
    <row r="82" spans="1:7" s="728" customFormat="1" ht="12" thickBot="1" x14ac:dyDescent="0.25">
      <c r="A82" s="2377" t="s">
        <v>1095</v>
      </c>
      <c r="B82" s="2378"/>
      <c r="C82" s="2378"/>
      <c r="D82" s="2378"/>
      <c r="E82" s="2378"/>
      <c r="F82" s="237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0</v>
      </c>
      <c r="G95" s="745"/>
    </row>
    <row r="96" spans="1:7" x14ac:dyDescent="0.2">
      <c r="A96" s="741" t="s">
        <v>139</v>
      </c>
      <c r="B96" s="741" t="s">
        <v>174</v>
      </c>
      <c r="C96" s="743">
        <v>1700</v>
      </c>
      <c r="D96" s="751" t="str">
        <f>'Revenues 9-14'!A82</f>
        <v>Total District/School Activity Income</v>
      </c>
      <c r="E96" s="739"/>
      <c r="F96" s="1782">
        <f>SUM('Revenues 9-14'!C82,'Revenues 9-14'!D82)</f>
        <v>0</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0</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0</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195578</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0</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0</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0</v>
      </c>
      <c r="G126" s="763"/>
    </row>
    <row r="127" spans="1:7" x14ac:dyDescent="0.2">
      <c r="A127" s="760" t="s">
        <v>663</v>
      </c>
      <c r="B127" s="760" t="s">
        <v>1928</v>
      </c>
      <c r="C127" s="765">
        <v>4300</v>
      </c>
      <c r="D127" s="766" t="str">
        <f>'Revenues 9-14'!A204</f>
        <v>Total Title I</v>
      </c>
      <c r="E127" s="739"/>
      <c r="F127" s="1782">
        <f>SUM('Revenues 9-14'!C204,'Revenues 9-14'!D204,'Revenues 9-14'!F204,'Revenues 9-14'!G204)</f>
        <v>0</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123530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c r="G172" s="760"/>
    </row>
    <row r="173" spans="1:7" x14ac:dyDescent="0.2">
      <c r="A173" s="1522" t="s">
        <v>659</v>
      </c>
      <c r="B173" s="1523" t="s">
        <v>1882</v>
      </c>
      <c r="C173" s="1524">
        <v>3300</v>
      </c>
      <c r="D173" s="1525" t="s">
        <v>1885</v>
      </c>
      <c r="E173" s="739"/>
      <c r="F173" s="1783"/>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319108</v>
      </c>
    </row>
    <row r="176" spans="1:7" ht="12" customHeight="1" x14ac:dyDescent="0.2">
      <c r="A176" s="1436"/>
      <c r="B176" s="1446"/>
      <c r="C176" s="1447"/>
      <c r="D176" s="1448" t="s">
        <v>2011</v>
      </c>
      <c r="E176" s="1449"/>
      <c r="F176" s="1782">
        <f>'PCTC-OEPP 27-28'!F78-F175</f>
        <v>12531</v>
      </c>
    </row>
    <row r="177" spans="1:9" ht="12" customHeight="1" x14ac:dyDescent="0.2">
      <c r="A177" s="1436"/>
      <c r="B177" s="1446"/>
      <c r="C177" s="1447"/>
      <c r="D177" s="1448" t="s">
        <v>1791</v>
      </c>
      <c r="E177" s="1449"/>
      <c r="F177" s="1782">
        <f>'Cap Outlay Deprec 26'!I18</f>
        <v>0</v>
      </c>
    </row>
    <row r="178" spans="1:9" ht="12" customHeight="1" x14ac:dyDescent="0.2">
      <c r="A178" s="1436"/>
      <c r="B178" s="1446"/>
      <c r="C178" s="1447"/>
      <c r="D178" s="1448" t="s">
        <v>2012</v>
      </c>
      <c r="E178" s="1449"/>
      <c r="F178" s="1782">
        <f>F176+F177</f>
        <v>12531</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0</v>
      </c>
      <c r="G179" s="763"/>
      <c r="I179" s="701"/>
    </row>
    <row r="180" spans="1:9" ht="12" customHeight="1" thickBot="1" x14ac:dyDescent="0.25">
      <c r="A180" s="1436"/>
      <c r="B180" s="1450"/>
      <c r="C180" s="1447"/>
      <c r="D180" s="1448" t="s">
        <v>2014</v>
      </c>
      <c r="E180" s="1449" t="s">
        <v>1525</v>
      </c>
      <c r="F180" s="1787"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G142"/>
  <sheetViews>
    <sheetView showGridLines="0" zoomScaleNormal="100" workbookViewId="0">
      <selection activeCell="D18" sqref="D18"/>
    </sheetView>
  </sheetViews>
  <sheetFormatPr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91" t="s">
        <v>1792</v>
      </c>
      <c r="B4" s="2392"/>
      <c r="C4" s="2392"/>
      <c r="D4" s="2392"/>
      <c r="E4" s="2392"/>
      <c r="F4" s="2393"/>
    </row>
    <row r="5" spans="1:6" x14ac:dyDescent="0.25">
      <c r="A5" s="2394"/>
      <c r="B5" s="2395"/>
      <c r="C5" s="2395"/>
      <c r="D5" s="2395"/>
      <c r="E5" s="2395"/>
      <c r="F5" s="2396"/>
    </row>
    <row r="6" spans="1:6" ht="18.75" x14ac:dyDescent="0.25">
      <c r="A6" s="1854" t="s">
        <v>1793</v>
      </c>
      <c r="B6" s="1855"/>
      <c r="C6" s="1856"/>
      <c r="D6" s="1856"/>
      <c r="E6" s="1856"/>
      <c r="F6" s="1857"/>
    </row>
    <row r="7" spans="1:6" ht="47.25" customHeight="1" x14ac:dyDescent="0.25">
      <c r="A7" s="2397" t="s">
        <v>1982</v>
      </c>
      <c r="B7" s="2398"/>
      <c r="C7" s="2398"/>
      <c r="D7" s="2398"/>
      <c r="E7" s="2398"/>
      <c r="F7" s="2399"/>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400" t="s">
        <v>1978</v>
      </c>
      <c r="B10" s="2401"/>
      <c r="C10" s="2401"/>
      <c r="D10" s="2401"/>
      <c r="E10" s="2401"/>
      <c r="F10" s="2402"/>
    </row>
    <row r="11" spans="1:6" ht="33" customHeight="1" x14ac:dyDescent="0.25">
      <c r="A11" s="2397" t="s">
        <v>1983</v>
      </c>
      <c r="B11" s="2398"/>
      <c r="C11" s="2398"/>
      <c r="D11" s="2398"/>
      <c r="E11" s="2398"/>
      <c r="F11" s="2399"/>
    </row>
    <row r="12" spans="1:6" ht="15" customHeight="1" x14ac:dyDescent="0.25">
      <c r="A12" s="1860" t="s">
        <v>1979</v>
      </c>
      <c r="B12" s="1861"/>
      <c r="C12" s="1862"/>
      <c r="D12" s="1862"/>
      <c r="E12" s="1862"/>
      <c r="F12" s="1863"/>
    </row>
    <row r="13" spans="1:6" ht="17.25" customHeight="1" x14ac:dyDescent="0.25">
      <c r="A13" s="2397" t="s">
        <v>1980</v>
      </c>
      <c r="B13" s="2398"/>
      <c r="C13" s="2398"/>
      <c r="D13" s="2398"/>
      <c r="E13" s="2398"/>
      <c r="F13" s="2399"/>
    </row>
    <row r="14" spans="1:6" ht="15" customHeight="1" x14ac:dyDescent="0.25">
      <c r="A14" s="1860" t="s">
        <v>1797</v>
      </c>
      <c r="B14" s="1861"/>
      <c r="C14" s="1862"/>
      <c r="D14" s="1862"/>
      <c r="E14" s="1862"/>
      <c r="F14" s="1863"/>
    </row>
    <row r="15" spans="1:6" ht="32.25" customHeight="1" x14ac:dyDescent="0.25">
      <c r="A15" s="238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9"/>
      <c r="C15" s="2389"/>
      <c r="D15" s="2389"/>
      <c r="E15" s="2389"/>
      <c r="F15" s="2390"/>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1900"/>
      <c r="B18" s="1895"/>
      <c r="C18" s="1901"/>
      <c r="D18" s="1873"/>
      <c r="E18" s="1893">
        <f t="shared" ref="E18:E81" si="0">IF(D18&lt;25000,D18,"25,000")</f>
        <v>0</v>
      </c>
      <c r="F18" s="1893" t="str">
        <f t="shared" ref="F18:F81" si="1">IF(D18&gt;=25000,(D18-E18),"0")</f>
        <v>0</v>
      </c>
      <c r="G18" s="1874"/>
    </row>
    <row r="19" spans="1:7" x14ac:dyDescent="0.25">
      <c r="A19" s="1875"/>
      <c r="B19" s="1895"/>
      <c r="C19" s="1872"/>
      <c r="D19" s="1873"/>
      <c r="E19" s="1893">
        <f t="shared" si="0"/>
        <v>0</v>
      </c>
      <c r="F19" s="1893" t="str">
        <f t="shared" si="1"/>
        <v>0</v>
      </c>
    </row>
    <row r="20" spans="1:7" x14ac:dyDescent="0.25">
      <c r="A20" s="1875"/>
      <c r="B20" s="1895"/>
      <c r="C20" s="1872"/>
      <c r="D20" s="1873"/>
      <c r="E20" s="1893">
        <f t="shared" si="0"/>
        <v>0</v>
      </c>
      <c r="F20" s="1893" t="str">
        <f t="shared" si="1"/>
        <v>0</v>
      </c>
    </row>
    <row r="21" spans="1:7" x14ac:dyDescent="0.25">
      <c r="A21" s="1875"/>
      <c r="B21" s="1895"/>
      <c r="C21" s="1872"/>
      <c r="D21" s="1873"/>
      <c r="E21" s="1893">
        <f t="shared" si="0"/>
        <v>0</v>
      </c>
      <c r="F21" s="1893" t="str">
        <f t="shared" si="1"/>
        <v>0</v>
      </c>
    </row>
    <row r="22" spans="1:7" x14ac:dyDescent="0.25">
      <c r="A22" s="1875"/>
      <c r="B22" s="1895"/>
      <c r="C22" s="1872"/>
      <c r="D22" s="1873"/>
      <c r="E22" s="1893">
        <f t="shared" si="0"/>
        <v>0</v>
      </c>
      <c r="F22" s="1893" t="str">
        <f t="shared" si="1"/>
        <v>0</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0</v>
      </c>
      <c r="E142" s="1880">
        <f>SUM(E18:E141)</f>
        <v>0</v>
      </c>
      <c r="F142" s="1881">
        <f>SUM(F18:F141)</f>
        <v>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M46"/>
  <sheetViews>
    <sheetView showGridLines="0" defaultGridColor="0" topLeftCell="A19"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3" t="s">
        <v>1657</v>
      </c>
      <c r="B5" s="2404"/>
      <c r="C5" s="2404"/>
      <c r="D5" s="2404"/>
      <c r="E5" s="2404"/>
      <c r="F5" s="2404"/>
      <c r="G5" s="2405"/>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c r="F10" s="805"/>
      <c r="G10" s="806"/>
      <c r="H10" s="157"/>
      <c r="I10" s="157"/>
    </row>
    <row r="11" spans="1:13" s="542" customFormat="1" ht="22.5" customHeight="1" x14ac:dyDescent="0.2">
      <c r="A11" s="240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9"/>
      <c r="C11" s="2409"/>
      <c r="D11" s="2410"/>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0</v>
      </c>
      <c r="F19" s="1791"/>
      <c r="G19" s="1793">
        <f>'Expenditures 15-22'!K33-SUM('Expenditures 15-22'!G33,'Expenditures 15-22'!I33)+'Expenditures 15-22'!D229</f>
        <v>0</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28583</v>
      </c>
      <c r="F21" s="1794"/>
      <c r="G21" s="1797">
        <f>'Expenditures 15-22'!K42-SUM('Expenditures 15-22'!G42,'Expenditures 15-22'!I42)+'Expenditures 15-22'!K120-SUM('Expenditures 15-22'!G120,'Expenditures 15-22'!I120)+'Expenditures 15-22'!K180-SUM('Expenditures 15-22'!G180,'Expenditures 15-22'!I180)+'Expenditures 15-22'!D238</f>
        <v>28583</v>
      </c>
      <c r="H21" s="817"/>
      <c r="I21" s="157"/>
    </row>
    <row r="22" spans="1:9" s="542" customFormat="1" ht="12" customHeight="1" x14ac:dyDescent="0.2">
      <c r="A22" s="824" t="s">
        <v>560</v>
      </c>
      <c r="B22" s="825"/>
      <c r="C22" s="823">
        <v>2200</v>
      </c>
      <c r="D22" s="1794"/>
      <c r="E22" s="1796">
        <f>'Expenditures 15-22'!K47-SUM('Expenditures 15-22'!G47,'Expenditures 15-22'!I47)+'Expenditures 15-22'!D243</f>
        <v>188393</v>
      </c>
      <c r="F22" s="1794"/>
      <c r="G22" s="1797">
        <f>'Expenditures 15-22'!K47-SUM('Expenditures 15-22'!G47,'Expenditures 15-22'!I47)+'Expenditures 15-22'!D243</f>
        <v>188393</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114663</v>
      </c>
      <c r="F23" s="1794"/>
      <c r="G23" s="1796">
        <f>'Expenditures 15-22'!K53-SUM('Expenditures 15-22'!G53,'Expenditures 15-22'!I53)+'Expenditures 15-22'!D257+'Expenditures 15-22'!K330-SUM('Expenditures 15-22'!G330,'Expenditures 15-22'!I330)</f>
        <v>114663</v>
      </c>
      <c r="H23" s="817"/>
      <c r="I23" s="157"/>
    </row>
    <row r="24" spans="1:9" s="542" customFormat="1" ht="12" customHeight="1" x14ac:dyDescent="0.2">
      <c r="A24" s="824" t="s">
        <v>562</v>
      </c>
      <c r="B24" s="825"/>
      <c r="C24" s="823">
        <v>2400</v>
      </c>
      <c r="D24" s="1794"/>
      <c r="E24" s="1796">
        <f>'Expenditures 15-22'!K57-SUM('Expenditures 15-22'!G57,'Expenditures 15-22'!I57)+'Expenditures 15-22'!D261</f>
        <v>0</v>
      </c>
      <c r="F24" s="1794"/>
      <c r="G24" s="1797">
        <f>'Expenditures 15-22'!K57-SUM('Expenditures 15-22'!G57,'Expenditures 15-22'!I57)+'Expenditures 15-22'!D261</f>
        <v>0</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0</v>
      </c>
      <c r="E27" s="1796">
        <f>E8</f>
        <v>0</v>
      </c>
      <c r="F27" s="1796">
        <f>'Expenditures 15-22'!K60-SUM('Expenditures 15-22'!G60,'Expenditures 15-22'!I60)+'Expenditures 15-22'!D264-E8</f>
        <v>0</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0</v>
      </c>
      <c r="F28" s="1798">
        <f>'Expenditures 15-22'!K61-SUM('Expenditures 15-22'!G61,'Expenditures 15-22'!I61)+'Expenditures 15-22'!K124-SUM('Expenditures 15-22'!G124,'Expenditures 15-22'!I124)+'Expenditures 15-22'!D266-E9</f>
        <v>0</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0</v>
      </c>
      <c r="F29" s="1794"/>
      <c r="G29" s="1797">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94"/>
      <c r="E30" s="1796">
        <f>'Expenditures 15-22'!K63-SUM('Expenditures 15-22'!G63,'Expenditures 15-22'!I63)+'Expenditures 15-22'!D268-E10</f>
        <v>0</v>
      </c>
      <c r="F30" s="1794"/>
      <c r="G30" s="1796">
        <f>'Expenditures 15-22'!K63-SUM('Expenditures 15-22'!G63,'Expenditures 15-22'!I63)+'Expenditures 15-22'!D268-E10</f>
        <v>0</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4"/>
      <c r="E40" s="1798">
        <f>-'Contracts Paid in CY 29'!F142</f>
        <v>0</v>
      </c>
      <c r="F40" s="1794"/>
      <c r="G40" s="1798">
        <f>-'Contracts Paid in CY 29'!F142</f>
        <v>0</v>
      </c>
    </row>
    <row r="41" spans="1:7" ht="12" customHeight="1" x14ac:dyDescent="0.2">
      <c r="A41" s="828" t="s">
        <v>155</v>
      </c>
      <c r="B41" s="829"/>
      <c r="C41" s="830"/>
      <c r="D41" s="1798">
        <f>SUM(D19:D39)</f>
        <v>0</v>
      </c>
      <c r="E41" s="1798">
        <f>SUM(E19:E40)</f>
        <v>331639</v>
      </c>
      <c r="F41" s="1798">
        <f>SUM(F19:F39)</f>
        <v>0</v>
      </c>
      <c r="G41" s="1798">
        <f>SUM(G19:G40)</f>
        <v>331639</v>
      </c>
    </row>
    <row r="42" spans="1:7" x14ac:dyDescent="0.2">
      <c r="A42" s="817"/>
      <c r="B42" s="157"/>
      <c r="C42" s="831"/>
      <c r="D42" s="2406" t="s">
        <v>519</v>
      </c>
      <c r="E42" s="2407"/>
      <c r="F42" s="832" t="s">
        <v>520</v>
      </c>
      <c r="G42" s="833"/>
    </row>
    <row r="43" spans="1:7" ht="12" customHeight="1" x14ac:dyDescent="0.2">
      <c r="A43" s="817"/>
      <c r="B43" s="157"/>
      <c r="C43" s="831"/>
      <c r="D43" s="1451" t="s">
        <v>470</v>
      </c>
      <c r="E43" s="1799">
        <f>D41</f>
        <v>0</v>
      </c>
      <c r="F43" s="1451" t="s">
        <v>470</v>
      </c>
      <c r="G43" s="1799">
        <f>F41</f>
        <v>0</v>
      </c>
    </row>
    <row r="44" spans="1:7" ht="12" customHeight="1" x14ac:dyDescent="0.2">
      <c r="A44" s="817"/>
      <c r="B44" s="157"/>
      <c r="C44" s="831"/>
      <c r="D44" s="1451" t="s">
        <v>471</v>
      </c>
      <c r="E44" s="1799">
        <f>E41</f>
        <v>331639</v>
      </c>
      <c r="F44" s="1451" t="s">
        <v>471</v>
      </c>
      <c r="G44" s="1799">
        <f>G41</f>
        <v>331639</v>
      </c>
    </row>
    <row r="45" spans="1:7" ht="12" customHeight="1" x14ac:dyDescent="0.2">
      <c r="A45" s="817"/>
      <c r="B45" s="157"/>
      <c r="C45" s="157"/>
      <c r="D45" s="1452" t="s">
        <v>998</v>
      </c>
      <c r="E45" s="1800">
        <f>(E43/E44)</f>
        <v>0</v>
      </c>
      <c r="F45" s="1452" t="s">
        <v>998</v>
      </c>
      <c r="G45" s="1800">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pageSetUpPr fitToPage="1"/>
  </sheetPr>
  <dimension ref="A1:O97"/>
  <sheetViews>
    <sheetView showGridLines="0" zoomScale="110" zoomScaleNormal="110" workbookViewId="0">
      <pane ySplit="4" topLeftCell="A5" activePane="bottomLeft" state="frozen"/>
      <selection activeCell="A47" sqref="A47"/>
      <selection pane="bottomLeft" activeCell="F15" sqref="F15"/>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25" t="s">
        <v>1360</v>
      </c>
      <c r="B1" s="2425"/>
      <c r="C1" s="2425"/>
      <c r="D1" s="2425"/>
      <c r="E1" s="2425"/>
      <c r="F1" s="2425"/>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26" t="s">
        <v>1526</v>
      </c>
      <c r="B5" s="2427"/>
      <c r="C5" s="2428"/>
      <c r="D5" s="2428"/>
      <c r="E5" s="2428"/>
      <c r="F5" s="2428"/>
      <c r="G5" s="1500"/>
      <c r="L5" s="1500"/>
      <c r="M5" s="1844"/>
      <c r="N5" s="1844"/>
      <c r="O5" s="1844"/>
    </row>
    <row r="6" spans="1:15" ht="12" customHeight="1" x14ac:dyDescent="0.25">
      <c r="A6" s="1473"/>
      <c r="B6" s="1474"/>
      <c r="C6" s="2429" t="str">
        <f>COVER!A17</f>
        <v xml:space="preserve"> North Suburban Ed Reg for Vocation</v>
      </c>
      <c r="D6" s="2429"/>
      <c r="E6" s="2429"/>
      <c r="F6" s="1475"/>
      <c r="G6" s="1500"/>
      <c r="L6" s="1500"/>
      <c r="M6" s="1844"/>
      <c r="N6" s="1844"/>
      <c r="O6" s="1844"/>
    </row>
    <row r="7" spans="1:15" ht="11.25" customHeight="1" thickBot="1" x14ac:dyDescent="0.3">
      <c r="A7" s="1473"/>
      <c r="B7" s="1474"/>
      <c r="C7" s="2430">
        <f>COVER!A13</f>
        <v>5016207046</v>
      </c>
      <c r="D7" s="2430"/>
      <c r="E7" s="2430"/>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t="s">
        <v>2062</v>
      </c>
      <c r="D14" s="1488" t="s">
        <v>2062</v>
      </c>
      <c r="E14" s="1491"/>
      <c r="F14" s="1490" t="s">
        <v>2075</v>
      </c>
      <c r="G14" s="1500"/>
      <c r="H14" s="1500">
        <f t="shared" si="0"/>
        <v>5</v>
      </c>
      <c r="I14" s="1500">
        <f t="shared" si="1"/>
        <v>5</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c r="D19" s="1488"/>
      <c r="E19" s="1491"/>
      <c r="F19" s="1490"/>
      <c r="G19" s="1500"/>
      <c r="H19" s="1500">
        <f t="shared" si="0"/>
        <v>0</v>
      </c>
      <c r="I19" s="1500">
        <f t="shared" si="1"/>
        <v>0</v>
      </c>
      <c r="J19" s="1500">
        <f t="shared" si="2"/>
        <v>0</v>
      </c>
      <c r="L19" s="1500"/>
      <c r="M19" s="1844"/>
      <c r="N19" s="1844"/>
      <c r="O19" s="1844"/>
    </row>
    <row r="20" spans="1:15" ht="12" customHeight="1" x14ac:dyDescent="0.2">
      <c r="A20" s="1486" t="s">
        <v>1508</v>
      </c>
      <c r="B20" s="1487"/>
      <c r="C20" s="1488" t="s">
        <v>2062</v>
      </c>
      <c r="D20" s="1488" t="s">
        <v>2062</v>
      </c>
      <c r="E20" s="1491"/>
      <c r="F20" s="1490" t="s">
        <v>2074</v>
      </c>
      <c r="G20" s="1500"/>
      <c r="H20" s="1500">
        <f t="shared" si="0"/>
        <v>5</v>
      </c>
      <c r="I20" s="1500">
        <f t="shared" si="1"/>
        <v>5</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c r="D26" s="1488"/>
      <c r="E26" s="1491"/>
      <c r="F26" s="1490"/>
      <c r="G26" s="1500"/>
      <c r="H26" s="1500">
        <f t="shared" si="0"/>
        <v>0</v>
      </c>
      <c r="I26" s="1500">
        <f t="shared" si="1"/>
        <v>0</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10</v>
      </c>
      <c r="I34" s="1500">
        <f>SUM(I11:I32)</f>
        <v>10</v>
      </c>
      <c r="J34" s="1500">
        <f>SUM(J11:J32)</f>
        <v>0</v>
      </c>
      <c r="K34" s="1500">
        <f>SUM(H34:J34)</f>
        <v>20</v>
      </c>
      <c r="L34" s="1500"/>
      <c r="M34" s="1844"/>
      <c r="N34" s="1844"/>
      <c r="O34" s="1844"/>
    </row>
    <row r="35" spans="1:15" ht="12" customHeight="1" x14ac:dyDescent="0.2">
      <c r="A35" s="1493" t="s">
        <v>1373</v>
      </c>
      <c r="B35" s="1494"/>
      <c r="C35" s="2431"/>
      <c r="D35" s="2431"/>
      <c r="E35" s="2431"/>
      <c r="F35" s="2432"/>
    </row>
    <row r="36" spans="1:15" ht="12" customHeight="1" x14ac:dyDescent="0.2">
      <c r="A36" s="2414"/>
      <c r="B36" s="2415"/>
      <c r="C36" s="2415"/>
      <c r="D36" s="2415"/>
      <c r="E36" s="2415"/>
      <c r="F36" s="2416"/>
    </row>
    <row r="37" spans="1:15" ht="12" customHeight="1" x14ac:dyDescent="0.2">
      <c r="A37" s="2414"/>
      <c r="B37" s="2415"/>
      <c r="C37" s="2415"/>
      <c r="D37" s="2415"/>
      <c r="E37" s="2415"/>
      <c r="F37" s="2416"/>
    </row>
    <row r="38" spans="1:15" ht="12" customHeight="1" x14ac:dyDescent="0.2">
      <c r="A38" s="2417"/>
      <c r="B38" s="2418"/>
      <c r="C38" s="2418"/>
      <c r="D38" s="2418"/>
      <c r="E38" s="2418"/>
      <c r="F38" s="2419"/>
    </row>
    <row r="39" spans="1:15" ht="4.5" hidden="1" customHeight="1" x14ac:dyDescent="0.2">
      <c r="A39" s="1495"/>
      <c r="B39" s="1495"/>
      <c r="C39" s="1495"/>
      <c r="D39" s="1495"/>
      <c r="E39" s="1495"/>
      <c r="F39" s="1495"/>
    </row>
    <row r="40" spans="1:15" s="1492" customFormat="1" ht="12" customHeight="1" x14ac:dyDescent="0.25">
      <c r="A40" s="1496" t="s">
        <v>1372</v>
      </c>
      <c r="B40" s="1497"/>
      <c r="C40" s="2420"/>
      <c r="D40" s="2420"/>
      <c r="E40" s="2420"/>
      <c r="F40" s="2421"/>
      <c r="H40" s="1501"/>
      <c r="I40" s="1501"/>
      <c r="J40" s="1501"/>
      <c r="K40" s="1501"/>
    </row>
    <row r="41" spans="1:15" s="1492" customFormat="1" ht="12" customHeight="1" x14ac:dyDescent="0.25">
      <c r="A41" s="2422"/>
      <c r="B41" s="2423"/>
      <c r="C41" s="2423"/>
      <c r="D41" s="2423"/>
      <c r="E41" s="2423"/>
      <c r="F41" s="2424"/>
      <c r="H41" s="1501"/>
      <c r="I41" s="1501"/>
      <c r="J41" s="1501"/>
      <c r="K41" s="1501"/>
    </row>
    <row r="42" spans="1:15" s="1492" customFormat="1" ht="12" customHeight="1" x14ac:dyDescent="0.25">
      <c r="A42" s="2422"/>
      <c r="B42" s="2423"/>
      <c r="C42" s="2423"/>
      <c r="D42" s="2423"/>
      <c r="E42" s="2423"/>
      <c r="F42" s="2424"/>
      <c r="H42" s="1501"/>
      <c r="I42" s="1501"/>
      <c r="J42" s="1501"/>
      <c r="K42" s="1501"/>
    </row>
    <row r="43" spans="1:15" s="1492" customFormat="1" ht="15" x14ac:dyDescent="0.25">
      <c r="A43" s="2411"/>
      <c r="B43" s="2412"/>
      <c r="C43" s="2412"/>
      <c r="D43" s="2412"/>
      <c r="E43" s="2412"/>
      <c r="F43" s="2413"/>
      <c r="H43" s="1501"/>
      <c r="I43" s="1501"/>
      <c r="J43" s="1501"/>
      <c r="K43" s="1501"/>
    </row>
    <row r="44" spans="1:15" s="1492" customFormat="1" ht="12" hidden="1" customHeight="1" x14ac:dyDescent="0.25">
      <c r="A44" s="2411"/>
      <c r="B44" s="2412"/>
      <c r="C44" s="2412"/>
      <c r="D44" s="2412"/>
      <c r="E44" s="2412"/>
      <c r="F44" s="2413"/>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FF0000"/>
  </sheetPr>
  <dimension ref="A1:N72"/>
  <sheetViews>
    <sheetView showGridLines="0" topLeftCell="A43" zoomScaleNormal="100" workbookViewId="0">
      <selection activeCell="E67" sqref="E67"/>
    </sheetView>
  </sheetViews>
  <sheetFormatPr defaultRowHeight="15" x14ac:dyDescent="0.25"/>
  <cols>
    <col min="1" max="1" width="2.7109375" style="1927" customWidth="1"/>
    <col min="2" max="2" width="3" style="1927" customWidth="1"/>
    <col min="3" max="3" width="38" style="1927" customWidth="1"/>
    <col min="4" max="4" width="7.7109375" style="1927" customWidth="1"/>
    <col min="5" max="5" width="10.7109375" style="1927" customWidth="1"/>
    <col min="6" max="6" width="11" style="1927" customWidth="1"/>
    <col min="7" max="8" width="9.140625" style="1927"/>
    <col min="9" max="9" width="10.85546875" style="1927" customWidth="1"/>
    <col min="10" max="10" width="12.42578125" style="1927" customWidth="1"/>
    <col min="11" max="11" width="9.140625" style="1927"/>
    <col min="12" max="12" width="13.140625" style="1927" customWidth="1"/>
    <col min="13" max="13" width="9.140625" style="1927"/>
    <col min="14" max="14" width="17.85546875" style="1927" customWidth="1"/>
    <col min="15" max="16384" width="9.140625" style="1927"/>
  </cols>
  <sheetData>
    <row r="1" spans="1:14" x14ac:dyDescent="0.25">
      <c r="A1" s="2041"/>
      <c r="B1" s="2038"/>
      <c r="C1" s="2038"/>
      <c r="D1" s="2038"/>
      <c r="E1" s="2038"/>
      <c r="F1" s="2038"/>
      <c r="G1" s="2040" t="s">
        <v>402</v>
      </c>
      <c r="H1" s="2039"/>
      <c r="I1" s="2038"/>
      <c r="J1" s="2038"/>
      <c r="K1" s="2038"/>
      <c r="L1" s="2038"/>
      <c r="M1" s="2038"/>
      <c r="N1" s="2037"/>
    </row>
    <row r="2" spans="1:14" x14ac:dyDescent="0.25">
      <c r="A2" s="1970"/>
      <c r="B2" s="847"/>
      <c r="C2" s="847"/>
      <c r="D2" s="847"/>
      <c r="E2" s="847"/>
      <c r="F2" s="847"/>
      <c r="G2" s="1926" t="s">
        <v>1999</v>
      </c>
      <c r="H2" s="2036"/>
      <c r="I2" s="847"/>
      <c r="J2" s="847"/>
      <c r="K2" s="847"/>
      <c r="L2" s="847"/>
      <c r="M2" s="847"/>
      <c r="N2" s="1969"/>
    </row>
    <row r="3" spans="1:14" x14ac:dyDescent="0.25">
      <c r="A3" s="1970"/>
      <c r="B3" s="847"/>
      <c r="C3" s="847"/>
      <c r="D3" s="847"/>
      <c r="E3" s="847"/>
      <c r="F3" s="847"/>
      <c r="G3" s="1926" t="s">
        <v>403</v>
      </c>
      <c r="H3" s="847"/>
      <c r="I3" s="847"/>
      <c r="J3" s="847"/>
      <c r="K3" s="847"/>
      <c r="L3" s="847"/>
      <c r="M3" s="847"/>
      <c r="N3" s="1969"/>
    </row>
    <row r="4" spans="1:14" x14ac:dyDescent="0.25">
      <c r="A4" s="1970"/>
      <c r="B4" s="847"/>
      <c r="C4" s="847"/>
      <c r="D4" s="847"/>
      <c r="E4" s="847"/>
      <c r="F4" s="847"/>
      <c r="G4" s="1926" t="s">
        <v>862</v>
      </c>
      <c r="H4" s="847"/>
      <c r="I4" s="847"/>
      <c r="J4" s="847"/>
      <c r="K4" s="847"/>
      <c r="L4" s="847"/>
      <c r="M4" s="847"/>
      <c r="N4" s="1969"/>
    </row>
    <row r="5" spans="1:14" x14ac:dyDescent="0.25">
      <c r="A5" s="1970"/>
      <c r="B5" s="847"/>
      <c r="C5" s="847"/>
      <c r="D5" s="847"/>
      <c r="E5" s="847"/>
      <c r="F5" s="1926"/>
      <c r="G5" s="1926"/>
      <c r="H5" s="847"/>
      <c r="I5" s="847"/>
      <c r="J5" s="847"/>
      <c r="K5" s="847"/>
      <c r="L5" s="847"/>
      <c r="M5" s="847"/>
      <c r="N5" s="1969"/>
    </row>
    <row r="6" spans="1:14" x14ac:dyDescent="0.25">
      <c r="A6" s="2035" t="s">
        <v>667</v>
      </c>
      <c r="B6" s="1370"/>
      <c r="C6" s="1370"/>
      <c r="D6" s="1370"/>
      <c r="E6" s="1371"/>
      <c r="F6" s="2034"/>
      <c r="G6" s="1926"/>
      <c r="H6" s="847"/>
      <c r="I6" s="1958" t="s">
        <v>1020</v>
      </c>
      <c r="J6" s="2435" t="str">
        <f>COVER!A17</f>
        <v xml:space="preserve"> North Suburban Ed Reg for Vocation</v>
      </c>
      <c r="K6" s="2435"/>
      <c r="L6" s="2436"/>
      <c r="M6" s="847"/>
      <c r="N6" s="1969"/>
    </row>
    <row r="7" spans="1:14" x14ac:dyDescent="0.25">
      <c r="A7" s="2437" t="s">
        <v>863</v>
      </c>
      <c r="B7" s="2438"/>
      <c r="C7" s="2438"/>
      <c r="D7" s="2438"/>
      <c r="E7" s="2439"/>
      <c r="F7" s="2033"/>
      <c r="G7" s="847"/>
      <c r="H7" s="847"/>
      <c r="I7" s="1958" t="s">
        <v>369</v>
      </c>
      <c r="J7" s="2440">
        <f>COVER!A13</f>
        <v>5016207046</v>
      </c>
      <c r="K7" s="2440"/>
      <c r="L7" s="2440"/>
      <c r="M7" s="847"/>
      <c r="N7" s="1969"/>
    </row>
    <row r="8" spans="1:14" x14ac:dyDescent="0.25">
      <c r="A8" s="2032"/>
      <c r="B8" s="2031"/>
      <c r="C8" s="2031"/>
      <c r="D8" s="2031"/>
      <c r="E8" s="2030"/>
      <c r="F8" s="2029"/>
      <c r="G8" s="2028"/>
      <c r="H8" s="2028"/>
      <c r="I8" s="2028"/>
      <c r="J8" s="2028"/>
      <c r="K8" s="2028"/>
      <c r="L8" s="2028"/>
      <c r="M8" s="847"/>
      <c r="N8" s="1969"/>
    </row>
    <row r="9" spans="1:14" x14ac:dyDescent="0.25">
      <c r="A9" s="2027"/>
      <c r="B9" s="2026"/>
      <c r="C9" s="2026"/>
      <c r="D9" s="2025"/>
      <c r="E9" s="2024" t="s">
        <v>2059</v>
      </c>
      <c r="F9" s="2022"/>
      <c r="G9" s="2022"/>
      <c r="H9" s="2022"/>
      <c r="I9" s="2023" t="s">
        <v>2058</v>
      </c>
      <c r="J9" s="2022"/>
      <c r="K9" s="2022"/>
      <c r="L9" s="2021"/>
      <c r="M9" s="847"/>
      <c r="N9" s="1969"/>
    </row>
    <row r="10" spans="1:14" x14ac:dyDescent="0.25">
      <c r="A10" s="1970"/>
      <c r="B10" s="847"/>
      <c r="C10" s="1926"/>
      <c r="D10" s="2020"/>
      <c r="E10" s="2019" t="s">
        <v>422</v>
      </c>
      <c r="F10" s="2016" t="s">
        <v>423</v>
      </c>
      <c r="G10" s="2017" t="s">
        <v>429</v>
      </c>
      <c r="H10" s="2018"/>
      <c r="I10" s="2016" t="s">
        <v>422</v>
      </c>
      <c r="J10" s="2016" t="s">
        <v>423</v>
      </c>
      <c r="K10" s="2017" t="s">
        <v>429</v>
      </c>
      <c r="L10" s="2016"/>
      <c r="M10" s="847"/>
      <c r="N10" s="1969"/>
    </row>
    <row r="11" spans="1:14" ht="51" x14ac:dyDescent="0.25">
      <c r="A11" s="2441" t="s">
        <v>478</v>
      </c>
      <c r="B11" s="2442"/>
      <c r="C11" s="2443"/>
      <c r="D11" s="2015" t="s">
        <v>865</v>
      </c>
      <c r="E11" s="2015" t="s">
        <v>64</v>
      </c>
      <c r="F11" s="2015" t="s">
        <v>6</v>
      </c>
      <c r="G11" s="2014" t="s">
        <v>2057</v>
      </c>
      <c r="H11" s="2013" t="s">
        <v>155</v>
      </c>
      <c r="I11" s="2015" t="s">
        <v>64</v>
      </c>
      <c r="J11" s="2015" t="s">
        <v>6</v>
      </c>
      <c r="K11" s="2014" t="s">
        <v>1998</v>
      </c>
      <c r="L11" s="2013" t="s">
        <v>155</v>
      </c>
      <c r="M11" s="847"/>
      <c r="N11" s="1969"/>
    </row>
    <row r="12" spans="1:14" x14ac:dyDescent="0.25">
      <c r="A12" s="1999">
        <v>1</v>
      </c>
      <c r="B12" s="2011" t="s">
        <v>812</v>
      </c>
      <c r="C12" s="2010"/>
      <c r="D12" s="2009">
        <v>2320</v>
      </c>
      <c r="E12" s="2008">
        <f>'Expenditures 15-22'!K50</f>
        <v>0</v>
      </c>
      <c r="F12" s="2006"/>
      <c r="G12" s="2007">
        <f>G68</f>
        <v>0</v>
      </c>
      <c r="H12" s="2003">
        <f t="shared" ref="H12:H18" si="0">SUM(E12:G12)</f>
        <v>0</v>
      </c>
      <c r="I12" s="2004"/>
      <c r="J12" s="2006"/>
      <c r="K12" s="2004"/>
      <c r="L12" s="2003">
        <f t="shared" ref="L12:L18" si="1">SUM(I12:K12)</f>
        <v>0</v>
      </c>
      <c r="M12" s="847"/>
      <c r="N12" s="1969"/>
    </row>
    <row r="13" spans="1:14" x14ac:dyDescent="0.25">
      <c r="A13" s="1999">
        <v>2</v>
      </c>
      <c r="B13" s="2011" t="s">
        <v>42</v>
      </c>
      <c r="C13" s="2010"/>
      <c r="D13" s="2009">
        <v>2330</v>
      </c>
      <c r="E13" s="2008">
        <f>'Expenditures 15-22'!K51</f>
        <v>114663</v>
      </c>
      <c r="F13" s="2006"/>
      <c r="G13" s="2007">
        <f>H68</f>
        <v>0</v>
      </c>
      <c r="H13" s="2003">
        <f t="shared" si="0"/>
        <v>114663</v>
      </c>
      <c r="I13" s="2004"/>
      <c r="J13" s="2006"/>
      <c r="K13" s="2004"/>
      <c r="L13" s="2003">
        <f t="shared" si="1"/>
        <v>0</v>
      </c>
      <c r="M13" s="847"/>
      <c r="N13" s="1969"/>
    </row>
    <row r="14" spans="1:14" x14ac:dyDescent="0.25">
      <c r="A14" s="1999">
        <v>3</v>
      </c>
      <c r="B14" s="2011" t="s">
        <v>43</v>
      </c>
      <c r="C14" s="2010"/>
      <c r="D14" s="2012">
        <v>2490</v>
      </c>
      <c r="E14" s="2008">
        <f>'Expenditures 15-22'!K56</f>
        <v>0</v>
      </c>
      <c r="F14" s="2006"/>
      <c r="G14" s="2007">
        <f>I68</f>
        <v>0</v>
      </c>
      <c r="H14" s="2003">
        <f t="shared" si="0"/>
        <v>0</v>
      </c>
      <c r="I14" s="2004"/>
      <c r="J14" s="2006"/>
      <c r="K14" s="2004"/>
      <c r="L14" s="2003">
        <f t="shared" si="1"/>
        <v>0</v>
      </c>
      <c r="M14" s="847"/>
      <c r="N14" s="1969"/>
    </row>
    <row r="15" spans="1:14" x14ac:dyDescent="0.25">
      <c r="A15" s="1999">
        <v>4</v>
      </c>
      <c r="B15" s="2011" t="s">
        <v>1058</v>
      </c>
      <c r="C15" s="2010"/>
      <c r="D15" s="2009">
        <v>2510</v>
      </c>
      <c r="E15" s="2008">
        <f>'Expenditures 15-22'!K59</f>
        <v>0</v>
      </c>
      <c r="F15" s="2008">
        <f>'Expenditures 15-22'!K122</f>
        <v>0</v>
      </c>
      <c r="G15" s="2007">
        <f>J68</f>
        <v>0</v>
      </c>
      <c r="H15" s="2003">
        <f t="shared" si="0"/>
        <v>0</v>
      </c>
      <c r="I15" s="2004"/>
      <c r="J15" s="2004"/>
      <c r="K15" s="2004"/>
      <c r="L15" s="2003">
        <f t="shared" si="1"/>
        <v>0</v>
      </c>
      <c r="M15" s="847"/>
      <c r="N15" s="1969"/>
    </row>
    <row r="16" spans="1:14" x14ac:dyDescent="0.25">
      <c r="A16" s="1999">
        <v>5</v>
      </c>
      <c r="B16" s="2011" t="s">
        <v>101</v>
      </c>
      <c r="C16" s="2010"/>
      <c r="D16" s="2009">
        <v>2570</v>
      </c>
      <c r="E16" s="2008">
        <f>'Expenditures 15-22'!K64</f>
        <v>0</v>
      </c>
      <c r="F16" s="2006"/>
      <c r="G16" s="2007">
        <f>K68</f>
        <v>0</v>
      </c>
      <c r="H16" s="2003">
        <f t="shared" si="0"/>
        <v>0</v>
      </c>
      <c r="I16" s="2004"/>
      <c r="J16" s="2006"/>
      <c r="K16" s="2004"/>
      <c r="L16" s="2003">
        <f t="shared" si="1"/>
        <v>0</v>
      </c>
      <c r="M16" s="847"/>
      <c r="N16" s="1969"/>
    </row>
    <row r="17" spans="1:14" x14ac:dyDescent="0.25">
      <c r="A17" s="1999">
        <v>6</v>
      </c>
      <c r="B17" s="2011" t="s">
        <v>1050</v>
      </c>
      <c r="C17" s="2010"/>
      <c r="D17" s="2009">
        <v>2610</v>
      </c>
      <c r="E17" s="2008">
        <f>'Expenditures 15-22'!K67</f>
        <v>0</v>
      </c>
      <c r="F17" s="2006"/>
      <c r="G17" s="2007">
        <f>L68</f>
        <v>0</v>
      </c>
      <c r="H17" s="2003">
        <f t="shared" si="0"/>
        <v>0</v>
      </c>
      <c r="I17" s="2004"/>
      <c r="J17" s="2006"/>
      <c r="K17" s="2004"/>
      <c r="L17" s="2003">
        <f t="shared" si="1"/>
        <v>0</v>
      </c>
      <c r="M17" s="847"/>
      <c r="N17" s="1969"/>
    </row>
    <row r="18" spans="1:14" ht="28.5" customHeight="1" x14ac:dyDescent="0.25">
      <c r="A18" s="2005">
        <v>7</v>
      </c>
      <c r="B18" s="2444" t="s">
        <v>7</v>
      </c>
      <c r="C18" s="2444"/>
      <c r="D18" s="2445"/>
      <c r="E18" s="2004"/>
      <c r="F18" s="2004"/>
      <c r="G18" s="2004"/>
      <c r="H18" s="2003">
        <f t="shared" si="0"/>
        <v>0</v>
      </c>
      <c r="I18" s="2004"/>
      <c r="J18" s="2004"/>
      <c r="K18" s="2004"/>
      <c r="L18" s="2003">
        <f t="shared" si="1"/>
        <v>0</v>
      </c>
      <c r="M18" s="847"/>
      <c r="N18" s="1969"/>
    </row>
    <row r="19" spans="1:14" ht="15.75" thickBot="1" x14ac:dyDescent="0.3">
      <c r="A19" s="1999">
        <v>8</v>
      </c>
      <c r="B19" s="2002" t="s">
        <v>1150</v>
      </c>
      <c r="C19" s="847"/>
      <c r="D19" s="2001"/>
      <c r="E19" s="2000">
        <f t="shared" ref="E19:L19" si="2">SUM(E12:E17)-E18</f>
        <v>114663</v>
      </c>
      <c r="F19" s="2000">
        <f t="shared" si="2"/>
        <v>0</v>
      </c>
      <c r="G19" s="2000">
        <f t="shared" si="2"/>
        <v>0</v>
      </c>
      <c r="H19" s="2000">
        <f t="shared" si="2"/>
        <v>114663</v>
      </c>
      <c r="I19" s="2000">
        <f t="shared" si="2"/>
        <v>0</v>
      </c>
      <c r="J19" s="2000">
        <f t="shared" si="2"/>
        <v>0</v>
      </c>
      <c r="K19" s="2000">
        <f t="shared" si="2"/>
        <v>0</v>
      </c>
      <c r="L19" s="2000">
        <f t="shared" si="2"/>
        <v>0</v>
      </c>
      <c r="M19" s="847"/>
      <c r="N19" s="1969"/>
    </row>
    <row r="20" spans="1:14" ht="15.75" thickTop="1" x14ac:dyDescent="0.25">
      <c r="A20" s="1999">
        <v>9</v>
      </c>
      <c r="B20" s="2433" t="s">
        <v>2056</v>
      </c>
      <c r="C20" s="2433"/>
      <c r="D20" s="2434"/>
      <c r="E20" s="1998"/>
      <c r="F20" s="1998"/>
      <c r="G20" s="1998"/>
      <c r="H20" s="1998"/>
      <c r="I20" s="1998"/>
      <c r="J20" s="1998"/>
      <c r="K20" s="1998"/>
      <c r="L20" s="1997" t="str">
        <f>IF(AND(H19&gt;0,L19&gt;0),(((L19-H19)/H19)),"Enter Budget Data")</f>
        <v>Enter Budget Data</v>
      </c>
      <c r="M20" s="847"/>
      <c r="N20" s="1969"/>
    </row>
    <row r="21" spans="1:14" x14ac:dyDescent="0.25">
      <c r="A21" s="1996" t="s">
        <v>194</v>
      </c>
      <c r="B21" s="294" t="s">
        <v>2055</v>
      </c>
      <c r="C21" s="847"/>
      <c r="D21" s="1980"/>
      <c r="E21" s="1979"/>
      <c r="F21" s="1995"/>
      <c r="G21" s="1995"/>
      <c r="H21" s="1995"/>
      <c r="I21" s="1995"/>
      <c r="J21" s="1995"/>
      <c r="K21" s="1995"/>
      <c r="L21" s="1994"/>
      <c r="M21" s="847"/>
      <c r="N21" s="1969"/>
    </row>
    <row r="22" spans="1:14" x14ac:dyDescent="0.25">
      <c r="A22" s="1970"/>
      <c r="B22" s="1982"/>
      <c r="C22" s="847"/>
      <c r="D22" s="847"/>
      <c r="E22" s="847"/>
      <c r="F22" s="847"/>
      <c r="G22" s="847"/>
      <c r="H22" s="847"/>
      <c r="I22" s="847"/>
      <c r="J22" s="847"/>
      <c r="K22" s="847"/>
      <c r="L22" s="847"/>
      <c r="M22" s="847"/>
      <c r="N22" s="1969"/>
    </row>
    <row r="23" spans="1:14" x14ac:dyDescent="0.25">
      <c r="A23" s="1993" t="s">
        <v>132</v>
      </c>
      <c r="B23" s="1982"/>
      <c r="C23" s="847"/>
      <c r="D23" s="847"/>
      <c r="E23" s="847"/>
      <c r="F23" s="847"/>
      <c r="G23" s="847"/>
      <c r="H23" s="847"/>
      <c r="I23" s="847"/>
      <c r="J23" s="847"/>
      <c r="K23" s="847"/>
      <c r="L23" s="847"/>
      <c r="M23" s="847"/>
      <c r="N23" s="1969"/>
    </row>
    <row r="24" spans="1:14" x14ac:dyDescent="0.25">
      <c r="A24" s="1992" t="s">
        <v>2054</v>
      </c>
      <c r="B24" s="1991"/>
      <c r="C24" s="1990"/>
      <c r="D24" s="1990"/>
      <c r="E24" s="1990"/>
      <c r="F24" s="1990"/>
      <c r="G24" s="1990"/>
      <c r="H24" s="1990"/>
      <c r="I24" s="1990"/>
      <c r="J24" s="1990"/>
      <c r="K24" s="1990"/>
      <c r="L24" s="847"/>
      <c r="M24" s="847"/>
      <c r="N24" s="1969"/>
    </row>
    <row r="25" spans="1:14" x14ac:dyDescent="0.25">
      <c r="A25" s="1992" t="s">
        <v>2053</v>
      </c>
      <c r="B25" s="1991"/>
      <c r="C25" s="1990"/>
      <c r="D25" s="1990"/>
      <c r="E25" s="1990"/>
      <c r="F25" s="1990"/>
      <c r="G25" s="1990"/>
      <c r="H25" s="1990"/>
      <c r="I25" s="1990"/>
      <c r="J25" s="1990"/>
      <c r="K25" s="1990"/>
      <c r="L25" s="847"/>
      <c r="M25" s="847"/>
      <c r="N25" s="1969"/>
    </row>
    <row r="26" spans="1:14" x14ac:dyDescent="0.25">
      <c r="A26" s="1989"/>
      <c r="B26" s="1982"/>
      <c r="C26" s="847"/>
      <c r="D26" s="847"/>
      <c r="E26" s="847"/>
      <c r="F26" s="847"/>
      <c r="G26" s="847"/>
      <c r="H26" s="847"/>
      <c r="I26" s="847"/>
      <c r="J26" s="847"/>
      <c r="K26" s="847"/>
      <c r="L26" s="847"/>
      <c r="M26" s="847"/>
      <c r="N26" s="1969"/>
    </row>
    <row r="27" spans="1:14" x14ac:dyDescent="0.25">
      <c r="A27" s="1970"/>
      <c r="B27" s="1982"/>
      <c r="C27" s="2448"/>
      <c r="D27" s="2448"/>
      <c r="E27" s="1988"/>
      <c r="F27" s="2449"/>
      <c r="G27" s="2449"/>
      <c r="H27" s="2449"/>
      <c r="I27" s="847"/>
      <c r="J27" s="847"/>
      <c r="K27" s="847"/>
      <c r="L27" s="847"/>
      <c r="M27" s="847"/>
      <c r="N27" s="1969"/>
    </row>
    <row r="28" spans="1:14" x14ac:dyDescent="0.25">
      <c r="A28" s="1970"/>
      <c r="B28" s="1982"/>
      <c r="C28" s="1987" t="s">
        <v>1025</v>
      </c>
      <c r="D28" s="1986"/>
      <c r="E28" s="1985"/>
      <c r="F28" s="2450" t="s">
        <v>1489</v>
      </c>
      <c r="G28" s="2450"/>
      <c r="H28" s="2450"/>
      <c r="I28" s="847"/>
      <c r="J28" s="847"/>
      <c r="K28" s="847"/>
      <c r="L28" s="847"/>
      <c r="M28" s="847"/>
      <c r="N28" s="1969"/>
    </row>
    <row r="29" spans="1:14" x14ac:dyDescent="0.25">
      <c r="A29" s="1970"/>
      <c r="B29" s="1982"/>
      <c r="C29" s="2451"/>
      <c r="D29" s="2451"/>
      <c r="E29" s="846"/>
      <c r="F29" s="2451"/>
      <c r="G29" s="2451"/>
      <c r="H29" s="2451"/>
      <c r="I29" s="847"/>
      <c r="J29" s="847"/>
      <c r="K29" s="847"/>
      <c r="L29" s="847"/>
      <c r="M29" s="847"/>
      <c r="N29" s="1969"/>
    </row>
    <row r="30" spans="1:14" x14ac:dyDescent="0.25">
      <c r="A30" s="1970"/>
      <c r="B30" s="1982"/>
      <c r="C30" s="1984" t="s">
        <v>1541</v>
      </c>
      <c r="D30" s="847"/>
      <c r="E30" s="1983"/>
      <c r="F30" s="2452" t="s">
        <v>1490</v>
      </c>
      <c r="G30" s="2452"/>
      <c r="H30" s="2452"/>
      <c r="I30" s="847"/>
      <c r="J30" s="847"/>
      <c r="K30" s="847"/>
      <c r="L30" s="847"/>
      <c r="M30" s="847"/>
      <c r="N30" s="1969"/>
    </row>
    <row r="31" spans="1:14" x14ac:dyDescent="0.25">
      <c r="A31" s="1970"/>
      <c r="B31" s="1982"/>
      <c r="C31" s="1981"/>
      <c r="D31" s="847"/>
      <c r="E31" s="1980"/>
      <c r="F31" s="1979"/>
      <c r="G31" s="1979"/>
      <c r="H31" s="1979"/>
      <c r="I31" s="847"/>
      <c r="J31" s="847"/>
      <c r="K31" s="847"/>
      <c r="L31" s="847"/>
      <c r="M31" s="847"/>
      <c r="N31" s="1969"/>
    </row>
    <row r="32" spans="1:14" x14ac:dyDescent="0.25">
      <c r="A32" s="1970"/>
      <c r="B32" s="1978" t="s">
        <v>1026</v>
      </c>
      <c r="C32" s="847"/>
      <c r="D32" s="847"/>
      <c r="E32" s="847"/>
      <c r="F32" s="847"/>
      <c r="G32" s="847"/>
      <c r="H32" s="847"/>
      <c r="I32" s="847"/>
      <c r="J32" s="847"/>
      <c r="K32" s="847"/>
      <c r="L32" s="847"/>
      <c r="M32" s="847"/>
      <c r="N32" s="1969"/>
    </row>
    <row r="33" spans="1:14" x14ac:dyDescent="0.25">
      <c r="A33" s="1970"/>
      <c r="B33" s="1977"/>
      <c r="C33" s="847"/>
      <c r="D33" s="847"/>
      <c r="E33" s="847"/>
      <c r="F33" s="847"/>
      <c r="G33" s="847"/>
      <c r="H33" s="847"/>
      <c r="I33" s="847"/>
      <c r="J33" s="847"/>
      <c r="K33" s="847"/>
      <c r="L33" s="847"/>
      <c r="M33" s="847"/>
      <c r="N33" s="1969"/>
    </row>
    <row r="34" spans="1:14" x14ac:dyDescent="0.25">
      <c r="A34" s="1970"/>
      <c r="B34" s="1972"/>
      <c r="C34" s="2453" t="s">
        <v>2052</v>
      </c>
      <c r="D34" s="2453"/>
      <c r="E34" s="2453"/>
      <c r="F34" s="2453"/>
      <c r="G34" s="2453"/>
      <c r="H34" s="2453"/>
      <c r="I34" s="2453"/>
      <c r="J34" s="2453"/>
      <c r="K34" s="1976"/>
      <c r="L34" s="847"/>
      <c r="M34" s="847"/>
      <c r="N34" s="1969"/>
    </row>
    <row r="35" spans="1:14" x14ac:dyDescent="0.25">
      <c r="A35" s="1970"/>
      <c r="B35" s="847"/>
      <c r="C35" s="2453"/>
      <c r="D35" s="2453"/>
      <c r="E35" s="2453"/>
      <c r="F35" s="2453"/>
      <c r="G35" s="2453"/>
      <c r="H35" s="2453"/>
      <c r="I35" s="2453"/>
      <c r="J35" s="2453"/>
      <c r="K35" s="1976"/>
      <c r="L35" s="847"/>
      <c r="M35" s="847"/>
      <c r="N35" s="1969"/>
    </row>
    <row r="36" spans="1:14" x14ac:dyDescent="0.25">
      <c r="A36" s="1970"/>
      <c r="B36" s="847"/>
      <c r="C36" s="1975"/>
      <c r="D36" s="847"/>
      <c r="E36" s="847"/>
      <c r="F36" s="847"/>
      <c r="G36" s="847"/>
      <c r="H36" s="847"/>
      <c r="I36" s="847"/>
      <c r="J36" s="847"/>
      <c r="K36" s="847"/>
      <c r="L36" s="847"/>
      <c r="M36" s="847"/>
      <c r="N36" s="1969"/>
    </row>
    <row r="37" spans="1:14" x14ac:dyDescent="0.25">
      <c r="A37" s="1970"/>
      <c r="B37" s="1972"/>
      <c r="C37" s="2453" t="s">
        <v>2051</v>
      </c>
      <c r="D37" s="2453"/>
      <c r="E37" s="2453"/>
      <c r="F37" s="2453"/>
      <c r="G37" s="2453"/>
      <c r="H37" s="2453"/>
      <c r="I37" s="2453"/>
      <c r="J37" s="2453"/>
      <c r="K37" s="1976"/>
      <c r="L37" s="838"/>
      <c r="M37" s="847"/>
      <c r="N37" s="1969"/>
    </row>
    <row r="38" spans="1:14" x14ac:dyDescent="0.25">
      <c r="A38" s="1970"/>
      <c r="B38" s="847"/>
      <c r="C38" s="2453"/>
      <c r="D38" s="2453"/>
      <c r="E38" s="2453"/>
      <c r="F38" s="2453"/>
      <c r="G38" s="2453"/>
      <c r="H38" s="2453"/>
      <c r="I38" s="2453"/>
      <c r="J38" s="2453"/>
      <c r="K38" s="1976"/>
      <c r="L38" s="838"/>
      <c r="M38" s="847"/>
      <c r="N38" s="1969"/>
    </row>
    <row r="39" spans="1:14" x14ac:dyDescent="0.25">
      <c r="A39" s="1970"/>
      <c r="B39" s="847"/>
      <c r="C39" s="1975"/>
      <c r="D39" s="847"/>
      <c r="E39" s="1973"/>
      <c r="F39" s="1974"/>
      <c r="G39" s="1974"/>
      <c r="H39" s="1973"/>
      <c r="I39" s="847"/>
      <c r="J39" s="847"/>
      <c r="K39" s="847"/>
      <c r="L39" s="847"/>
      <c r="M39" s="847"/>
      <c r="N39" s="1969"/>
    </row>
    <row r="40" spans="1:14" x14ac:dyDescent="0.25">
      <c r="A40" s="1970"/>
      <c r="B40" s="1972"/>
      <c r="C40" s="2454" t="s">
        <v>2050</v>
      </c>
      <c r="D40" s="2455"/>
      <c r="E40" s="2455"/>
      <c r="F40" s="2455"/>
      <c r="G40" s="2455"/>
      <c r="H40" s="2455"/>
      <c r="I40" s="2455"/>
      <c r="J40" s="2455"/>
      <c r="K40" s="1971"/>
      <c r="L40" s="847"/>
      <c r="M40" s="847"/>
      <c r="N40" s="1969"/>
    </row>
    <row r="41" spans="1:14" x14ac:dyDescent="0.25">
      <c r="A41" s="1970"/>
      <c r="B41" s="847"/>
      <c r="C41" s="839"/>
      <c r="D41" s="839"/>
      <c r="E41" s="839"/>
      <c r="F41" s="839"/>
      <c r="G41" s="839"/>
      <c r="H41" s="839"/>
      <c r="I41" s="839"/>
      <c r="J41" s="839"/>
      <c r="K41" s="839"/>
      <c r="L41" s="847"/>
      <c r="M41" s="847"/>
      <c r="N41" s="1969"/>
    </row>
    <row r="42" spans="1:14" ht="15.75" thickBot="1" x14ac:dyDescent="0.3">
      <c r="A42" s="1968"/>
      <c r="B42" s="1967"/>
      <c r="C42" s="1967"/>
      <c r="D42" s="1967"/>
      <c r="E42" s="1967"/>
      <c r="F42" s="1967"/>
      <c r="G42" s="1967"/>
      <c r="H42" s="1967"/>
      <c r="I42" s="1967"/>
      <c r="J42" s="1967"/>
      <c r="K42" s="1967"/>
      <c r="L42" s="1967"/>
      <c r="M42" s="1967"/>
      <c r="N42" s="1966"/>
    </row>
    <row r="43" spans="1:14" ht="27" thickBot="1" x14ac:dyDescent="0.45">
      <c r="A43" s="2456" t="s">
        <v>2049</v>
      </c>
      <c r="B43" s="2457"/>
      <c r="C43" s="2457"/>
      <c r="D43" s="2457"/>
      <c r="E43" s="2457"/>
      <c r="F43" s="2457"/>
      <c r="G43" s="2457"/>
      <c r="H43" s="2457"/>
      <c r="I43" s="2457"/>
      <c r="J43" s="2457"/>
      <c r="K43" s="2457"/>
      <c r="L43" s="2457"/>
      <c r="M43" s="2457"/>
      <c r="N43" s="2458"/>
    </row>
    <row r="44" spans="1:14" x14ac:dyDescent="0.25">
      <c r="A44" s="1957"/>
      <c r="B44" s="1956"/>
      <c r="C44" s="1956"/>
      <c r="D44" s="1956"/>
      <c r="E44" s="1956"/>
      <c r="F44" s="1956"/>
      <c r="G44" s="1956"/>
      <c r="H44" s="1956"/>
      <c r="I44" s="1956"/>
      <c r="J44" s="1956"/>
      <c r="K44" s="1956"/>
      <c r="L44" s="1956"/>
      <c r="M44" s="1956"/>
      <c r="N44" s="1955"/>
    </row>
    <row r="45" spans="1:14" x14ac:dyDescent="0.25">
      <c r="A45" s="1957" t="s">
        <v>2048</v>
      </c>
      <c r="B45" s="1956"/>
      <c r="C45" s="1956"/>
      <c r="D45" s="1956"/>
      <c r="E45" s="1956"/>
      <c r="F45" s="1956"/>
      <c r="G45" s="1956"/>
      <c r="H45" s="1956"/>
      <c r="I45" s="1956"/>
      <c r="J45" s="1956"/>
      <c r="K45" s="1956"/>
      <c r="L45" s="1956"/>
      <c r="M45" s="1956"/>
      <c r="N45" s="1955"/>
    </row>
    <row r="46" spans="1:14" x14ac:dyDescent="0.25">
      <c r="A46" s="2459" t="s">
        <v>2047</v>
      </c>
      <c r="B46" s="2460"/>
      <c r="C46" s="2460"/>
      <c r="D46" s="2460"/>
      <c r="E46" s="2460"/>
      <c r="F46" s="2460"/>
      <c r="G46" s="2460"/>
      <c r="H46" s="2460"/>
      <c r="I46" s="2460"/>
      <c r="J46" s="2460"/>
      <c r="K46" s="2460"/>
      <c r="L46" s="2460"/>
      <c r="M46" s="2460"/>
      <c r="N46" s="2461"/>
    </row>
    <row r="47" spans="1:14" x14ac:dyDescent="0.25">
      <c r="A47" s="2459"/>
      <c r="B47" s="2460"/>
      <c r="C47" s="2460"/>
      <c r="D47" s="2460"/>
      <c r="E47" s="2460"/>
      <c r="F47" s="2460"/>
      <c r="G47" s="2460"/>
      <c r="H47" s="2460"/>
      <c r="I47" s="2460"/>
      <c r="J47" s="2460"/>
      <c r="K47" s="2460"/>
      <c r="L47" s="2460"/>
      <c r="M47" s="2460"/>
      <c r="N47" s="2461"/>
    </row>
    <row r="48" spans="1:14" x14ac:dyDescent="0.25">
      <c r="A48" s="1965"/>
      <c r="B48" s="1956"/>
      <c r="C48" s="1956"/>
      <c r="D48" s="1964"/>
      <c r="E48" s="1964"/>
      <c r="F48" s="1964"/>
      <c r="G48" s="1964"/>
      <c r="H48" s="1964"/>
      <c r="I48" s="1964"/>
      <c r="J48" s="1964"/>
      <c r="K48" s="1964"/>
      <c r="L48" s="1964"/>
      <c r="M48" s="1964"/>
      <c r="N48" s="1963"/>
    </row>
    <row r="49" spans="1:14" ht="15.75" x14ac:dyDescent="0.25">
      <c r="A49" s="1959" t="s">
        <v>2046</v>
      </c>
      <c r="B49" s="1962"/>
      <c r="C49" s="1962"/>
      <c r="D49" s="1961"/>
      <c r="E49" s="1961"/>
      <c r="F49" s="1961"/>
      <c r="G49" s="1961"/>
      <c r="H49" s="1961"/>
      <c r="I49" s="1961"/>
      <c r="J49" s="1961"/>
      <c r="K49" s="1961"/>
      <c r="L49" s="1961"/>
      <c r="M49" s="1961"/>
      <c r="N49" s="1960"/>
    </row>
    <row r="50" spans="1:14" x14ac:dyDescent="0.25">
      <c r="A50" s="1959" t="s">
        <v>2045</v>
      </c>
      <c r="B50" s="1956"/>
      <c r="C50" s="1956"/>
      <c r="D50" s="1956"/>
      <c r="E50" s="1956"/>
      <c r="F50" s="1956"/>
      <c r="G50" s="1956"/>
      <c r="H50" s="1956"/>
      <c r="I50" s="1956"/>
      <c r="J50" s="1956"/>
      <c r="K50" s="1956"/>
      <c r="L50" s="1956"/>
      <c r="M50" s="1956"/>
      <c r="N50" s="1955"/>
    </row>
    <row r="51" spans="1:14" x14ac:dyDescent="0.25">
      <c r="A51" s="1957"/>
      <c r="B51" s="1956"/>
      <c r="C51" s="1956"/>
      <c r="D51" s="1956"/>
      <c r="E51" s="1956"/>
      <c r="F51" s="1956"/>
      <c r="G51" s="1956"/>
      <c r="H51" s="1956"/>
      <c r="I51" s="1956"/>
      <c r="J51" s="1956"/>
      <c r="K51" s="1956"/>
      <c r="L51" s="1956"/>
      <c r="M51" s="1956"/>
      <c r="N51" s="1955"/>
    </row>
    <row r="52" spans="1:14" x14ac:dyDescent="0.25">
      <c r="A52" s="1957"/>
      <c r="B52" s="1956"/>
      <c r="C52" s="1956"/>
      <c r="D52" s="1956"/>
      <c r="E52" s="1956"/>
      <c r="F52" s="1956"/>
      <c r="G52" s="1956"/>
      <c r="H52" s="1956"/>
      <c r="I52" s="1956"/>
      <c r="J52" s="1956"/>
      <c r="K52" s="1958" t="s">
        <v>1020</v>
      </c>
      <c r="L52" s="2446" t="str">
        <f>J6</f>
        <v xml:space="preserve"> North Suburban Ed Reg for Vocation</v>
      </c>
      <c r="M52" s="2446"/>
      <c r="N52" s="2447"/>
    </row>
    <row r="53" spans="1:14" x14ac:dyDescent="0.25">
      <c r="A53" s="1957"/>
      <c r="B53" s="1956"/>
      <c r="C53" s="1956"/>
      <c r="D53" s="1956"/>
      <c r="E53" s="1956"/>
      <c r="F53" s="1956"/>
      <c r="G53" s="1956"/>
      <c r="H53" s="1956"/>
      <c r="I53" s="1956"/>
      <c r="J53" s="1956"/>
      <c r="K53" s="1958" t="s">
        <v>369</v>
      </c>
      <c r="L53" s="2464">
        <f>J7</f>
        <v>5016207046</v>
      </c>
      <c r="M53" s="2464"/>
      <c r="N53" s="2465"/>
    </row>
    <row r="54" spans="1:14" ht="15.75" thickBot="1" x14ac:dyDescent="0.3">
      <c r="A54" s="1957"/>
      <c r="B54" s="1956"/>
      <c r="C54" s="1956"/>
      <c r="D54" s="1956"/>
      <c r="E54" s="1956"/>
      <c r="F54" s="1956"/>
      <c r="G54" s="1956"/>
      <c r="H54" s="1956"/>
      <c r="I54" s="1956"/>
      <c r="J54" s="1956"/>
      <c r="K54" s="1956"/>
      <c r="L54" s="1956"/>
      <c r="M54" s="1956"/>
      <c r="N54" s="1955"/>
    </row>
    <row r="55" spans="1:14" x14ac:dyDescent="0.25">
      <c r="A55" s="2466"/>
      <c r="B55" s="2467"/>
      <c r="C55" s="2467"/>
      <c r="D55" s="1939"/>
      <c r="E55" s="1939"/>
      <c r="F55" s="1939"/>
      <c r="G55" s="2468" t="s">
        <v>2044</v>
      </c>
      <c r="H55" s="2468"/>
      <c r="I55" s="2468"/>
      <c r="J55" s="2468"/>
      <c r="K55" s="2468"/>
      <c r="L55" s="2468"/>
      <c r="M55" s="2468"/>
      <c r="N55" s="2469"/>
    </row>
    <row r="56" spans="1:14" ht="64.5" x14ac:dyDescent="0.25">
      <c r="A56" s="2470" t="s">
        <v>2043</v>
      </c>
      <c r="B56" s="2471"/>
      <c r="C56" s="2472"/>
      <c r="D56" s="1953" t="s">
        <v>2042</v>
      </c>
      <c r="E56" s="1953" t="s">
        <v>2041</v>
      </c>
      <c r="F56" s="1954"/>
      <c r="G56" s="1953" t="s">
        <v>2040</v>
      </c>
      <c r="H56" s="1953" t="s">
        <v>2039</v>
      </c>
      <c r="I56" s="1953" t="s">
        <v>2038</v>
      </c>
      <c r="J56" s="1953" t="s">
        <v>2037</v>
      </c>
      <c r="K56" s="1953" t="s">
        <v>2036</v>
      </c>
      <c r="L56" s="1953" t="s">
        <v>2035</v>
      </c>
      <c r="M56" s="1953" t="s">
        <v>2034</v>
      </c>
      <c r="N56" s="1952" t="s">
        <v>2033</v>
      </c>
    </row>
    <row r="57" spans="1:14" ht="24" customHeight="1" x14ac:dyDescent="0.25">
      <c r="A57" s="2473" t="s">
        <v>296</v>
      </c>
      <c r="B57" s="2474"/>
      <c r="C57" s="2474"/>
      <c r="D57" s="1951">
        <v>2361</v>
      </c>
      <c r="E57" s="1950">
        <f>'Expenditures 15-22'!K319</f>
        <v>0</v>
      </c>
      <c r="F57" s="1943"/>
      <c r="G57" s="1949"/>
      <c r="H57" s="1948"/>
      <c r="I57" s="1948"/>
      <c r="J57" s="1948"/>
      <c r="K57" s="1948"/>
      <c r="L57" s="1948"/>
      <c r="M57" s="1948"/>
      <c r="N57" s="1940">
        <f t="shared" ref="N57:N67" si="3">IF((SUM(G57:M57))=E57,SUM(G57:M57),"Column N does not agree with Column E")</f>
        <v>0</v>
      </c>
    </row>
    <row r="58" spans="1:14" ht="24.75" customHeight="1" x14ac:dyDescent="0.25">
      <c r="A58" s="2475" t="s">
        <v>2032</v>
      </c>
      <c r="B58" s="2476"/>
      <c r="C58" s="2476"/>
      <c r="D58" s="1947">
        <v>2362</v>
      </c>
      <c r="E58" s="1950">
        <f>'Expenditures 15-22'!K320</f>
        <v>0</v>
      </c>
      <c r="F58" s="1943"/>
      <c r="G58" s="1946"/>
      <c r="H58" s="1945"/>
      <c r="I58" s="1945"/>
      <c r="J58" s="1945"/>
      <c r="K58" s="1945"/>
      <c r="L58" s="1945"/>
      <c r="M58" s="1945"/>
      <c r="N58" s="1940">
        <f t="shared" si="3"/>
        <v>0</v>
      </c>
    </row>
    <row r="59" spans="1:14" ht="24.75" customHeight="1" x14ac:dyDescent="0.25">
      <c r="A59" s="2462" t="s">
        <v>297</v>
      </c>
      <c r="B59" s="2463"/>
      <c r="C59" s="2463"/>
      <c r="D59" s="1947">
        <v>2363</v>
      </c>
      <c r="E59" s="1950">
        <f>'Expenditures 15-22'!K321</f>
        <v>0</v>
      </c>
      <c r="F59" s="1943"/>
      <c r="G59" s="1946"/>
      <c r="H59" s="1945"/>
      <c r="I59" s="1945"/>
      <c r="J59" s="1945"/>
      <c r="K59" s="1945"/>
      <c r="L59" s="1945"/>
      <c r="M59" s="1945"/>
      <c r="N59" s="1940">
        <f t="shared" si="3"/>
        <v>0</v>
      </c>
    </row>
    <row r="60" spans="1:14" ht="24.75" customHeight="1" x14ac:dyDescent="0.25">
      <c r="A60" s="2462" t="s">
        <v>236</v>
      </c>
      <c r="B60" s="2463"/>
      <c r="C60" s="2463"/>
      <c r="D60" s="1947">
        <v>2364</v>
      </c>
      <c r="E60" s="1950">
        <f>'Expenditures 15-22'!K322</f>
        <v>0</v>
      </c>
      <c r="F60" s="1943"/>
      <c r="G60" s="1946"/>
      <c r="H60" s="1945"/>
      <c r="I60" s="1945"/>
      <c r="J60" s="1945"/>
      <c r="K60" s="1945"/>
      <c r="L60" s="1945"/>
      <c r="M60" s="1945"/>
      <c r="N60" s="1940">
        <f t="shared" si="3"/>
        <v>0</v>
      </c>
    </row>
    <row r="61" spans="1:14" ht="24.75" customHeight="1" x14ac:dyDescent="0.25">
      <c r="A61" s="2462" t="s">
        <v>696</v>
      </c>
      <c r="B61" s="2463"/>
      <c r="C61" s="2463"/>
      <c r="D61" s="1947">
        <v>2365</v>
      </c>
      <c r="E61" s="1950">
        <f>'Expenditures 15-22'!K323</f>
        <v>0</v>
      </c>
      <c r="F61" s="1943"/>
      <c r="G61" s="1946"/>
      <c r="H61" s="1945"/>
      <c r="I61" s="1945"/>
      <c r="J61" s="1945"/>
      <c r="K61" s="1945"/>
      <c r="L61" s="1945"/>
      <c r="M61" s="1945"/>
      <c r="N61" s="1940">
        <f t="shared" si="3"/>
        <v>0</v>
      </c>
    </row>
    <row r="62" spans="1:14" ht="24.75" customHeight="1" x14ac:dyDescent="0.25">
      <c r="A62" s="2462" t="s">
        <v>237</v>
      </c>
      <c r="B62" s="2463"/>
      <c r="C62" s="2463"/>
      <c r="D62" s="1947">
        <v>2366</v>
      </c>
      <c r="E62" s="1950">
        <f>'Expenditures 15-22'!K324</f>
        <v>0</v>
      </c>
      <c r="F62" s="1943"/>
      <c r="G62" s="1946"/>
      <c r="H62" s="1945"/>
      <c r="I62" s="1945"/>
      <c r="J62" s="1945"/>
      <c r="K62" s="1945"/>
      <c r="L62" s="1945"/>
      <c r="M62" s="1945"/>
      <c r="N62" s="1940">
        <f t="shared" si="3"/>
        <v>0</v>
      </c>
    </row>
    <row r="63" spans="1:14" ht="24.75" customHeight="1" x14ac:dyDescent="0.25">
      <c r="A63" s="2475" t="s">
        <v>1021</v>
      </c>
      <c r="B63" s="2476"/>
      <c r="C63" s="2476"/>
      <c r="D63" s="1947">
        <v>2367</v>
      </c>
      <c r="E63" s="1950">
        <f>'Expenditures 15-22'!K325</f>
        <v>0</v>
      </c>
      <c r="F63" s="1943"/>
      <c r="G63" s="1946"/>
      <c r="H63" s="1945"/>
      <c r="I63" s="1945"/>
      <c r="J63" s="1945"/>
      <c r="K63" s="1945"/>
      <c r="L63" s="1945"/>
      <c r="M63" s="1945"/>
      <c r="N63" s="1940">
        <f t="shared" si="3"/>
        <v>0</v>
      </c>
    </row>
    <row r="64" spans="1:14" ht="24.75" customHeight="1" x14ac:dyDescent="0.25">
      <c r="A64" s="2462" t="s">
        <v>1022</v>
      </c>
      <c r="B64" s="2463"/>
      <c r="C64" s="2463"/>
      <c r="D64" s="1947">
        <v>2368</v>
      </c>
      <c r="E64" s="1950">
        <f>'Expenditures 15-22'!K326</f>
        <v>0</v>
      </c>
      <c r="F64" s="1943"/>
      <c r="G64" s="1946"/>
      <c r="H64" s="1945"/>
      <c r="I64" s="1945"/>
      <c r="J64" s="1945"/>
      <c r="K64" s="1945"/>
      <c r="L64" s="1945"/>
      <c r="M64" s="1945"/>
      <c r="N64" s="1940">
        <f t="shared" si="3"/>
        <v>0</v>
      </c>
    </row>
    <row r="65" spans="1:14" ht="24" customHeight="1" x14ac:dyDescent="0.25">
      <c r="A65" s="2462" t="s">
        <v>964</v>
      </c>
      <c r="B65" s="2463"/>
      <c r="C65" s="2463"/>
      <c r="D65" s="1947">
        <v>2369</v>
      </c>
      <c r="E65" s="1950">
        <f>'Expenditures 15-22'!K327</f>
        <v>0</v>
      </c>
      <c r="F65" s="1943"/>
      <c r="G65" s="1946"/>
      <c r="H65" s="1945"/>
      <c r="I65" s="1945"/>
      <c r="J65" s="1945"/>
      <c r="K65" s="1945"/>
      <c r="L65" s="1945"/>
      <c r="M65" s="1945"/>
      <c r="N65" s="1940">
        <f t="shared" si="3"/>
        <v>0</v>
      </c>
    </row>
    <row r="66" spans="1:14" ht="24.75" customHeight="1" x14ac:dyDescent="0.25">
      <c r="A66" s="2462" t="s">
        <v>469</v>
      </c>
      <c r="B66" s="2463"/>
      <c r="C66" s="2463"/>
      <c r="D66" s="1947">
        <v>2371</v>
      </c>
      <c r="E66" s="1950">
        <f>'Expenditures 15-22'!K328</f>
        <v>0</v>
      </c>
      <c r="F66" s="1943"/>
      <c r="G66" s="1946"/>
      <c r="H66" s="1945"/>
      <c r="I66" s="1945"/>
      <c r="J66" s="1945"/>
      <c r="K66" s="1945"/>
      <c r="L66" s="1945"/>
      <c r="M66" s="1945"/>
      <c r="N66" s="1940">
        <f t="shared" si="3"/>
        <v>0</v>
      </c>
    </row>
    <row r="67" spans="1:14" ht="24.75" customHeight="1" x14ac:dyDescent="0.25">
      <c r="A67" s="2482" t="s">
        <v>2031</v>
      </c>
      <c r="B67" s="2483"/>
      <c r="C67" s="2483"/>
      <c r="D67" s="1944">
        <v>2372</v>
      </c>
      <c r="E67" s="1950">
        <f>'Expenditures 15-22'!K329</f>
        <v>0</v>
      </c>
      <c r="F67" s="1943"/>
      <c r="G67" s="1942"/>
      <c r="H67" s="1941"/>
      <c r="I67" s="1941"/>
      <c r="J67" s="1941"/>
      <c r="K67" s="1941"/>
      <c r="L67" s="1941"/>
      <c r="M67" s="1941"/>
      <c r="N67" s="1940">
        <f t="shared" si="3"/>
        <v>0</v>
      </c>
    </row>
    <row r="68" spans="1:14" x14ac:dyDescent="0.25">
      <c r="A68" s="2484" t="s">
        <v>1150</v>
      </c>
      <c r="B68" s="2485"/>
      <c r="C68" s="2485"/>
      <c r="D68" s="1939"/>
      <c r="E68" s="1937">
        <f>SUM(E57:E67)</f>
        <v>0</v>
      </c>
      <c r="F68" s="1938"/>
      <c r="G68" s="1937">
        <f t="shared" ref="G68:N68" si="4">SUM(G57:G67)</f>
        <v>0</v>
      </c>
      <c r="H68" s="1937">
        <f t="shared" si="4"/>
        <v>0</v>
      </c>
      <c r="I68" s="1937">
        <f t="shared" si="4"/>
        <v>0</v>
      </c>
      <c r="J68" s="1937">
        <f t="shared" si="4"/>
        <v>0</v>
      </c>
      <c r="K68" s="1937">
        <f t="shared" si="4"/>
        <v>0</v>
      </c>
      <c r="L68" s="1937">
        <f t="shared" si="4"/>
        <v>0</v>
      </c>
      <c r="M68" s="1937">
        <f t="shared" si="4"/>
        <v>0</v>
      </c>
      <c r="N68" s="1936">
        <f t="shared" si="4"/>
        <v>0</v>
      </c>
    </row>
    <row r="69" spans="1:14" x14ac:dyDescent="0.25">
      <c r="A69" s="1932"/>
      <c r="B69" s="1931"/>
      <c r="C69" s="1931"/>
      <c r="D69" s="1931"/>
      <c r="E69" s="1931"/>
      <c r="F69" s="1931"/>
      <c r="G69" s="1931"/>
      <c r="H69" s="1935" t="s">
        <v>2030</v>
      </c>
      <c r="I69" s="1931"/>
      <c r="J69" s="1931"/>
      <c r="K69" s="1931"/>
      <c r="L69" s="1935" t="s">
        <v>2029</v>
      </c>
      <c r="M69" s="1931"/>
      <c r="N69" s="1934"/>
    </row>
    <row r="70" spans="1:14" ht="46.5" customHeight="1" x14ac:dyDescent="0.25">
      <c r="A70" s="1933" t="s">
        <v>2028</v>
      </c>
      <c r="B70" s="1931"/>
      <c r="C70" s="1931"/>
      <c r="D70" s="1931"/>
      <c r="E70" s="1931"/>
      <c r="F70" s="1931"/>
      <c r="G70" s="1931"/>
      <c r="H70" s="2478" t="s">
        <v>2027</v>
      </c>
      <c r="I70" s="2478"/>
      <c r="J70" s="2478"/>
      <c r="K70" s="1931"/>
      <c r="L70" s="2478" t="s">
        <v>2026</v>
      </c>
      <c r="M70" s="2478"/>
      <c r="N70" s="2479"/>
    </row>
    <row r="71" spans="1:14" ht="42.75" customHeight="1" x14ac:dyDescent="0.25">
      <c r="A71" s="1932"/>
      <c r="B71" s="1931"/>
      <c r="C71" s="1931"/>
      <c r="D71" s="1931"/>
      <c r="E71" s="1931"/>
      <c r="F71" s="1931"/>
      <c r="G71" s="1931"/>
      <c r="H71" s="2478" t="s">
        <v>2025</v>
      </c>
      <c r="I71" s="2478"/>
      <c r="J71" s="2478"/>
      <c r="K71" s="1931"/>
      <c r="L71" s="2480" t="s">
        <v>2024</v>
      </c>
      <c r="M71" s="2480"/>
      <c r="N71" s="2481"/>
    </row>
    <row r="72" spans="1:14" ht="52.5" customHeight="1" thickBot="1" x14ac:dyDescent="0.3">
      <c r="A72" s="1930"/>
      <c r="B72" s="1929"/>
      <c r="C72" s="1929"/>
      <c r="D72" s="1929"/>
      <c r="E72" s="1929"/>
      <c r="F72" s="1929"/>
      <c r="G72" s="1929"/>
      <c r="H72" s="2477" t="s">
        <v>2023</v>
      </c>
      <c r="I72" s="2477"/>
      <c r="J72" s="2477"/>
      <c r="K72" s="1929"/>
      <c r="L72" s="1929"/>
      <c r="M72" s="1929"/>
      <c r="N72" s="1928"/>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B65"/>
  <sheetViews>
    <sheetView showGridLines="0" zoomScale="110" zoomScaleNormal="110" workbookViewId="0">
      <selection activeCell="B15" sqref="B1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2048">
        <v>1</v>
      </c>
      <c r="B5" s="2047" t="s">
        <v>2079</v>
      </c>
    </row>
    <row r="6" spans="1:2" x14ac:dyDescent="0.2">
      <c r="A6" s="2048"/>
      <c r="B6" s="2050" t="s">
        <v>2078</v>
      </c>
    </row>
    <row r="7" spans="1:2" x14ac:dyDescent="0.2">
      <c r="A7" s="840"/>
    </row>
    <row r="8" spans="1:2" x14ac:dyDescent="0.2">
      <c r="A8" s="2048" t="s">
        <v>2076</v>
      </c>
      <c r="B8" s="2046"/>
    </row>
    <row r="9" spans="1:2" x14ac:dyDescent="0.2">
      <c r="A9" s="2049"/>
      <c r="B9" s="2047" t="s">
        <v>2077</v>
      </c>
    </row>
    <row r="10" spans="1:2" x14ac:dyDescent="0.2">
      <c r="A10" s="841"/>
    </row>
    <row r="11" spans="1:2" x14ac:dyDescent="0.2">
      <c r="A11" s="841"/>
    </row>
    <row r="12" spans="1:2" x14ac:dyDescent="0.2">
      <c r="A12" s="2044"/>
      <c r="B12" s="2042"/>
    </row>
    <row r="13" spans="1:2" x14ac:dyDescent="0.2">
      <c r="A13" s="2045"/>
      <c r="B13" s="2043"/>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North Suburban Ed Reg for Vocation</v>
      </c>
    </row>
    <row r="65" spans="2:2" x14ac:dyDescent="0.2">
      <c r="B65" s="842">
        <f>COVER!A13</f>
        <v>5016207046</v>
      </c>
    </row>
  </sheetData>
  <phoneticPr fontId="17"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topLeftCell="A16"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67" t="s">
        <v>1055</v>
      </c>
      <c r="B35" s="2167"/>
      <c r="C35" s="2167"/>
      <c r="D35" s="2167"/>
      <c r="E35" s="216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4" t="s">
        <v>685</v>
      </c>
      <c r="B40" s="2164"/>
      <c r="C40" s="2164"/>
      <c r="D40" s="2164"/>
      <c r="E40" s="2164"/>
    </row>
    <row r="41" spans="1:5" x14ac:dyDescent="0.2">
      <c r="A41" s="2165" t="s">
        <v>1588</v>
      </c>
      <c r="B41" s="2165"/>
      <c r="C41" s="2165"/>
      <c r="D41" s="2165"/>
      <c r="E41" s="2165"/>
    </row>
    <row r="42" spans="1:5" ht="12.75" customHeight="1" x14ac:dyDescent="0.2">
      <c r="A42" s="2166" t="s">
        <v>1014</v>
      </c>
      <c r="B42" s="2166"/>
      <c r="C42" s="2166"/>
      <c r="D42" s="2166"/>
      <c r="E42" s="2166"/>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B5" sqref="B5"/>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86" t="s">
        <v>1662</v>
      </c>
      <c r="B18" s="2486"/>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11" r:id="rId4">
          <objectPr defaultSize="0" r:id="rId5">
            <anchor moveWithCells="1">
              <from>
                <xdr:col>1</xdr:col>
                <xdr:colOff>123825</xdr:colOff>
                <xdr:row>6</xdr:row>
                <xdr:rowOff>38100</xdr:rowOff>
              </from>
              <to>
                <xdr:col>1</xdr:col>
                <xdr:colOff>1076325</xdr:colOff>
                <xdr:row>11</xdr:row>
                <xdr:rowOff>28575</xdr:rowOff>
              </to>
            </anchor>
          </objectPr>
        </oleObject>
      </mc:Choice>
      <mc:Fallback>
        <oleObject progId="Acrobat Document" dvAspect="DVASPECT_ICON" shapeId="43011" r:id="rId4"/>
      </mc:Fallback>
    </mc:AlternateContent>
    <mc:AlternateContent xmlns:mc="http://schemas.openxmlformats.org/markup-compatibility/2006">
      <mc:Choice Requires="x14">
        <oleObject progId="Acrobat Document" dvAspect="DVASPECT_ICON" shapeId="43012" r:id="rId6">
          <objectPr defaultSize="0" r:id="rId7">
            <anchor moveWithCells="1">
              <from>
                <xdr:col>1</xdr:col>
                <xdr:colOff>1238250</xdr:colOff>
                <xdr:row>6</xdr:row>
                <xdr:rowOff>38100</xdr:rowOff>
              </from>
              <to>
                <xdr:col>1</xdr:col>
                <xdr:colOff>2190750</xdr:colOff>
                <xdr:row>11</xdr:row>
                <xdr:rowOff>28575</xdr:rowOff>
              </to>
            </anchor>
          </objectPr>
        </oleObject>
      </mc:Choice>
      <mc:Fallback>
        <oleObject progId="Acrobat Document" dvAspect="DVASPECT_ICON" shapeId="4301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7" t="s">
        <v>1666</v>
      </c>
      <c r="B1" s="2488"/>
      <c r="C1" s="2488"/>
      <c r="D1" s="2488"/>
      <c r="E1" s="2488"/>
      <c r="F1" s="2489"/>
    </row>
    <row r="2" spans="1:8" ht="45" customHeight="1" x14ac:dyDescent="0.2">
      <c r="A2" s="249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8"/>
      <c r="C2" s="2498"/>
      <c r="D2" s="2498"/>
      <c r="E2" s="2498"/>
      <c r="F2" s="2499"/>
      <c r="G2" s="846"/>
      <c r="H2" s="846"/>
    </row>
    <row r="3" spans="1:8" ht="57" customHeight="1" x14ac:dyDescent="0.2">
      <c r="A3" s="2500" t="s">
        <v>1969</v>
      </c>
      <c r="B3" s="2501"/>
      <c r="C3" s="2501"/>
      <c r="D3" s="2501"/>
      <c r="E3" s="2501"/>
      <c r="F3" s="2502"/>
      <c r="G3" s="846"/>
      <c r="H3" s="846"/>
    </row>
    <row r="4" spans="1:8" ht="14.25" customHeight="1" x14ac:dyDescent="0.2">
      <c r="A4" s="250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7"/>
      <c r="C4" s="2507"/>
      <c r="D4" s="2507"/>
      <c r="E4" s="2507"/>
      <c r="F4" s="2508"/>
      <c r="G4" s="846"/>
      <c r="H4" s="846"/>
    </row>
    <row r="5" spans="1:8" ht="14.25" customHeight="1" x14ac:dyDescent="0.2">
      <c r="A5" s="250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0"/>
      <c r="C5" s="2510"/>
      <c r="D5" s="2510"/>
      <c r="E5" s="2510"/>
      <c r="F5" s="2511"/>
      <c r="G5" s="846"/>
      <c r="H5" s="846"/>
    </row>
    <row r="6" spans="1:8" s="847" customFormat="1" ht="41.25" customHeight="1" x14ac:dyDescent="0.2">
      <c r="A6" s="2503" t="s">
        <v>1667</v>
      </c>
      <c r="B6" s="2504"/>
      <c r="C6" s="2504"/>
      <c r="D6" s="2504"/>
      <c r="E6" s="2504"/>
      <c r="F6" s="2505"/>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1462182</v>
      </c>
      <c r="C8" s="1802">
        <f>'Acct Summary 7-8'!D8</f>
        <v>0</v>
      </c>
      <c r="D8" s="1802">
        <f>'Acct Summary 7-8'!F8</f>
        <v>0</v>
      </c>
      <c r="E8" s="1802">
        <f>'Acct Summary 7-8'!I8</f>
        <v>0</v>
      </c>
      <c r="F8" s="1802">
        <f>SUM(B8:E8)</f>
        <v>1462182</v>
      </c>
    </row>
    <row r="9" spans="1:8" s="851" customFormat="1" ht="14.25" customHeight="1" thickBot="1" x14ac:dyDescent="0.25">
      <c r="A9" s="850" t="s">
        <v>1351</v>
      </c>
      <c r="B9" s="1803">
        <f>'Acct Summary 7-8'!C17</f>
        <v>1470954</v>
      </c>
      <c r="C9" s="1803">
        <f>'Acct Summary 7-8'!D17</f>
        <v>0</v>
      </c>
      <c r="D9" s="1803">
        <f>'Acct Summary 7-8'!F17</f>
        <v>0</v>
      </c>
      <c r="E9" s="1802"/>
      <c r="F9" s="1802">
        <f>SUM(B9:E9)</f>
        <v>1470954</v>
      </c>
    </row>
    <row r="10" spans="1:8" s="851" customFormat="1" ht="14.25" thickTop="1" thickBot="1" x14ac:dyDescent="0.25">
      <c r="A10" s="852" t="s">
        <v>1352</v>
      </c>
      <c r="B10" s="1804">
        <f>(B8-B9)</f>
        <v>-8772</v>
      </c>
      <c r="C10" s="1804">
        <f>(C8-C9)</f>
        <v>0</v>
      </c>
      <c r="D10" s="1804">
        <f>(D8-D9)</f>
        <v>0</v>
      </c>
      <c r="E10" s="1803">
        <f>(E8-E9)</f>
        <v>0</v>
      </c>
      <c r="F10" s="1805">
        <f>SUM(F8-F9)</f>
        <v>-8772</v>
      </c>
    </row>
    <row r="11" spans="1:8" s="851" customFormat="1" ht="14.25" thickTop="1" thickBot="1" x14ac:dyDescent="0.25">
      <c r="A11" s="853" t="s">
        <v>1900</v>
      </c>
      <c r="B11" s="1806">
        <f>'Acct Summary 7-8'!C81</f>
        <v>162474</v>
      </c>
      <c r="C11" s="1806">
        <f>'Acct Summary 7-8'!D81</f>
        <v>0</v>
      </c>
      <c r="D11" s="1806">
        <f>'Acct Summary 7-8'!F81</f>
        <v>0</v>
      </c>
      <c r="E11" s="1806">
        <f>'Acct Summary 7-8'!I81</f>
        <v>0</v>
      </c>
      <c r="F11" s="1807">
        <f>SUM(B11:E11)</f>
        <v>162474</v>
      </c>
    </row>
    <row r="12" spans="1:8" ht="16.5" customHeight="1" thickTop="1" x14ac:dyDescent="0.2">
      <c r="A12" s="854"/>
      <c r="B12" s="855"/>
      <c r="C12" s="2491" t="str">
        <f>IF(AND(F10&lt;0,F11&gt;=0,ABS(F10*3)&gt;ABS(F11)),A16,IF(AND(F10&lt;0,F11&gt;0,ABS(F10*3)&lt;=ABS(F11)),A17,IF(AND(F10&lt;0,F11&lt;0),A16,IF(F11=0,A19,A18))))</f>
        <v>Unbalanced -  however, a deficit reduction plan is not required at this time.</v>
      </c>
      <c r="D12" s="2492"/>
      <c r="E12" s="2492"/>
      <c r="F12" s="2493"/>
    </row>
    <row r="13" spans="1:8" ht="19.5" customHeight="1" x14ac:dyDescent="0.2">
      <c r="A13" s="856"/>
      <c r="B13" s="857"/>
      <c r="C13" s="2491"/>
      <c r="D13" s="2492"/>
      <c r="E13" s="2492"/>
      <c r="F13" s="2493"/>
      <c r="H13" s="846"/>
    </row>
    <row r="14" spans="1:8" ht="19.5" customHeight="1" x14ac:dyDescent="0.2">
      <c r="A14" s="856"/>
      <c r="B14" s="857"/>
      <c r="C14" s="2491"/>
      <c r="D14" s="2492"/>
      <c r="E14" s="2492"/>
      <c r="F14" s="2493"/>
      <c r="H14" s="846"/>
    </row>
    <row r="15" spans="1:8" ht="17.25" customHeight="1" x14ac:dyDescent="0.2">
      <c r="A15" s="856"/>
      <c r="B15" s="857"/>
      <c r="C15" s="2494"/>
      <c r="D15" s="2495"/>
      <c r="E15" s="2495"/>
      <c r="F15" s="2496"/>
      <c r="H15" s="846"/>
    </row>
    <row r="16" spans="1:8" s="288" customFormat="1" ht="51.75" hidden="1" customHeight="1" x14ac:dyDescent="0.2">
      <c r="A16" s="2490" t="s">
        <v>1663</v>
      </c>
      <c r="B16" s="2490"/>
      <c r="C16" s="2490"/>
      <c r="D16" s="2490"/>
      <c r="E16" s="2490"/>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2" sqref="D82"/>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12" t="s">
        <v>660</v>
      </c>
      <c r="B3" s="2513"/>
      <c r="C3" s="2513"/>
      <c r="D3" s="2514"/>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23" t="s">
        <v>1484</v>
      </c>
      <c r="D7" s="2524"/>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15" t="s">
        <v>1000</v>
      </c>
      <c r="B15" s="2516"/>
      <c r="C15" s="2516"/>
      <c r="D15" s="2517"/>
    </row>
    <row r="16" spans="1:4" s="542" customFormat="1" ht="24" customHeight="1" x14ac:dyDescent="0.2">
      <c r="A16" s="2518" t="s">
        <v>658</v>
      </c>
      <c r="B16" s="2519"/>
      <c r="C16" s="2519"/>
      <c r="D16" s="2520"/>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27" t="s">
        <v>311</v>
      </c>
      <c r="D21" s="2528"/>
    </row>
    <row r="22" spans="1:10" ht="12.75" x14ac:dyDescent="0.2">
      <c r="A22" s="911"/>
      <c r="B22" s="912">
        <v>2</v>
      </c>
      <c r="C22" s="2525" t="s">
        <v>1504</v>
      </c>
      <c r="D22" s="2526"/>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b">
        <f>IF('Aud Quest 2'!B53="X",IF('Aud Quest 2'!F53&gt;"00/00/00 ","Enter Effective Date","ok"))</f>
        <v>0</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9" t="s">
        <v>533</v>
      </c>
      <c r="D43" s="2530"/>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21" t="s">
        <v>778</v>
      </c>
      <c r="D56" s="2522"/>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21" t="s">
        <v>1671</v>
      </c>
      <c r="D70" s="2522"/>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ht="22.5" x14ac:dyDescent="0.2">
      <c r="A82" s="870"/>
      <c r="B82" s="892">
        <v>15</v>
      </c>
      <c r="C82" s="902" t="s">
        <v>1881</v>
      </c>
      <c r="D82" s="1888"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5016207046</v>
      </c>
      <c r="E2" s="1535">
        <v>2020</v>
      </c>
      <c r="F2" s="1535">
        <v>1</v>
      </c>
      <c r="G2" s="1886">
        <v>101000300</v>
      </c>
    </row>
    <row r="3" spans="1:7" ht="15" x14ac:dyDescent="0.25">
      <c r="A3" t="s">
        <v>949</v>
      </c>
      <c r="B3" s="135" t="str">
        <f>COVER!A15</f>
        <v>COOK</v>
      </c>
      <c r="E3" s="1819" t="s">
        <v>1968</v>
      </c>
      <c r="F3" s="1819" t="s">
        <v>1967</v>
      </c>
      <c r="G3" s="1886">
        <v>101000400</v>
      </c>
    </row>
    <row r="4" spans="1:7" ht="15" x14ac:dyDescent="0.25">
      <c r="A4" t="s">
        <v>999</v>
      </c>
      <c r="B4" s="135" t="str">
        <f>COVER!A17</f>
        <v xml:space="preserve"> North Suburban Ed Reg for Vocation</v>
      </c>
      <c r="E4" s="1817">
        <v>44119</v>
      </c>
      <c r="F4" s="1818">
        <v>44151</v>
      </c>
      <c r="G4" s="1886">
        <v>101000600</v>
      </c>
    </row>
    <row r="5" spans="1:7" ht="15" x14ac:dyDescent="0.25">
      <c r="A5" t="s">
        <v>698</v>
      </c>
      <c r="B5" s="135" t="str">
        <f>COVER!A38</f>
        <v>AMY ROMITO</v>
      </c>
      <c r="G5" s="1886">
        <v>101000800</v>
      </c>
    </row>
    <row r="6" spans="1:7" ht="15" x14ac:dyDescent="0.25">
      <c r="A6" t="s">
        <v>703</v>
      </c>
      <c r="B6" s="135" t="str">
        <f>COVER!P35</f>
        <v>MAINE TOWNSHIP</v>
      </c>
      <c r="G6" s="1886">
        <v>102100300</v>
      </c>
    </row>
    <row r="7" spans="1:7" ht="15" x14ac:dyDescent="0.25">
      <c r="A7" t="s">
        <v>699</v>
      </c>
      <c r="B7" s="135" t="str">
        <f>COVER!I38</f>
        <v>THOMAS AHLBECK</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f>COVER!B5</f>
        <v>0</v>
      </c>
      <c r="G10" s="1886">
        <v>202100300</v>
      </c>
    </row>
    <row r="11" spans="1:7" ht="15" x14ac:dyDescent="0.25">
      <c r="A11" t="s">
        <v>970</v>
      </c>
      <c r="B11" s="135" t="str">
        <f>COVER!B6</f>
        <v>x</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0</v>
      </c>
      <c r="G49" s="1886">
        <v>102540800</v>
      </c>
    </row>
    <row r="50" spans="1:7" ht="15" x14ac:dyDescent="0.25">
      <c r="A50" s="1" t="s">
        <v>1460</v>
      </c>
      <c r="B50" s="146">
        <f>'Aud Quest 2'!H53</f>
        <v>0</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162474</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0</v>
      </c>
      <c r="C91" s="2" t="s">
        <v>569</v>
      </c>
      <c r="D91" s="2" t="str">
        <f t="shared" si="0"/>
        <v>Error?</v>
      </c>
      <c r="G91" s="1886">
        <v>102640400</v>
      </c>
    </row>
    <row r="92" spans="1:7" ht="15" x14ac:dyDescent="0.25">
      <c r="A92" s="5">
        <v>31</v>
      </c>
      <c r="B92" s="1821">
        <f>'Assets-Liab 5-6'!C39</f>
        <v>162474</v>
      </c>
      <c r="D92" s="2" t="str">
        <f t="shared" si="0"/>
        <v>Error?</v>
      </c>
      <c r="G92" s="1886">
        <v>102640600</v>
      </c>
    </row>
    <row r="93" spans="1:7" ht="15" x14ac:dyDescent="0.25">
      <c r="A93" s="5">
        <v>32</v>
      </c>
      <c r="B93" s="1821">
        <f>'Assets-Liab 5-6'!C41</f>
        <v>162474</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0</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0</v>
      </c>
      <c r="D123" s="2" t="str">
        <f t="shared" si="0"/>
        <v>Error?</v>
      </c>
      <c r="G123" s="1886">
        <v>203000400</v>
      </c>
    </row>
    <row r="124" spans="1:7" ht="15" x14ac:dyDescent="0.25">
      <c r="A124" s="5">
        <v>63</v>
      </c>
      <c r="B124" s="1821">
        <f>'Assets-Liab 5-6'!D41</f>
        <v>0</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0</v>
      </c>
      <c r="D140" s="2" t="str">
        <f t="shared" si="1"/>
        <v>Error?</v>
      </c>
    </row>
    <row r="141" spans="1:7" x14ac:dyDescent="0.2">
      <c r="A141" s="5">
        <v>80</v>
      </c>
      <c r="B141" s="1821">
        <f>'Assets-Liab 5-6'!E41</f>
        <v>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0</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0</v>
      </c>
      <c r="D170" s="2" t="str">
        <f t="shared" si="1"/>
        <v>Error?</v>
      </c>
    </row>
    <row r="171" spans="1:4" x14ac:dyDescent="0.2">
      <c r="A171" s="5">
        <v>110</v>
      </c>
      <c r="B171" s="1821">
        <f>'Assets-Liab 5-6'!F41</f>
        <v>0</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0</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0</v>
      </c>
      <c r="D189" s="2" t="str">
        <f t="shared" si="1"/>
        <v>Error?</v>
      </c>
    </row>
    <row r="190" spans="1:4" x14ac:dyDescent="0.2">
      <c r="A190" s="5">
        <v>129</v>
      </c>
      <c r="B190" s="1821">
        <f>'Assets-Liab 5-6'!G41</f>
        <v>0</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0</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0</v>
      </c>
      <c r="D212" s="2" t="str">
        <f t="shared" si="2"/>
        <v>Error?</v>
      </c>
    </row>
    <row r="213" spans="1:4" x14ac:dyDescent="0.2">
      <c r="A213" s="12">
        <v>152</v>
      </c>
      <c r="B213" s="1821">
        <f>'Assets-Liab 5-6'!H41</f>
        <v>0</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0</v>
      </c>
      <c r="D273" s="2" t="str">
        <f t="shared" si="3"/>
        <v>Error?</v>
      </c>
    </row>
    <row r="274" spans="1:4" x14ac:dyDescent="0.2">
      <c r="A274" s="5">
        <v>213</v>
      </c>
      <c r="B274" s="1821">
        <f>'Assets-Liab 5-6'!M17</f>
        <v>0</v>
      </c>
      <c r="D274" s="2" t="str">
        <f t="shared" si="3"/>
        <v>Error?</v>
      </c>
    </row>
    <row r="275" spans="1:4" x14ac:dyDescent="0.2">
      <c r="A275" s="5">
        <v>214</v>
      </c>
      <c r="B275" s="1821">
        <f>'Assets-Liab 5-6'!M18</f>
        <v>0</v>
      </c>
      <c r="D275" s="2" t="str">
        <f t="shared" si="3"/>
        <v>Error?</v>
      </c>
    </row>
    <row r="276" spans="1:4" x14ac:dyDescent="0.2">
      <c r="A276" s="5">
        <v>215</v>
      </c>
      <c r="B276" s="1821">
        <f>'Assets-Liab 5-6'!M19</f>
        <v>0</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0</v>
      </c>
      <c r="C279" s="2" t="s">
        <v>569</v>
      </c>
      <c r="D279" s="2" t="str">
        <f t="shared" si="3"/>
        <v>Error?</v>
      </c>
    </row>
    <row r="280" spans="1:4" x14ac:dyDescent="0.2">
      <c r="A280" s="5">
        <v>219</v>
      </c>
      <c r="B280" s="1821">
        <f>'Assets-Liab 5-6'!M40</f>
        <v>0</v>
      </c>
      <c r="D280" s="2" t="str">
        <f t="shared" si="3"/>
        <v>Error?</v>
      </c>
    </row>
    <row r="281" spans="1:4" x14ac:dyDescent="0.2">
      <c r="A281" s="5">
        <v>220</v>
      </c>
      <c r="B281" s="1821">
        <f>'Assets-Liab 5-6'!M41</f>
        <v>0</v>
      </c>
      <c r="C281" s="2" t="s">
        <v>569</v>
      </c>
      <c r="D281" s="2" t="str">
        <f t="shared" si="3"/>
        <v>Error?</v>
      </c>
    </row>
    <row r="282" spans="1:4" x14ac:dyDescent="0.2">
      <c r="A282" s="5">
        <v>221</v>
      </c>
      <c r="B282" s="1821">
        <f>'Assets-Liab 5-6'!N21</f>
        <v>0</v>
      </c>
      <c r="D282" s="2" t="str">
        <f t="shared" si="3"/>
        <v>Error?</v>
      </c>
    </row>
    <row r="283" spans="1:4" x14ac:dyDescent="0.2">
      <c r="A283" s="5">
        <v>222</v>
      </c>
      <c r="B283" s="1821">
        <f>'Assets-Liab 5-6'!N22</f>
        <v>0</v>
      </c>
      <c r="D283" s="2" t="str">
        <f t="shared" si="3"/>
        <v>Error?</v>
      </c>
    </row>
    <row r="284" spans="1:4" x14ac:dyDescent="0.2">
      <c r="A284" s="5">
        <v>223</v>
      </c>
      <c r="B284" s="1821">
        <f>'Assets-Liab 5-6'!N23</f>
        <v>0</v>
      </c>
      <c r="C284" s="2" t="s">
        <v>569</v>
      </c>
      <c r="D284" s="2" t="str">
        <f t="shared" si="3"/>
        <v>Error?</v>
      </c>
    </row>
    <row r="285" spans="1:4" x14ac:dyDescent="0.2">
      <c r="A285" s="5">
        <v>224</v>
      </c>
      <c r="B285" s="1821">
        <f>'Assets-Liab 5-6'!N36</f>
        <v>0</v>
      </c>
      <c r="D285" s="2" t="str">
        <f t="shared" si="3"/>
        <v>Error?</v>
      </c>
    </row>
    <row r="286" spans="1:4" x14ac:dyDescent="0.2">
      <c r="A286" s="10">
        <v>225</v>
      </c>
      <c r="B286" s="1821"/>
      <c r="D286" s="2" t="str">
        <f t="shared" si="3"/>
        <v>OK</v>
      </c>
    </row>
    <row r="287" spans="1:4" x14ac:dyDescent="0.2">
      <c r="A287" s="5">
        <v>226</v>
      </c>
      <c r="B287" s="1821">
        <f>'Assets-Liab 5-6'!N37</f>
        <v>0</v>
      </c>
      <c r="C287" s="2" t="s">
        <v>569</v>
      </c>
      <c r="D287" s="2" t="str">
        <f t="shared" si="3"/>
        <v>Error?</v>
      </c>
    </row>
    <row r="288" spans="1:4" x14ac:dyDescent="0.2">
      <c r="A288" s="5">
        <v>227</v>
      </c>
      <c r="B288" s="1821">
        <f>'Assets-Liab 5-6'!N41</f>
        <v>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0</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0</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0</v>
      </c>
      <c r="C720" s="2" t="s">
        <v>569</v>
      </c>
      <c r="D720" s="2" t="str">
        <f t="shared" si="10"/>
        <v>Error?</v>
      </c>
    </row>
    <row r="721" spans="1:4" x14ac:dyDescent="0.2">
      <c r="A721" s="5">
        <v>660</v>
      </c>
      <c r="B721" s="1821">
        <f>'Expenditures 15-22'!C36</f>
        <v>0</v>
      </c>
      <c r="D721" s="2" t="str">
        <f t="shared" si="10"/>
        <v>Error?</v>
      </c>
    </row>
    <row r="722" spans="1:4" x14ac:dyDescent="0.2">
      <c r="A722" s="5">
        <v>661</v>
      </c>
      <c r="B722" s="1821">
        <f>'Expenditures 15-22'!C37</f>
        <v>20000</v>
      </c>
      <c r="D722" s="2" t="str">
        <f t="shared" si="10"/>
        <v>Error?</v>
      </c>
    </row>
    <row r="723" spans="1:4" x14ac:dyDescent="0.2">
      <c r="A723" s="5">
        <v>662</v>
      </c>
      <c r="B723" s="1821">
        <f>'Expenditures 15-22'!C38</f>
        <v>0</v>
      </c>
      <c r="D723" s="2" t="str">
        <f t="shared" si="10"/>
        <v>Error?</v>
      </c>
    </row>
    <row r="724" spans="1:4" x14ac:dyDescent="0.2">
      <c r="A724" s="5">
        <v>663</v>
      </c>
      <c r="B724" s="1821">
        <f>'Expenditures 15-22'!C39</f>
        <v>0</v>
      </c>
      <c r="D724" s="2" t="str">
        <f t="shared" si="10"/>
        <v>Error?</v>
      </c>
    </row>
    <row r="725" spans="1:4" x14ac:dyDescent="0.2">
      <c r="A725" s="5">
        <v>664</v>
      </c>
      <c r="B725" s="1821">
        <f>'Expenditures 15-22'!C40</f>
        <v>0</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20000</v>
      </c>
      <c r="C727" s="2" t="s">
        <v>569</v>
      </c>
      <c r="D727" s="2" t="str">
        <f t="shared" si="10"/>
        <v>Error?</v>
      </c>
    </row>
    <row r="728" spans="1:4" x14ac:dyDescent="0.2">
      <c r="A728" s="5">
        <v>667</v>
      </c>
      <c r="B728" s="1821">
        <f>'Expenditures 15-22'!C44</f>
        <v>91154</v>
      </c>
      <c r="D728" s="2" t="str">
        <f t="shared" si="10"/>
        <v>Error?</v>
      </c>
    </row>
    <row r="729" spans="1:4" x14ac:dyDescent="0.2">
      <c r="A729" s="5">
        <v>668</v>
      </c>
      <c r="B729" s="1821">
        <f>'Expenditures 15-22'!C45</f>
        <v>0</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91154</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0</v>
      </c>
      <c r="D733" s="2" t="str">
        <f t="shared" si="10"/>
        <v>Error?</v>
      </c>
    </row>
    <row r="734" spans="1:4" x14ac:dyDescent="0.2">
      <c r="A734" s="5">
        <v>673</v>
      </c>
      <c r="B734" s="1821">
        <f>'Expenditures 15-22'!C53</f>
        <v>75497</v>
      </c>
      <c r="C734" s="2" t="s">
        <v>569</v>
      </c>
      <c r="D734" s="2" t="str">
        <f t="shared" si="10"/>
        <v>Error?</v>
      </c>
    </row>
    <row r="735" spans="1:4" x14ac:dyDescent="0.2">
      <c r="A735" s="5">
        <v>674</v>
      </c>
      <c r="B735" s="1821">
        <f>'Expenditures 15-22'!C55</f>
        <v>0</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0</v>
      </c>
      <c r="C737" s="2" t="s">
        <v>569</v>
      </c>
      <c r="D737" s="2" t="str">
        <f t="shared" si="10"/>
        <v>Error?</v>
      </c>
    </row>
    <row r="738" spans="1:4" x14ac:dyDescent="0.2">
      <c r="A738" s="5">
        <v>677</v>
      </c>
      <c r="B738" s="1821">
        <f>'Expenditures 15-22'!C59</f>
        <v>0</v>
      </c>
      <c r="D738" s="2" t="str">
        <f t="shared" si="10"/>
        <v>Error?</v>
      </c>
    </row>
    <row r="739" spans="1:4" x14ac:dyDescent="0.2">
      <c r="A739" s="5">
        <v>678</v>
      </c>
      <c r="B739" s="1821">
        <f>'Expenditures 15-22'!C60</f>
        <v>0</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0</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0</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186651</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186651</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0</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0</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0</v>
      </c>
      <c r="C778" s="2" t="s">
        <v>569</v>
      </c>
      <c r="D778" s="2" t="str">
        <f t="shared" si="11"/>
        <v>Error?</v>
      </c>
    </row>
    <row r="779" spans="1:4" x14ac:dyDescent="0.2">
      <c r="A779" s="5">
        <v>718</v>
      </c>
      <c r="B779" s="1821">
        <f>'Expenditures 15-22'!D36</f>
        <v>0</v>
      </c>
      <c r="D779" s="2" t="str">
        <f t="shared" si="11"/>
        <v>Error?</v>
      </c>
    </row>
    <row r="780" spans="1:4" x14ac:dyDescent="0.2">
      <c r="A780" s="5">
        <v>719</v>
      </c>
      <c r="B780" s="1821">
        <f>'Expenditures 15-22'!D37</f>
        <v>4827</v>
      </c>
      <c r="D780" s="2" t="str">
        <f t="shared" si="11"/>
        <v>Error?</v>
      </c>
    </row>
    <row r="781" spans="1:4" x14ac:dyDescent="0.2">
      <c r="A781" s="5">
        <v>720</v>
      </c>
      <c r="B781" s="1821">
        <f>'Expenditures 15-22'!D38</f>
        <v>0</v>
      </c>
      <c r="D781" s="2" t="str">
        <f t="shared" si="11"/>
        <v>Error?</v>
      </c>
    </row>
    <row r="782" spans="1:4" x14ac:dyDescent="0.2">
      <c r="A782" s="5">
        <v>721</v>
      </c>
      <c r="B782" s="1821">
        <f>'Expenditures 15-22'!D39</f>
        <v>0</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4827</v>
      </c>
      <c r="C785" s="2" t="s">
        <v>569</v>
      </c>
      <c r="D785" s="2" t="str">
        <f t="shared" si="11"/>
        <v>Error?</v>
      </c>
    </row>
    <row r="786" spans="1:4" x14ac:dyDescent="0.2">
      <c r="A786" s="5">
        <v>725</v>
      </c>
      <c r="B786" s="1821">
        <f>'Expenditures 15-22'!D44</f>
        <v>35461</v>
      </c>
      <c r="D786" s="2" t="str">
        <f t="shared" si="11"/>
        <v>Error?</v>
      </c>
    </row>
    <row r="787" spans="1:4" x14ac:dyDescent="0.2">
      <c r="A787" s="5">
        <v>726</v>
      </c>
      <c r="B787" s="1821">
        <f>'Expenditures 15-22'!D45</f>
        <v>0</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35461</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0</v>
      </c>
      <c r="D791" s="2" t="str">
        <f t="shared" si="11"/>
        <v>Error?</v>
      </c>
    </row>
    <row r="792" spans="1:4" x14ac:dyDescent="0.2">
      <c r="A792" s="5">
        <v>731</v>
      </c>
      <c r="B792" s="1821">
        <f>'Expenditures 15-22'!D53</f>
        <v>21176</v>
      </c>
      <c r="C792" s="2" t="s">
        <v>569</v>
      </c>
      <c r="D792" s="2" t="str">
        <f t="shared" si="11"/>
        <v>Error?</v>
      </c>
    </row>
    <row r="793" spans="1:4" x14ac:dyDescent="0.2">
      <c r="A793" s="5">
        <v>732</v>
      </c>
      <c r="B793" s="1821">
        <f>'Expenditures 15-22'!D55</f>
        <v>0</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0</v>
      </c>
      <c r="C795" s="2" t="s">
        <v>569</v>
      </c>
      <c r="D795" s="2" t="str">
        <f t="shared" si="11"/>
        <v>Error?</v>
      </c>
    </row>
    <row r="796" spans="1:4" x14ac:dyDescent="0.2">
      <c r="A796" s="5">
        <v>735</v>
      </c>
      <c r="B796" s="1821">
        <f>'Expenditures 15-22'!D59</f>
        <v>0</v>
      </c>
      <c r="D796" s="2" t="str">
        <f t="shared" si="11"/>
        <v>Error?</v>
      </c>
    </row>
    <row r="797" spans="1:4" x14ac:dyDescent="0.2">
      <c r="A797" s="5">
        <v>736</v>
      </c>
      <c r="B797" s="1821">
        <f>'Expenditures 15-22'!D60</f>
        <v>0</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0</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61464</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61464</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0</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0</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0</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3756</v>
      </c>
      <c r="D838" s="2" t="str">
        <f t="shared" si="12"/>
        <v>Error?</v>
      </c>
    </row>
    <row r="839" spans="1:4" x14ac:dyDescent="0.2">
      <c r="A839" s="5">
        <v>778</v>
      </c>
      <c r="B839" s="1821">
        <f>'Expenditures 15-22'!E38</f>
        <v>0</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3756</v>
      </c>
      <c r="C843" s="2" t="s">
        <v>569</v>
      </c>
      <c r="D843" s="2" t="str">
        <f t="shared" si="12"/>
        <v>Error?</v>
      </c>
    </row>
    <row r="844" spans="1:4" x14ac:dyDescent="0.2">
      <c r="A844" s="5">
        <v>783</v>
      </c>
      <c r="B844" s="1821">
        <f>'Expenditures 15-22'!E44</f>
        <v>61206</v>
      </c>
      <c r="D844" s="2" t="str">
        <f t="shared" si="12"/>
        <v>Error?</v>
      </c>
    </row>
    <row r="845" spans="1:4" x14ac:dyDescent="0.2">
      <c r="A845" s="5">
        <v>784</v>
      </c>
      <c r="B845" s="1821">
        <f>'Expenditures 15-22'!E45</f>
        <v>0</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61206</v>
      </c>
      <c r="C847" s="2" t="s">
        <v>569</v>
      </c>
      <c r="D847" s="2" t="str">
        <f t="shared" si="12"/>
        <v>Error?</v>
      </c>
    </row>
    <row r="848" spans="1:4" x14ac:dyDescent="0.2">
      <c r="A848" s="5">
        <v>787</v>
      </c>
      <c r="B848" s="1821">
        <f>'Expenditures 15-22'!E49</f>
        <v>0</v>
      </c>
      <c r="D848" s="2" t="str">
        <f t="shared" si="12"/>
        <v>Error?</v>
      </c>
    </row>
    <row r="849" spans="1:4" x14ac:dyDescent="0.2">
      <c r="A849" s="5">
        <v>788</v>
      </c>
      <c r="B849" s="1821">
        <f>'Expenditures 15-22'!E50</f>
        <v>0</v>
      </c>
      <c r="D849" s="2" t="str">
        <f t="shared" si="12"/>
        <v>Error?</v>
      </c>
    </row>
    <row r="850" spans="1:4" x14ac:dyDescent="0.2">
      <c r="A850" s="5">
        <v>789</v>
      </c>
      <c r="B850" s="1821">
        <f>'Expenditures 15-22'!E53</f>
        <v>16634</v>
      </c>
      <c r="C850" s="2" t="s">
        <v>569</v>
      </c>
      <c r="D850" s="2" t="str">
        <f t="shared" si="12"/>
        <v>Error?</v>
      </c>
    </row>
    <row r="851" spans="1:4" x14ac:dyDescent="0.2">
      <c r="A851" s="5">
        <v>790</v>
      </c>
      <c r="B851" s="1821">
        <f>'Expenditures 15-22'!E55</f>
        <v>0</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0</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0</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0</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0</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0</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81596</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81596</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0</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0</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0</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0</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0</v>
      </c>
      <c r="C901" s="2" t="s">
        <v>569</v>
      </c>
      <c r="D901" s="2" t="str">
        <f t="shared" si="13"/>
        <v>Error?</v>
      </c>
    </row>
    <row r="902" spans="1:4" x14ac:dyDescent="0.2">
      <c r="A902" s="5">
        <v>841</v>
      </c>
      <c r="B902" s="1821">
        <f>'Expenditures 15-22'!F44</f>
        <v>572</v>
      </c>
      <c r="D902" s="2" t="str">
        <f t="shared" si="13"/>
        <v>Error?</v>
      </c>
    </row>
    <row r="903" spans="1:4" x14ac:dyDescent="0.2">
      <c r="A903" s="5">
        <v>842</v>
      </c>
      <c r="B903" s="1821">
        <f>'Expenditures 15-22'!F45</f>
        <v>0</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572</v>
      </c>
      <c r="C905" s="2" t="s">
        <v>569</v>
      </c>
      <c r="D905" s="2" t="str">
        <f t="shared" si="13"/>
        <v>Error?</v>
      </c>
    </row>
    <row r="906" spans="1:4" x14ac:dyDescent="0.2">
      <c r="A906" s="5">
        <v>845</v>
      </c>
      <c r="B906" s="1821">
        <f>'Expenditures 15-22'!F49</f>
        <v>0</v>
      </c>
      <c r="D906" s="2" t="str">
        <f t="shared" si="13"/>
        <v>Error?</v>
      </c>
    </row>
    <row r="907" spans="1:4" x14ac:dyDescent="0.2">
      <c r="A907" s="5">
        <v>846</v>
      </c>
      <c r="B907" s="1821">
        <f>'Expenditures 15-22'!F50</f>
        <v>0</v>
      </c>
      <c r="D907" s="2" t="str">
        <f t="shared" si="13"/>
        <v>Error?</v>
      </c>
    </row>
    <row r="908" spans="1:4" x14ac:dyDescent="0.2">
      <c r="A908" s="5">
        <v>847</v>
      </c>
      <c r="B908" s="1821">
        <f>'Expenditures 15-22'!F53</f>
        <v>183</v>
      </c>
      <c r="C908" s="2" t="s">
        <v>569</v>
      </c>
      <c r="D908" s="2" t="str">
        <f t="shared" si="13"/>
        <v>Error?</v>
      </c>
    </row>
    <row r="909" spans="1:4" x14ac:dyDescent="0.2">
      <c r="A909" s="5">
        <v>848</v>
      </c>
      <c r="B909" s="1821">
        <f>'Expenditures 15-22'!F55</f>
        <v>0</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0</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0</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0</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0</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755</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755</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0</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0</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0</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0</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0</v>
      </c>
      <c r="D1022" s="2" t="str">
        <f t="shared" si="14"/>
        <v>Error?</v>
      </c>
    </row>
    <row r="1023" spans="1:4" x14ac:dyDescent="0.2">
      <c r="A1023" s="5">
        <v>962</v>
      </c>
      <c r="B1023" s="1821">
        <f>'Expenditures 15-22'!H50</f>
        <v>0</v>
      </c>
      <c r="D1023" s="2" t="str">
        <f t="shared" ref="D1023:D1086" si="15">IF(ISBLANK(B1023),"OK",IF(A1023-B1023=0,"OK","Error?"))</f>
        <v>Error?</v>
      </c>
    </row>
    <row r="1024" spans="1:4" x14ac:dyDescent="0.2">
      <c r="A1024" s="5">
        <v>963</v>
      </c>
      <c r="B1024" s="1821">
        <f>'Expenditures 15-22'!H53</f>
        <v>1173</v>
      </c>
      <c r="C1024" s="2" t="s">
        <v>569</v>
      </c>
      <c r="D1024" s="2" t="str">
        <f t="shared" si="15"/>
        <v>Error?</v>
      </c>
    </row>
    <row r="1025" spans="1:4" x14ac:dyDescent="0.2">
      <c r="A1025" s="5">
        <v>964</v>
      </c>
      <c r="B1025" s="1821">
        <f>'Expenditures 15-22'!H55</f>
        <v>0</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0</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1173</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1139315</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1140488</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0</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0</v>
      </c>
      <c r="C1106" s="2" t="s">
        <v>569</v>
      </c>
      <c r="D1106" s="2" t="str">
        <f t="shared" si="16"/>
        <v>Error?</v>
      </c>
    </row>
    <row r="1107" spans="1:4" x14ac:dyDescent="0.2">
      <c r="A1107" s="5">
        <v>1046</v>
      </c>
      <c r="B1107" s="1821">
        <f>'Expenditures 15-22'!K15</f>
        <v>0</v>
      </c>
      <c r="C1107" s="2" t="s">
        <v>569</v>
      </c>
      <c r="D1107" s="2" t="str">
        <f t="shared" si="16"/>
        <v>Error?</v>
      </c>
    </row>
    <row r="1108" spans="1:4" x14ac:dyDescent="0.2">
      <c r="A1108" s="5">
        <v>1047</v>
      </c>
      <c r="B1108" s="1821">
        <f>'Expenditures 15-22'!K33</f>
        <v>0</v>
      </c>
      <c r="C1108" s="2" t="s">
        <v>569</v>
      </c>
      <c r="D1108" s="2" t="str">
        <f t="shared" si="16"/>
        <v>Error?</v>
      </c>
    </row>
    <row r="1109" spans="1:4" x14ac:dyDescent="0.2">
      <c r="A1109" s="5">
        <v>1048</v>
      </c>
      <c r="B1109" s="1821">
        <f>'Expenditures 15-22'!K36</f>
        <v>0</v>
      </c>
      <c r="C1109" s="2" t="s">
        <v>569</v>
      </c>
      <c r="D1109" s="2" t="str">
        <f t="shared" si="16"/>
        <v>Error?</v>
      </c>
    </row>
    <row r="1110" spans="1:4" x14ac:dyDescent="0.2">
      <c r="A1110" s="5">
        <v>1049</v>
      </c>
      <c r="B1110" s="1821">
        <f>'Expenditures 15-22'!K37</f>
        <v>28583</v>
      </c>
      <c r="C1110" s="2" t="s">
        <v>569</v>
      </c>
      <c r="D1110" s="2" t="str">
        <f t="shared" si="16"/>
        <v>Error?</v>
      </c>
    </row>
    <row r="1111" spans="1:4" x14ac:dyDescent="0.2">
      <c r="A1111" s="5">
        <v>1050</v>
      </c>
      <c r="B1111" s="1821">
        <f>'Expenditures 15-22'!K38</f>
        <v>0</v>
      </c>
      <c r="C1111" s="2" t="s">
        <v>569</v>
      </c>
      <c r="D1111" s="2" t="str">
        <f t="shared" si="16"/>
        <v>Error?</v>
      </c>
    </row>
    <row r="1112" spans="1:4" x14ac:dyDescent="0.2">
      <c r="A1112" s="5">
        <v>1051</v>
      </c>
      <c r="B1112" s="1821">
        <f>'Expenditures 15-22'!K39</f>
        <v>0</v>
      </c>
      <c r="C1112" s="2" t="s">
        <v>569</v>
      </c>
      <c r="D1112" s="2" t="str">
        <f t="shared" si="16"/>
        <v>Error?</v>
      </c>
    </row>
    <row r="1113" spans="1:4" x14ac:dyDescent="0.2">
      <c r="A1113" s="5">
        <v>1052</v>
      </c>
      <c r="B1113" s="1821">
        <f>'Expenditures 15-22'!K40</f>
        <v>0</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28583</v>
      </c>
      <c r="C1115" s="2" t="s">
        <v>569</v>
      </c>
      <c r="D1115" s="2" t="str">
        <f t="shared" si="16"/>
        <v>Error?</v>
      </c>
    </row>
    <row r="1116" spans="1:4" x14ac:dyDescent="0.2">
      <c r="A1116" s="5">
        <v>1055</v>
      </c>
      <c r="B1116" s="1821">
        <f>'Expenditures 15-22'!K44</f>
        <v>188393</v>
      </c>
      <c r="C1116" s="2" t="s">
        <v>569</v>
      </c>
      <c r="D1116" s="2" t="str">
        <f t="shared" si="16"/>
        <v>Error?</v>
      </c>
    </row>
    <row r="1117" spans="1:4" x14ac:dyDescent="0.2">
      <c r="A1117" s="5">
        <v>1056</v>
      </c>
      <c r="B1117" s="1821">
        <f>'Expenditures 15-22'!K45</f>
        <v>0</v>
      </c>
      <c r="C1117" s="2" t="s">
        <v>569</v>
      </c>
      <c r="D1117" s="2" t="str">
        <f t="shared" si="16"/>
        <v>Error?</v>
      </c>
    </row>
    <row r="1118" spans="1:4" x14ac:dyDescent="0.2">
      <c r="A1118" s="5">
        <v>1057</v>
      </c>
      <c r="B1118" s="1821">
        <f>'Expenditures 15-22'!K46</f>
        <v>0</v>
      </c>
      <c r="C1118" s="2" t="s">
        <v>569</v>
      </c>
      <c r="D1118" s="2" t="str">
        <f t="shared" si="16"/>
        <v>Error?</v>
      </c>
    </row>
    <row r="1119" spans="1:4" x14ac:dyDescent="0.2">
      <c r="A1119" s="5">
        <v>1058</v>
      </c>
      <c r="B1119" s="1821">
        <f>'Expenditures 15-22'!K47</f>
        <v>188393</v>
      </c>
      <c r="C1119" s="2" t="s">
        <v>569</v>
      </c>
      <c r="D1119" s="2" t="str">
        <f t="shared" si="16"/>
        <v>Error?</v>
      </c>
    </row>
    <row r="1120" spans="1:4" x14ac:dyDescent="0.2">
      <c r="A1120" s="5">
        <v>1059</v>
      </c>
      <c r="B1120" s="1821">
        <f>'Expenditures 15-22'!K49</f>
        <v>0</v>
      </c>
      <c r="C1120" s="2" t="s">
        <v>569</v>
      </c>
      <c r="D1120" s="2" t="str">
        <f t="shared" si="16"/>
        <v>Error?</v>
      </c>
    </row>
    <row r="1121" spans="1:4" x14ac:dyDescent="0.2">
      <c r="A1121" s="5">
        <v>1060</v>
      </c>
      <c r="B1121" s="1821">
        <f>'Expenditures 15-22'!K50</f>
        <v>0</v>
      </c>
      <c r="C1121" s="2" t="s">
        <v>569</v>
      </c>
      <c r="D1121" s="2" t="str">
        <f t="shared" si="16"/>
        <v>Error?</v>
      </c>
    </row>
    <row r="1122" spans="1:4" x14ac:dyDescent="0.2">
      <c r="A1122" s="5">
        <v>1061</v>
      </c>
      <c r="B1122" s="1821">
        <f>'Expenditures 15-22'!K53</f>
        <v>114663</v>
      </c>
      <c r="C1122" s="2" t="s">
        <v>569</v>
      </c>
      <c r="D1122" s="2" t="str">
        <f t="shared" si="16"/>
        <v>Error?</v>
      </c>
    </row>
    <row r="1123" spans="1:4" x14ac:dyDescent="0.2">
      <c r="A1123" s="5">
        <v>1062</v>
      </c>
      <c r="B1123" s="1821">
        <f>'Expenditures 15-22'!K55</f>
        <v>0</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0</v>
      </c>
      <c r="C1125" s="2" t="s">
        <v>569</v>
      </c>
      <c r="D1125" s="2" t="str">
        <f t="shared" si="16"/>
        <v>Error?</v>
      </c>
    </row>
    <row r="1126" spans="1:4" x14ac:dyDescent="0.2">
      <c r="A1126" s="5">
        <v>1065</v>
      </c>
      <c r="B1126" s="1821">
        <f>'Expenditures 15-22'!K59</f>
        <v>0</v>
      </c>
      <c r="C1126" s="2" t="s">
        <v>569</v>
      </c>
      <c r="D1126" s="2" t="str">
        <f t="shared" si="16"/>
        <v>Error?</v>
      </c>
    </row>
    <row r="1127" spans="1:4" x14ac:dyDescent="0.2">
      <c r="A1127" s="5">
        <v>1066</v>
      </c>
      <c r="B1127" s="1821">
        <f>'Expenditures 15-22'!K60</f>
        <v>0</v>
      </c>
      <c r="C1127" s="2" t="s">
        <v>569</v>
      </c>
      <c r="D1127" s="2" t="str">
        <f t="shared" si="16"/>
        <v>Error?</v>
      </c>
    </row>
    <row r="1128" spans="1:4" x14ac:dyDescent="0.2">
      <c r="A1128" s="5">
        <v>1067</v>
      </c>
      <c r="B1128" s="1821">
        <f>'Expenditures 15-22'!K61</f>
        <v>0</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0</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0</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0</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331639</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1139315</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1470954</v>
      </c>
      <c r="C1152" s="2" t="s">
        <v>569</v>
      </c>
      <c r="D1152" s="2" t="str">
        <f t="shared" si="17"/>
        <v>Error?</v>
      </c>
    </row>
    <row r="1153" spans="1:4" x14ac:dyDescent="0.2">
      <c r="A1153" s="5">
        <v>1092</v>
      </c>
      <c r="B1153" s="1821">
        <f>'Expenditures 15-22'!K115</f>
        <v>-8772</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0</v>
      </c>
      <c r="D1221" s="2" t="str">
        <f t="shared" si="18"/>
        <v>Error?</v>
      </c>
    </row>
    <row r="1222" spans="1:4" x14ac:dyDescent="0.2">
      <c r="A1222" s="10">
        <v>1161</v>
      </c>
      <c r="B1222" s="1821"/>
      <c r="D1222" s="2" t="str">
        <f t="shared" si="18"/>
        <v>OK</v>
      </c>
    </row>
    <row r="1223" spans="1:4" x14ac:dyDescent="0.2">
      <c r="A1223" s="5">
        <v>1162</v>
      </c>
      <c r="B1223" s="1821">
        <f>'Expenditures 15-22'!C127</f>
        <v>0</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0</v>
      </c>
      <c r="C1225" s="2" t="s">
        <v>569</v>
      </c>
      <c r="D1225" s="2" t="str">
        <f t="shared" si="18"/>
        <v>Error?</v>
      </c>
    </row>
    <row r="1226" spans="1:4" x14ac:dyDescent="0.2">
      <c r="A1226" s="5">
        <v>1165</v>
      </c>
      <c r="B1226" s="1821">
        <f>'Expenditures 15-22'!C151</f>
        <v>0</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0</v>
      </c>
      <c r="D1229" s="2" t="str">
        <f t="shared" si="18"/>
        <v>Error?</v>
      </c>
    </row>
    <row r="1230" spans="1:4" x14ac:dyDescent="0.2">
      <c r="A1230" s="10">
        <v>1169</v>
      </c>
      <c r="B1230" s="1821"/>
      <c r="D1230" s="2" t="str">
        <f t="shared" si="18"/>
        <v>OK</v>
      </c>
    </row>
    <row r="1231" spans="1:4" x14ac:dyDescent="0.2">
      <c r="A1231" s="5">
        <v>1170</v>
      </c>
      <c r="B1231" s="1821">
        <f>'Expenditures 15-22'!D127</f>
        <v>0</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0</v>
      </c>
      <c r="C1233" s="2" t="s">
        <v>569</v>
      </c>
      <c r="D1233" s="2" t="str">
        <f t="shared" si="18"/>
        <v>Error?</v>
      </c>
    </row>
    <row r="1234" spans="1:4" x14ac:dyDescent="0.2">
      <c r="A1234" s="5">
        <v>1173</v>
      </c>
      <c r="B1234" s="1821">
        <f>'Expenditures 15-22'!D151</f>
        <v>0</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0</v>
      </c>
      <c r="D1237" s="2" t="str">
        <f t="shared" si="18"/>
        <v>Error?</v>
      </c>
    </row>
    <row r="1238" spans="1:4" x14ac:dyDescent="0.2">
      <c r="A1238" s="10">
        <v>1177</v>
      </c>
      <c r="B1238" s="1821"/>
      <c r="D1238" s="2" t="str">
        <f t="shared" si="18"/>
        <v>OK</v>
      </c>
    </row>
    <row r="1239" spans="1:4" x14ac:dyDescent="0.2">
      <c r="A1239" s="5">
        <v>1178</v>
      </c>
      <c r="B1239" s="1821">
        <f>'Expenditures 15-22'!E127</f>
        <v>0</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0</v>
      </c>
      <c r="C1241" s="2" t="s">
        <v>569</v>
      </c>
      <c r="D1241" s="2" t="str">
        <f t="shared" si="18"/>
        <v>Error?</v>
      </c>
    </row>
    <row r="1242" spans="1:4" x14ac:dyDescent="0.2">
      <c r="A1242" s="5">
        <v>1181</v>
      </c>
      <c r="B1242" s="1821">
        <f>'Expenditures 15-22'!E151</f>
        <v>0</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0</v>
      </c>
      <c r="D1245" s="2" t="str">
        <f t="shared" si="18"/>
        <v>Error?</v>
      </c>
    </row>
    <row r="1246" spans="1:4" x14ac:dyDescent="0.2">
      <c r="A1246" s="10">
        <v>1185</v>
      </c>
      <c r="B1246" s="1821"/>
      <c r="D1246" s="2" t="str">
        <f t="shared" si="18"/>
        <v>OK</v>
      </c>
    </row>
    <row r="1247" spans="1:4" x14ac:dyDescent="0.2">
      <c r="A1247" s="5">
        <v>1186</v>
      </c>
      <c r="B1247" s="1821">
        <f>'Expenditures 15-22'!F127</f>
        <v>0</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0</v>
      </c>
      <c r="C1249" s="2" t="s">
        <v>569</v>
      </c>
      <c r="D1249" s="2" t="str">
        <f t="shared" si="18"/>
        <v>Error?</v>
      </c>
    </row>
    <row r="1250" spans="1:4" x14ac:dyDescent="0.2">
      <c r="A1250" s="5">
        <v>1189</v>
      </c>
      <c r="B1250" s="1821">
        <f>'Expenditures 15-22'!F151</f>
        <v>0</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0</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0</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0</v>
      </c>
      <c r="C1258" s="2" t="s">
        <v>569</v>
      </c>
      <c r="D1258" s="2" t="str">
        <f t="shared" si="18"/>
        <v>Error?</v>
      </c>
    </row>
    <row r="1259" spans="1:4" x14ac:dyDescent="0.2">
      <c r="A1259" s="5">
        <v>1198</v>
      </c>
      <c r="B1259" s="1821">
        <f>'Expenditures 15-22'!G151</f>
        <v>0</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0</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0</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0</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0</v>
      </c>
      <c r="C1288" s="2" t="s">
        <v>569</v>
      </c>
      <c r="D1288" s="2" t="str">
        <f t="shared" si="19"/>
        <v>Error?</v>
      </c>
    </row>
    <row r="1289" spans="1:4" x14ac:dyDescent="0.2">
      <c r="A1289" s="5">
        <v>1228</v>
      </c>
      <c r="B1289" s="1821">
        <f>'Expenditures 15-22'!K152</f>
        <v>0</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0</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0</v>
      </c>
      <c r="C1317" s="2" t="s">
        <v>569</v>
      </c>
      <c r="D1317" s="2" t="str">
        <f t="shared" si="19"/>
        <v>Error?</v>
      </c>
    </row>
    <row r="1318" spans="1:4" x14ac:dyDescent="0.2">
      <c r="A1318" s="5">
        <v>1257</v>
      </c>
      <c r="B1318" s="1821">
        <f>'Expenditures 15-22'!H174</f>
        <v>0</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0</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0</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0</v>
      </c>
      <c r="C1331" s="2" t="s">
        <v>569</v>
      </c>
      <c r="D1331" s="2" t="str">
        <f t="shared" si="19"/>
        <v>Error?</v>
      </c>
    </row>
    <row r="1332" spans="1:4" x14ac:dyDescent="0.2">
      <c r="A1332" s="5">
        <v>1271</v>
      </c>
      <c r="B1332" s="1821">
        <f>'Expenditures 15-22'!K174</f>
        <v>0</v>
      </c>
      <c r="C1332" s="2" t="s">
        <v>569</v>
      </c>
      <c r="D1332" s="2" t="str">
        <f t="shared" si="19"/>
        <v>Error?</v>
      </c>
    </row>
    <row r="1333" spans="1:4" x14ac:dyDescent="0.2">
      <c r="A1333" s="5">
        <v>1272</v>
      </c>
      <c r="B1333" s="1821">
        <f>'Expenditures 15-22'!K175</f>
        <v>0</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0</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0</v>
      </c>
      <c r="C1339" s="2" t="s">
        <v>569</v>
      </c>
      <c r="D1339" s="2" t="str">
        <f t="shared" si="19"/>
        <v>Error?</v>
      </c>
    </row>
    <row r="1340" spans="1:4" x14ac:dyDescent="0.2">
      <c r="A1340" s="5">
        <v>1279</v>
      </c>
      <c r="B1340" s="1821">
        <f>'Expenditures 15-22'!C210</f>
        <v>0</v>
      </c>
      <c r="C1340" s="2" t="s">
        <v>569</v>
      </c>
      <c r="D1340" s="2" t="str">
        <f t="shared" si="19"/>
        <v>Error?</v>
      </c>
    </row>
    <row r="1341" spans="1:4" x14ac:dyDescent="0.2">
      <c r="A1341" s="5">
        <v>1280</v>
      </c>
      <c r="B1341" s="1821">
        <f>'Expenditures 15-22'!D182</f>
        <v>0</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0</v>
      </c>
      <c r="C1345" s="2" t="s">
        <v>569</v>
      </c>
      <c r="D1345" s="2" t="str">
        <f t="shared" si="20"/>
        <v>Error?</v>
      </c>
    </row>
    <row r="1346" spans="1:4" x14ac:dyDescent="0.2">
      <c r="A1346" s="5">
        <v>1285</v>
      </c>
      <c r="B1346" s="1821">
        <f>'Expenditures 15-22'!D210</f>
        <v>0</v>
      </c>
      <c r="C1346" s="2" t="s">
        <v>569</v>
      </c>
      <c r="D1346" s="2" t="str">
        <f t="shared" si="20"/>
        <v>Error?</v>
      </c>
    </row>
    <row r="1347" spans="1:4" x14ac:dyDescent="0.2">
      <c r="A1347" s="5">
        <v>1286</v>
      </c>
      <c r="B1347" s="1821">
        <f>'Expenditures 15-22'!E182</f>
        <v>0</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0</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0</v>
      </c>
      <c r="C1353" s="2" t="s">
        <v>569</v>
      </c>
      <c r="D1353" s="2" t="str">
        <f t="shared" si="20"/>
        <v>Error?</v>
      </c>
    </row>
    <row r="1354" spans="1:4" x14ac:dyDescent="0.2">
      <c r="A1354" s="5">
        <v>1293</v>
      </c>
      <c r="B1354" s="1821">
        <f>'Expenditures 15-22'!F182</f>
        <v>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0</v>
      </c>
      <c r="C1358" s="2" t="s">
        <v>569</v>
      </c>
      <c r="D1358" s="2" t="str">
        <f t="shared" si="20"/>
        <v>Error?</v>
      </c>
    </row>
    <row r="1359" spans="1:4" x14ac:dyDescent="0.2">
      <c r="A1359" s="5">
        <v>1298</v>
      </c>
      <c r="B1359" s="1821">
        <f>'Expenditures 15-22'!F210</f>
        <v>0</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0</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0</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0</v>
      </c>
      <c r="C1388" s="2" t="s">
        <v>569</v>
      </c>
      <c r="D1388" s="2" t="str">
        <f t="shared" si="20"/>
        <v>Error?</v>
      </c>
    </row>
    <row r="1389" spans="1:4" x14ac:dyDescent="0.2">
      <c r="A1389" s="5">
        <v>1328</v>
      </c>
      <c r="B1389" s="1821">
        <f>'Expenditures 15-22'!K211</f>
        <v>0</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0</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0</v>
      </c>
      <c r="C1410" s="2" t="s">
        <v>569</v>
      </c>
      <c r="D1410" s="2" t="str">
        <f t="shared" si="21"/>
        <v>Error?</v>
      </c>
    </row>
    <row r="1411" spans="1:4" x14ac:dyDescent="0.2">
      <c r="A1411" s="5">
        <v>1350</v>
      </c>
      <c r="B1411" s="1821">
        <f>'Expenditures 15-22'!D232</f>
        <v>0</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0</v>
      </c>
      <c r="D1413" s="2" t="str">
        <f t="shared" si="21"/>
        <v>Error?</v>
      </c>
    </row>
    <row r="1414" spans="1:4" x14ac:dyDescent="0.2">
      <c r="A1414" s="5">
        <v>1353</v>
      </c>
      <c r="B1414" s="1821">
        <f>'Expenditures 15-22'!D235</f>
        <v>0</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0</v>
      </c>
      <c r="C1417" s="2" t="s">
        <v>569</v>
      </c>
      <c r="D1417" s="2" t="str">
        <f t="shared" si="21"/>
        <v>Error?</v>
      </c>
    </row>
    <row r="1418" spans="1:4" x14ac:dyDescent="0.2">
      <c r="A1418" s="5">
        <v>1357</v>
      </c>
      <c r="B1418" s="1821">
        <f>'Expenditures 15-22'!D240</f>
        <v>0</v>
      </c>
      <c r="D1418" s="2" t="str">
        <f t="shared" si="21"/>
        <v>Error?</v>
      </c>
    </row>
    <row r="1419" spans="1:4" x14ac:dyDescent="0.2">
      <c r="A1419" s="5">
        <v>1358</v>
      </c>
      <c r="B1419" s="1821">
        <f>'Expenditures 15-22'!D241</f>
        <v>0</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0</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0</v>
      </c>
      <c r="D1423" s="2" t="str">
        <f t="shared" si="21"/>
        <v>Error?</v>
      </c>
    </row>
    <row r="1424" spans="1:4" x14ac:dyDescent="0.2">
      <c r="A1424" s="5">
        <v>1363</v>
      </c>
      <c r="B1424" s="1821">
        <f>'Expenditures 15-22'!D257</f>
        <v>0</v>
      </c>
      <c r="C1424" s="2" t="s">
        <v>569</v>
      </c>
      <c r="D1424" s="2" t="str">
        <f t="shared" si="21"/>
        <v>Error?</v>
      </c>
    </row>
    <row r="1425" spans="1:4" x14ac:dyDescent="0.2">
      <c r="A1425" s="5">
        <v>1364</v>
      </c>
      <c r="B1425" s="1821">
        <f>'Expenditures 15-22'!D259</f>
        <v>0</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0</v>
      </c>
      <c r="C1427" s="2" t="s">
        <v>569</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0</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0</v>
      </c>
      <c r="D1431" s="2" t="str">
        <f t="shared" si="21"/>
        <v>Error?</v>
      </c>
    </row>
    <row r="1432" spans="1:4" x14ac:dyDescent="0.2">
      <c r="A1432" s="5">
        <v>1371</v>
      </c>
      <c r="B1432" s="1821">
        <f>'Expenditures 15-22'!D267</f>
        <v>0</v>
      </c>
      <c r="D1432" s="2" t="str">
        <f t="shared" si="21"/>
        <v>Error?</v>
      </c>
    </row>
    <row r="1433" spans="1:4" x14ac:dyDescent="0.2">
      <c r="A1433" s="5">
        <v>1372</v>
      </c>
      <c r="B1433" s="1821">
        <f>'Expenditures 15-22'!D268</f>
        <v>0</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0</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0</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0</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0</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0</v>
      </c>
      <c r="C1474" s="2" t="s">
        <v>569</v>
      </c>
      <c r="D1474" s="2" t="str">
        <f t="shared" si="22"/>
        <v>Error?</v>
      </c>
    </row>
    <row r="1475" spans="1:4" x14ac:dyDescent="0.2">
      <c r="A1475" s="5">
        <v>1414</v>
      </c>
      <c r="B1475" s="1821">
        <f>'Expenditures 15-22'!K232</f>
        <v>0</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0</v>
      </c>
      <c r="C1477" s="2" t="s">
        <v>569</v>
      </c>
      <c r="D1477" s="2" t="str">
        <f t="shared" si="22"/>
        <v>Error?</v>
      </c>
    </row>
    <row r="1478" spans="1:4" x14ac:dyDescent="0.2">
      <c r="A1478" s="5">
        <v>1417</v>
      </c>
      <c r="B1478" s="1821">
        <f>'Expenditures 15-22'!K235</f>
        <v>0</v>
      </c>
      <c r="C1478" s="2" t="s">
        <v>569</v>
      </c>
      <c r="D1478" s="2" t="str">
        <f t="shared" si="22"/>
        <v>Error?</v>
      </c>
    </row>
    <row r="1479" spans="1:4" x14ac:dyDescent="0.2">
      <c r="A1479" s="5">
        <v>1418</v>
      </c>
      <c r="B1479" s="1821">
        <f>'Expenditures 15-22'!K236</f>
        <v>0</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0</v>
      </c>
      <c r="C1481" s="2" t="s">
        <v>569</v>
      </c>
      <c r="D1481" s="2" t="str">
        <f t="shared" si="22"/>
        <v>Error?</v>
      </c>
    </row>
    <row r="1482" spans="1:4" x14ac:dyDescent="0.2">
      <c r="A1482" s="5">
        <v>1421</v>
      </c>
      <c r="B1482" s="1821">
        <f>'Expenditures 15-22'!K240</f>
        <v>0</v>
      </c>
      <c r="C1482" s="2" t="s">
        <v>569</v>
      </c>
      <c r="D1482" s="2" t="str">
        <f t="shared" si="22"/>
        <v>Error?</v>
      </c>
    </row>
    <row r="1483" spans="1:4" x14ac:dyDescent="0.2">
      <c r="A1483" s="5">
        <v>1422</v>
      </c>
      <c r="B1483" s="1821">
        <f>'Expenditures 15-22'!K241</f>
        <v>0</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0</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0</v>
      </c>
      <c r="C1487" s="2" t="s">
        <v>569</v>
      </c>
      <c r="D1487" s="2" t="str">
        <f t="shared" si="22"/>
        <v>Error?</v>
      </c>
    </row>
    <row r="1488" spans="1:4" x14ac:dyDescent="0.2">
      <c r="A1488" s="5">
        <v>1427</v>
      </c>
      <c r="B1488" s="1821">
        <f>'Expenditures 15-22'!K257</f>
        <v>0</v>
      </c>
      <c r="C1488" s="2" t="s">
        <v>569</v>
      </c>
      <c r="D1488" s="2" t="str">
        <f t="shared" si="22"/>
        <v>Error?</v>
      </c>
    </row>
    <row r="1489" spans="1:4" x14ac:dyDescent="0.2">
      <c r="A1489" s="5">
        <v>1428</v>
      </c>
      <c r="B1489" s="1821">
        <f>'Expenditures 15-22'!K259</f>
        <v>0</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0</v>
      </c>
      <c r="C1491" s="2" t="s">
        <v>569</v>
      </c>
      <c r="D1491" s="2" t="str">
        <f t="shared" si="22"/>
        <v>Error?</v>
      </c>
    </row>
    <row r="1492" spans="1:4" x14ac:dyDescent="0.2">
      <c r="A1492" s="5">
        <v>1431</v>
      </c>
      <c r="B1492" s="1821">
        <f>'Expenditures 15-22'!K263</f>
        <v>0</v>
      </c>
      <c r="C1492" s="2" t="s">
        <v>569</v>
      </c>
      <c r="D1492" s="2" t="str">
        <f t="shared" si="22"/>
        <v>Error?</v>
      </c>
    </row>
    <row r="1493" spans="1:4" x14ac:dyDescent="0.2">
      <c r="A1493" s="5">
        <v>1432</v>
      </c>
      <c r="B1493" s="1821">
        <f>'Expenditures 15-22'!K264</f>
        <v>0</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0</v>
      </c>
      <c r="C1495" s="2" t="s">
        <v>569</v>
      </c>
      <c r="D1495" s="2" t="str">
        <f t="shared" si="22"/>
        <v>Error?</v>
      </c>
    </row>
    <row r="1496" spans="1:4" x14ac:dyDescent="0.2">
      <c r="A1496" s="5">
        <v>1435</v>
      </c>
      <c r="B1496" s="1821">
        <f>'Expenditures 15-22'!K267</f>
        <v>0</v>
      </c>
      <c r="C1496" s="2" t="s">
        <v>569</v>
      </c>
      <c r="D1496" s="2" t="str">
        <f t="shared" si="22"/>
        <v>Error?</v>
      </c>
    </row>
    <row r="1497" spans="1:4" x14ac:dyDescent="0.2">
      <c r="A1497" s="5">
        <v>1436</v>
      </c>
      <c r="B1497" s="1821">
        <f>'Expenditures 15-22'!K268</f>
        <v>0</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0</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0</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0</v>
      </c>
      <c r="C1517" s="2" t="s">
        <v>569</v>
      </c>
      <c r="D1517" s="2" t="str">
        <f t="shared" si="22"/>
        <v>Error?</v>
      </c>
    </row>
    <row r="1518" spans="1:4" x14ac:dyDescent="0.2">
      <c r="A1518" s="5">
        <v>1457</v>
      </c>
      <c r="B1518" s="1821">
        <f>'Expenditures 15-22'!K296</f>
        <v>0</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0</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0</v>
      </c>
      <c r="C1547" s="2" t="s">
        <v>569</v>
      </c>
      <c r="D1547" s="2" t="str">
        <f t="shared" si="23"/>
        <v>Error?</v>
      </c>
    </row>
    <row r="1548" spans="1:4" x14ac:dyDescent="0.2">
      <c r="A1548" s="5">
        <v>1487</v>
      </c>
      <c r="B1548" s="1821">
        <f>'Expenditures 15-22'!G312</f>
        <v>0</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0</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0</v>
      </c>
      <c r="C1559" s="2" t="s">
        <v>569</v>
      </c>
      <c r="D1559" s="2" t="str">
        <f t="shared" si="23"/>
        <v>Error?</v>
      </c>
    </row>
    <row r="1560" spans="1:4" x14ac:dyDescent="0.2">
      <c r="A1560" s="5">
        <v>1499</v>
      </c>
      <c r="B1560" s="1821">
        <f>'Expenditures 15-22'!K312</f>
        <v>0</v>
      </c>
      <c r="C1560" s="2" t="s">
        <v>569</v>
      </c>
      <c r="D1560" s="2" t="str">
        <f t="shared" si="23"/>
        <v>Error?</v>
      </c>
    </row>
    <row r="1561" spans="1:4" x14ac:dyDescent="0.2">
      <c r="A1561" s="5">
        <v>1500</v>
      </c>
      <c r="B1561" s="1821">
        <f>'Expenditures 15-22'!K313</f>
        <v>0</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171246</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162474</v>
      </c>
      <c r="C1630" s="2" t="s">
        <v>569</v>
      </c>
      <c r="D1630" s="2" t="str">
        <f t="shared" si="24"/>
        <v>Error?</v>
      </c>
    </row>
    <row r="1631" spans="1:4" x14ac:dyDescent="0.2">
      <c r="A1631" s="5">
        <v>1570</v>
      </c>
      <c r="B1631" s="1821">
        <f>'Acct Summary 7-8'!D79</f>
        <v>0</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0</v>
      </c>
      <c r="C1644" s="2" t="s">
        <v>569</v>
      </c>
      <c r="D1644" s="2" t="str">
        <f t="shared" si="24"/>
        <v>Error?</v>
      </c>
    </row>
    <row r="1645" spans="1:4" x14ac:dyDescent="0.2">
      <c r="A1645" s="5">
        <v>1584</v>
      </c>
      <c r="B1645" s="1821">
        <f>'Acct Summary 7-8'!E79</f>
        <v>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0</v>
      </c>
      <c r="C1658" s="2" t="s">
        <v>569</v>
      </c>
      <c r="D1658" s="2" t="str">
        <f t="shared" si="24"/>
        <v>Error?</v>
      </c>
    </row>
    <row r="1659" spans="1:4" x14ac:dyDescent="0.2">
      <c r="A1659" s="5">
        <v>1598</v>
      </c>
      <c r="B1659" s="1821">
        <f>'Acct Summary 7-8'!F79</f>
        <v>0</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0</v>
      </c>
      <c r="C1672" s="2" t="s">
        <v>569</v>
      </c>
      <c r="D1672" s="2" t="str">
        <f t="shared" si="25"/>
        <v>Error?</v>
      </c>
    </row>
    <row r="1673" spans="1:4" x14ac:dyDescent="0.2">
      <c r="A1673" s="5">
        <v>1612</v>
      </c>
      <c r="B1673" s="1821">
        <f>'Acct Summary 7-8'!G79</f>
        <v>0</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0</v>
      </c>
      <c r="C1686" s="2" t="s">
        <v>569</v>
      </c>
      <c r="D1686" s="2" t="str">
        <f t="shared" si="25"/>
        <v>Error?</v>
      </c>
    </row>
    <row r="1687" spans="1:4" x14ac:dyDescent="0.2">
      <c r="A1687" s="5">
        <v>1626</v>
      </c>
      <c r="B1687" s="1821">
        <f>'Acct Summary 7-8'!H79</f>
        <v>0</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0</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0</v>
      </c>
      <c r="C1744" s="2" t="s">
        <v>569</v>
      </c>
      <c r="D1744" s="2" t="str">
        <f t="shared" si="26"/>
        <v>Error?</v>
      </c>
    </row>
    <row r="1745" spans="1:5" x14ac:dyDescent="0.2">
      <c r="A1745" s="5">
        <v>1684</v>
      </c>
      <c r="B1745" s="1821">
        <f>'Tax Sched 23'!B5</f>
        <v>0</v>
      </c>
      <c r="C1745" s="2" t="s">
        <v>569</v>
      </c>
      <c r="D1745" s="2" t="str">
        <f t="shared" si="26"/>
        <v>Error?</v>
      </c>
    </row>
    <row r="1746" spans="1:5" x14ac:dyDescent="0.2">
      <c r="A1746" s="5">
        <v>1685</v>
      </c>
      <c r="B1746" s="1821">
        <f>'Tax Sched 23'!B6</f>
        <v>0</v>
      </c>
      <c r="C1746" s="2" t="s">
        <v>569</v>
      </c>
      <c r="D1746" s="2" t="str">
        <f t="shared" si="26"/>
        <v>Error?</v>
      </c>
    </row>
    <row r="1747" spans="1:5" x14ac:dyDescent="0.2">
      <c r="A1747" s="5">
        <v>1686</v>
      </c>
      <c r="B1747" s="1821">
        <f>'Tax Sched 23'!B7</f>
        <v>0</v>
      </c>
      <c r="C1747" s="2" t="s">
        <v>569</v>
      </c>
      <c r="D1747" s="2" t="str">
        <f t="shared" si="26"/>
        <v>Error?</v>
      </c>
    </row>
    <row r="1748" spans="1:5" x14ac:dyDescent="0.2">
      <c r="A1748" s="5">
        <v>1687</v>
      </c>
      <c r="B1748" s="1821">
        <f>'Tax Sched 23'!B8</f>
        <v>0</v>
      </c>
      <c r="C1748" s="2" t="s">
        <v>569</v>
      </c>
      <c r="D1748" s="2" t="str">
        <f t="shared" si="26"/>
        <v>Error?</v>
      </c>
    </row>
    <row r="1749" spans="1:5" x14ac:dyDescent="0.2">
      <c r="A1749" s="5">
        <v>1688</v>
      </c>
      <c r="B1749" s="1821">
        <f>'Tax Sched 23'!B10</f>
        <v>0</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0</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0</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0</v>
      </c>
      <c r="C1759" s="2" t="s">
        <v>569</v>
      </c>
      <c r="D1759" s="2" t="str">
        <f t="shared" si="26"/>
        <v>Error?</v>
      </c>
    </row>
    <row r="1760" spans="1:5" x14ac:dyDescent="0.2">
      <c r="A1760" s="5">
        <v>1699</v>
      </c>
      <c r="B1760" s="1821">
        <f>'Tax Sched 23'!D4</f>
        <v>0</v>
      </c>
      <c r="C1760" s="2" t="s">
        <v>569</v>
      </c>
      <c r="D1760" s="2" t="str">
        <f t="shared" si="26"/>
        <v>Error?</v>
      </c>
    </row>
    <row r="1761" spans="1:7" x14ac:dyDescent="0.2">
      <c r="A1761" s="5">
        <v>1700</v>
      </c>
      <c r="B1761" s="1821">
        <f>'Tax Sched 23'!D5</f>
        <v>0</v>
      </c>
      <c r="C1761" s="2" t="s">
        <v>569</v>
      </c>
      <c r="D1761" s="2" t="str">
        <f t="shared" si="26"/>
        <v>Error?</v>
      </c>
    </row>
    <row r="1762" spans="1:7" s="8" customFormat="1" x14ac:dyDescent="0.2">
      <c r="A1762" s="5">
        <v>1701</v>
      </c>
      <c r="B1762" s="1821">
        <f>'Tax Sched 23'!D6</f>
        <v>0</v>
      </c>
      <c r="C1762" s="2" t="s">
        <v>569</v>
      </c>
      <c r="D1762" s="2" t="str">
        <f t="shared" si="26"/>
        <v>Error?</v>
      </c>
      <c r="E1762" s="9"/>
      <c r="G1762"/>
    </row>
    <row r="1763" spans="1:7" x14ac:dyDescent="0.2">
      <c r="A1763" s="5">
        <v>1702</v>
      </c>
      <c r="B1763" s="1821">
        <f>'Tax Sched 23'!D7</f>
        <v>0</v>
      </c>
      <c r="C1763" s="2" t="s">
        <v>569</v>
      </c>
      <c r="D1763" s="2" t="str">
        <f t="shared" si="26"/>
        <v>Error?</v>
      </c>
    </row>
    <row r="1764" spans="1:7" x14ac:dyDescent="0.2">
      <c r="A1764" s="5">
        <v>1703</v>
      </c>
      <c r="B1764" s="1821">
        <f>'Tax Sched 23'!D8</f>
        <v>0</v>
      </c>
      <c r="C1764" s="2" t="s">
        <v>569</v>
      </c>
      <c r="D1764" s="2" t="str">
        <f t="shared" si="26"/>
        <v>Error?</v>
      </c>
    </row>
    <row r="1765" spans="1:7" x14ac:dyDescent="0.2">
      <c r="A1765" s="5">
        <v>1704</v>
      </c>
      <c r="B1765" s="1821">
        <f>'Tax Sched 23'!D10</f>
        <v>0</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0</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0</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0</v>
      </c>
      <c r="C1775" s="2" t="s">
        <v>569</v>
      </c>
      <c r="D1775" s="2" t="str">
        <f t="shared" si="26"/>
        <v>Error?</v>
      </c>
    </row>
    <row r="1776" spans="1:7" x14ac:dyDescent="0.2">
      <c r="A1776" s="5">
        <v>1715</v>
      </c>
      <c r="B1776" s="1821">
        <f>'Tax Sched 23'!C4</f>
        <v>0</v>
      </c>
      <c r="D1776" s="2" t="str">
        <f t="shared" si="26"/>
        <v>Error?</v>
      </c>
    </row>
    <row r="1777" spans="1:4" x14ac:dyDescent="0.2">
      <c r="A1777" s="5">
        <v>1716</v>
      </c>
      <c r="B1777" s="1821">
        <f>'Tax Sched 23'!C5</f>
        <v>0</v>
      </c>
      <c r="D1777" s="2" t="str">
        <f t="shared" si="26"/>
        <v>Error?</v>
      </c>
    </row>
    <row r="1778" spans="1:4" x14ac:dyDescent="0.2">
      <c r="A1778" s="5">
        <v>1717</v>
      </c>
      <c r="B1778" s="1821">
        <f>'Tax Sched 23'!C6</f>
        <v>0</v>
      </c>
      <c r="D1778" s="2" t="str">
        <f t="shared" si="26"/>
        <v>Error?</v>
      </c>
    </row>
    <row r="1779" spans="1:4" x14ac:dyDescent="0.2">
      <c r="A1779" s="5">
        <v>1718</v>
      </c>
      <c r="B1779" s="1821">
        <f>'Tax Sched 23'!C7</f>
        <v>0</v>
      </c>
      <c r="D1779" s="2" t="str">
        <f t="shared" si="26"/>
        <v>Error?</v>
      </c>
    </row>
    <row r="1780" spans="1:4" x14ac:dyDescent="0.2">
      <c r="A1780" s="5">
        <v>1719</v>
      </c>
      <c r="B1780" s="1821">
        <f>'Tax Sched 23'!C8</f>
        <v>0</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0</v>
      </c>
      <c r="C1791" s="2" t="s">
        <v>569</v>
      </c>
      <c r="D1791" s="2" t="str">
        <f t="shared" ref="D1791:D1854" si="27">IF(ISBLANK(B1791),"OK",IF(A1791-B1791=0,"OK","Error?"))</f>
        <v>Error?</v>
      </c>
    </row>
    <row r="1792" spans="1:4" x14ac:dyDescent="0.2">
      <c r="A1792" s="5">
        <v>1731</v>
      </c>
      <c r="B1792" s="1821">
        <f>'Tax Sched 23'!F4</f>
        <v>0</v>
      </c>
      <c r="C1792" s="2" t="s">
        <v>569</v>
      </c>
      <c r="D1792" s="2" t="str">
        <f t="shared" si="27"/>
        <v>Error?</v>
      </c>
    </row>
    <row r="1793" spans="1:4" x14ac:dyDescent="0.2">
      <c r="A1793" s="5">
        <v>1732</v>
      </c>
      <c r="B1793" s="1821">
        <f>'Tax Sched 23'!F5</f>
        <v>0</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0</v>
      </c>
      <c r="C1795" s="2" t="s">
        <v>569</v>
      </c>
      <c r="D1795" s="2" t="str">
        <f t="shared" si="27"/>
        <v>Error?</v>
      </c>
    </row>
    <row r="1796" spans="1:4" x14ac:dyDescent="0.2">
      <c r="A1796" s="5">
        <v>1735</v>
      </c>
      <c r="B1796" s="1821">
        <f>'Tax Sched 23'!F8</f>
        <v>0</v>
      </c>
      <c r="C1796" s="2" t="s">
        <v>569</v>
      </c>
      <c r="D1796" s="2" t="str">
        <f t="shared" si="27"/>
        <v>Error?</v>
      </c>
    </row>
    <row r="1797" spans="1:4" x14ac:dyDescent="0.2">
      <c r="A1797" s="5">
        <v>1736</v>
      </c>
      <c r="B1797" s="1821">
        <f>'Tax Sched 23'!F10</f>
        <v>0</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0</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0</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0</v>
      </c>
      <c r="C1807" s="2" t="s">
        <v>569</v>
      </c>
      <c r="D1807" s="2" t="str">
        <f t="shared" si="27"/>
        <v>Error?</v>
      </c>
    </row>
    <row r="1808" spans="1:4" x14ac:dyDescent="0.2">
      <c r="A1808" s="5">
        <v>1747</v>
      </c>
      <c r="B1808" s="1821">
        <f>'Tax Sched 23'!E4</f>
        <v>0</v>
      </c>
      <c r="D1808" s="2" t="str">
        <f t="shared" si="27"/>
        <v>Error?</v>
      </c>
    </row>
    <row r="1809" spans="1:4" x14ac:dyDescent="0.2">
      <c r="A1809" s="5">
        <v>1748</v>
      </c>
      <c r="B1809" s="1821">
        <f>'Tax Sched 23'!E5</f>
        <v>0</v>
      </c>
      <c r="D1809" s="2" t="str">
        <f t="shared" si="27"/>
        <v>Error?</v>
      </c>
    </row>
    <row r="1810" spans="1:4" x14ac:dyDescent="0.2">
      <c r="A1810" s="5">
        <v>1749</v>
      </c>
      <c r="B1810" s="1821">
        <f>'Tax Sched 23'!E6</f>
        <v>0</v>
      </c>
      <c r="D1810" s="2" t="str">
        <f t="shared" si="27"/>
        <v>Error?</v>
      </c>
    </row>
    <row r="1811" spans="1:4" x14ac:dyDescent="0.2">
      <c r="A1811" s="5">
        <v>1750</v>
      </c>
      <c r="B1811" s="1821">
        <f>'Tax Sched 23'!E7</f>
        <v>0</v>
      </c>
      <c r="D1811" s="2" t="str">
        <f t="shared" si="27"/>
        <v>Error?</v>
      </c>
    </row>
    <row r="1812" spans="1:4" x14ac:dyDescent="0.2">
      <c r="A1812" s="5">
        <v>1751</v>
      </c>
      <c r="B1812" s="1821">
        <f>'Tax Sched 23'!E8</f>
        <v>0</v>
      </c>
      <c r="D1812" s="2" t="str">
        <f t="shared" si="27"/>
        <v>Error?</v>
      </c>
    </row>
    <row r="1813" spans="1:4" x14ac:dyDescent="0.2">
      <c r="A1813" s="5">
        <v>1752</v>
      </c>
      <c r="B1813" s="1821">
        <f>'Tax Sched 23'!E10</f>
        <v>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0</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0</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0</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0</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0</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0</v>
      </c>
      <c r="D2008" s="2" t="str">
        <f t="shared" si="30"/>
        <v>Error?</v>
      </c>
    </row>
    <row r="2009" spans="1:4" x14ac:dyDescent="0.2">
      <c r="A2009" s="5">
        <v>1948</v>
      </c>
      <c r="B2009" s="1821">
        <f>'Cap Outlay Deprec 26'!C8</f>
        <v>0</v>
      </c>
      <c r="D2009" s="2" t="str">
        <f t="shared" si="30"/>
        <v>Error?</v>
      </c>
    </row>
    <row r="2010" spans="1:4" x14ac:dyDescent="0.2">
      <c r="A2010" s="5">
        <v>1949</v>
      </c>
      <c r="B2010" s="1821">
        <f>'Cap Outlay Deprec 26'!C10</f>
        <v>0</v>
      </c>
      <c r="D2010" s="2" t="str">
        <f t="shared" si="30"/>
        <v>Error?</v>
      </c>
    </row>
    <row r="2011" spans="1:4" x14ac:dyDescent="0.2">
      <c r="A2011" s="5">
        <v>1950</v>
      </c>
      <c r="B2011" s="1821">
        <f>'Cap Outlay Deprec 26'!C12</f>
        <v>0</v>
      </c>
      <c r="D2011" s="2" t="str">
        <f t="shared" si="30"/>
        <v>Error?</v>
      </c>
    </row>
    <row r="2012" spans="1:4" x14ac:dyDescent="0.2">
      <c r="A2012" s="5">
        <v>1951</v>
      </c>
      <c r="B2012" s="1821">
        <f>'Cap Outlay Deprec 26'!C13</f>
        <v>0</v>
      </c>
      <c r="D2012" s="2" t="str">
        <f t="shared" si="30"/>
        <v>Error?</v>
      </c>
    </row>
    <row r="2013" spans="1:4" x14ac:dyDescent="0.2">
      <c r="A2013" s="5">
        <v>1952</v>
      </c>
      <c r="B2013" s="1821">
        <f>'Cap Outlay Deprec 26'!C16</f>
        <v>0</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0</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0</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0</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0</v>
      </c>
      <c r="C2025" s="2" t="s">
        <v>569</v>
      </c>
      <c r="D2025" s="2" t="str">
        <f t="shared" si="30"/>
        <v>Error?</v>
      </c>
    </row>
    <row r="2026" spans="1:4" x14ac:dyDescent="0.2">
      <c r="A2026" s="5">
        <v>1965</v>
      </c>
      <c r="B2026" s="1821">
        <f>'Cap Outlay Deprec 26'!F5</f>
        <v>0</v>
      </c>
      <c r="C2026" s="2" t="s">
        <v>569</v>
      </c>
      <c r="D2026" s="2" t="str">
        <f t="shared" si="30"/>
        <v>Error?</v>
      </c>
    </row>
    <row r="2027" spans="1:4" x14ac:dyDescent="0.2">
      <c r="A2027" s="5">
        <v>1966</v>
      </c>
      <c r="B2027" s="1821">
        <f>'Cap Outlay Deprec 26'!F8</f>
        <v>0</v>
      </c>
      <c r="C2027" s="2" t="s">
        <v>569</v>
      </c>
      <c r="D2027" s="2" t="str">
        <f t="shared" si="30"/>
        <v>Error?</v>
      </c>
    </row>
    <row r="2028" spans="1:4" x14ac:dyDescent="0.2">
      <c r="A2028" s="5">
        <v>1967</v>
      </c>
      <c r="B2028" s="1821">
        <f>'Cap Outlay Deprec 26'!F10</f>
        <v>0</v>
      </c>
      <c r="C2028" s="2" t="s">
        <v>569</v>
      </c>
      <c r="D2028" s="2" t="str">
        <f t="shared" si="30"/>
        <v>Error?</v>
      </c>
    </row>
    <row r="2029" spans="1:4" x14ac:dyDescent="0.2">
      <c r="A2029" s="5">
        <v>1968</v>
      </c>
      <c r="B2029" s="1821">
        <f>'Cap Outlay Deprec 26'!F12</f>
        <v>0</v>
      </c>
      <c r="C2029" s="2" t="s">
        <v>569</v>
      </c>
      <c r="D2029" s="2" t="str">
        <f t="shared" si="30"/>
        <v>Error?</v>
      </c>
    </row>
    <row r="2030" spans="1:4" x14ac:dyDescent="0.2">
      <c r="A2030" s="5">
        <v>1969</v>
      </c>
      <c r="B2030" s="1821">
        <f>'Cap Outlay Deprec 26'!F13</f>
        <v>0</v>
      </c>
      <c r="C2030" s="2" t="s">
        <v>569</v>
      </c>
      <c r="D2030" s="2" t="str">
        <f t="shared" si="30"/>
        <v>Error?</v>
      </c>
    </row>
    <row r="2031" spans="1:4" x14ac:dyDescent="0.2">
      <c r="A2031" s="5">
        <v>1970</v>
      </c>
      <c r="B2031" s="1821">
        <f>'Cap Outlay Deprec 26'!F16</f>
        <v>0</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0</v>
      </c>
      <c r="D2033" s="2" t="str">
        <f t="shared" si="30"/>
        <v>Error?</v>
      </c>
    </row>
    <row r="2034" spans="1:4" x14ac:dyDescent="0.2">
      <c r="A2034" s="5">
        <v>1973</v>
      </c>
      <c r="B2034" s="1821">
        <f>'Cap Outlay Deprec 26'!H10</f>
        <v>0</v>
      </c>
      <c r="D2034" s="2" t="str">
        <f t="shared" si="30"/>
        <v>Error?</v>
      </c>
    </row>
    <row r="2035" spans="1:4" x14ac:dyDescent="0.2">
      <c r="A2035" s="5">
        <v>1974</v>
      </c>
      <c r="B2035" s="1821">
        <f>'Cap Outlay Deprec 26'!H12</f>
        <v>0</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0</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0</v>
      </c>
      <c r="D2039" s="2" t="str">
        <f t="shared" si="30"/>
        <v>Error?</v>
      </c>
    </row>
    <row r="2040" spans="1:4" x14ac:dyDescent="0.2">
      <c r="A2040" s="5">
        <v>1979</v>
      </c>
      <c r="B2040" s="1821">
        <f>'Cap Outlay Deprec 26'!I10</f>
        <v>0</v>
      </c>
      <c r="D2040" s="2" t="str">
        <f t="shared" si="30"/>
        <v>Error?</v>
      </c>
    </row>
    <row r="2041" spans="1:4" x14ac:dyDescent="0.2">
      <c r="A2041" s="5">
        <v>1980</v>
      </c>
      <c r="B2041" s="1821">
        <f>'Cap Outlay Deprec 26'!I12</f>
        <v>0</v>
      </c>
      <c r="D2041" s="2" t="str">
        <f t="shared" si="30"/>
        <v>Error?</v>
      </c>
    </row>
    <row r="2042" spans="1:4" x14ac:dyDescent="0.2">
      <c r="A2042" s="5">
        <v>1981</v>
      </c>
      <c r="B2042" s="1821">
        <f>'Cap Outlay Deprec 26'!I13</f>
        <v>0</v>
      </c>
      <c r="D2042" s="2" t="str">
        <f t="shared" si="30"/>
        <v>Error?</v>
      </c>
    </row>
    <row r="2043" spans="1:4" x14ac:dyDescent="0.2">
      <c r="A2043" s="5">
        <v>1982</v>
      </c>
      <c r="B2043" s="1821">
        <f>'Cap Outlay Deprec 26'!I16</f>
        <v>0</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0</v>
      </c>
      <c r="C2051" s="2" t="s">
        <v>569</v>
      </c>
      <c r="D2051" s="2" t="str">
        <f t="shared" si="31"/>
        <v>Error?</v>
      </c>
    </row>
    <row r="2052" spans="1:4" x14ac:dyDescent="0.2">
      <c r="A2052" s="5">
        <v>1991</v>
      </c>
      <c r="B2052" s="1821">
        <f>'Cap Outlay Deprec 26'!K10</f>
        <v>0</v>
      </c>
      <c r="C2052" s="2" t="s">
        <v>569</v>
      </c>
      <c r="D2052" s="2" t="str">
        <f t="shared" si="31"/>
        <v>Error?</v>
      </c>
    </row>
    <row r="2053" spans="1:4" x14ac:dyDescent="0.2">
      <c r="A2053" s="5">
        <v>1992</v>
      </c>
      <c r="B2053" s="1821">
        <f>'Cap Outlay Deprec 26'!K12</f>
        <v>0</v>
      </c>
      <c r="C2053" s="2" t="s">
        <v>569</v>
      </c>
      <c r="D2053" s="2" t="str">
        <f t="shared" si="31"/>
        <v>Error?</v>
      </c>
    </row>
    <row r="2054" spans="1:4" x14ac:dyDescent="0.2">
      <c r="A2054" s="5">
        <v>1993</v>
      </c>
      <c r="B2054" s="1821">
        <f>'Cap Outlay Deprec 26'!K13</f>
        <v>0</v>
      </c>
      <c r="C2054" s="2" t="s">
        <v>569</v>
      </c>
      <c r="D2054" s="2" t="str">
        <f t="shared" si="31"/>
        <v>Error?</v>
      </c>
    </row>
    <row r="2055" spans="1:4" x14ac:dyDescent="0.2">
      <c r="A2055" s="5">
        <v>1994</v>
      </c>
      <c r="B2055" s="1821">
        <f>'Cap Outlay Deprec 26'!K16</f>
        <v>0</v>
      </c>
      <c r="C2055" s="2" t="s">
        <v>569</v>
      </c>
      <c r="D2055" s="2" t="str">
        <f t="shared" si="31"/>
        <v>Error?</v>
      </c>
    </row>
    <row r="2056" spans="1:4" x14ac:dyDescent="0.2">
      <c r="A2056" s="5">
        <v>1995</v>
      </c>
      <c r="B2056" s="1821">
        <f>'Cap Outlay Deprec 26'!L5</f>
        <v>0</v>
      </c>
      <c r="C2056" s="2" t="s">
        <v>569</v>
      </c>
      <c r="D2056" s="2" t="str">
        <f t="shared" si="31"/>
        <v>Error?</v>
      </c>
    </row>
    <row r="2057" spans="1:4" x14ac:dyDescent="0.2">
      <c r="A2057" s="5">
        <v>1996</v>
      </c>
      <c r="B2057" s="1821">
        <f>'Cap Outlay Deprec 26'!L8</f>
        <v>0</v>
      </c>
      <c r="C2057" s="2" t="s">
        <v>569</v>
      </c>
      <c r="D2057" s="2" t="str">
        <f t="shared" si="31"/>
        <v>Error?</v>
      </c>
    </row>
    <row r="2058" spans="1:4" x14ac:dyDescent="0.2">
      <c r="A2058" s="5">
        <v>1997</v>
      </c>
      <c r="B2058" s="1821">
        <f>'Cap Outlay Deprec 26'!L10</f>
        <v>0</v>
      </c>
      <c r="C2058" s="2" t="s">
        <v>569</v>
      </c>
      <c r="D2058" s="2" t="str">
        <f t="shared" si="31"/>
        <v>Error?</v>
      </c>
    </row>
    <row r="2059" spans="1:4" x14ac:dyDescent="0.2">
      <c r="A2059" s="5">
        <v>1998</v>
      </c>
      <c r="B2059" s="1821">
        <f>'Cap Outlay Deprec 26'!L12</f>
        <v>0</v>
      </c>
      <c r="C2059" s="2" t="s">
        <v>569</v>
      </c>
      <c r="D2059" s="2" t="str">
        <f t="shared" si="31"/>
        <v>Error?</v>
      </c>
    </row>
    <row r="2060" spans="1:4" x14ac:dyDescent="0.2">
      <c r="A2060" s="5">
        <v>1999</v>
      </c>
      <c r="B2060" s="1821">
        <f>'Cap Outlay Deprec 26'!L13</f>
        <v>0</v>
      </c>
      <c r="C2060" s="2" t="s">
        <v>569</v>
      </c>
      <c r="D2060" s="2" t="str">
        <f t="shared" si="31"/>
        <v>Error?</v>
      </c>
    </row>
    <row r="2061" spans="1:4" x14ac:dyDescent="0.2">
      <c r="A2061" s="5">
        <v>2000</v>
      </c>
      <c r="B2061" s="1821">
        <f>'Cap Outlay Deprec 26'!L16</f>
        <v>0</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1139315</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1139315</v>
      </c>
      <c r="C2088" s="2" t="s">
        <v>569</v>
      </c>
      <c r="D2088" s="2" t="str">
        <f t="shared" si="31"/>
        <v>Error?</v>
      </c>
    </row>
    <row r="2089" spans="1:4" x14ac:dyDescent="0.2">
      <c r="A2089" s="5">
        <v>2028</v>
      </c>
      <c r="B2089" s="1821">
        <f>'Expenditures 15-22'!K92</f>
        <v>0</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3759</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195578</v>
      </c>
      <c r="C2553" s="2" t="s">
        <v>569</v>
      </c>
      <c r="D2553" s="2" t="str">
        <f t="shared" si="38"/>
        <v>Error?</v>
      </c>
    </row>
    <row r="2554" spans="1:4" x14ac:dyDescent="0.2">
      <c r="A2554" s="5">
        <v>2493</v>
      </c>
      <c r="B2554" s="1821">
        <f>'Acct Summary 7-8'!C7</f>
        <v>123530</v>
      </c>
      <c r="C2554" s="2" t="s">
        <v>569</v>
      </c>
      <c r="D2554" s="2" t="str">
        <f t="shared" si="38"/>
        <v>Error?</v>
      </c>
    </row>
    <row r="2555" spans="1:4" x14ac:dyDescent="0.2">
      <c r="A2555" s="5">
        <v>2494</v>
      </c>
      <c r="B2555" s="1821">
        <f>'Acct Summary 7-8'!C8</f>
        <v>1462182</v>
      </c>
      <c r="C2555" s="2" t="s">
        <v>569</v>
      </c>
      <c r="D2555" s="2" t="str">
        <f t="shared" si="38"/>
        <v>Error?</v>
      </c>
    </row>
    <row r="2556" spans="1:4" x14ac:dyDescent="0.2">
      <c r="A2556" s="5">
        <v>2495</v>
      </c>
      <c r="B2556" s="1821">
        <f>'Acct Summary 7-8'!C12</f>
        <v>0</v>
      </c>
      <c r="C2556" s="2" t="s">
        <v>569</v>
      </c>
      <c r="D2556" s="2" t="str">
        <f t="shared" si="38"/>
        <v>Error?</v>
      </c>
    </row>
    <row r="2557" spans="1:4" x14ac:dyDescent="0.2">
      <c r="A2557" s="5">
        <v>2496</v>
      </c>
      <c r="B2557" s="1821">
        <f>'Acct Summary 7-8'!C13</f>
        <v>331639</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1139315</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1470954</v>
      </c>
      <c r="C2561" s="2" t="s">
        <v>569</v>
      </c>
      <c r="D2561" s="2" t="str">
        <f t="shared" si="39"/>
        <v>Error?</v>
      </c>
    </row>
    <row r="2562" spans="1:4" x14ac:dyDescent="0.2">
      <c r="A2562" s="5">
        <v>2501</v>
      </c>
      <c r="B2562" s="1821">
        <f>'Acct Summary 7-8'!C20</f>
        <v>-8772</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0</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0</v>
      </c>
      <c r="C2568" s="2" t="s">
        <v>569</v>
      </c>
      <c r="D2568" s="2" t="str">
        <f t="shared" si="39"/>
        <v>Error?</v>
      </c>
    </row>
    <row r="2569" spans="1:4" x14ac:dyDescent="0.2">
      <c r="A2569" s="5">
        <v>2508</v>
      </c>
      <c r="B2569" s="1821">
        <f>'Acct Summary 7-8'!D13</f>
        <v>0</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0</v>
      </c>
      <c r="C2573" s="2" t="s">
        <v>569</v>
      </c>
      <c r="D2573" s="2" t="str">
        <f t="shared" si="39"/>
        <v>Error?</v>
      </c>
    </row>
    <row r="2574" spans="1:4" x14ac:dyDescent="0.2">
      <c r="A2574" s="5">
        <v>2513</v>
      </c>
      <c r="B2574" s="1821">
        <f>'Acct Summary 7-8'!D20</f>
        <v>0</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0</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0</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0</v>
      </c>
      <c r="C2595" s="2" t="s">
        <v>569</v>
      </c>
      <c r="D2595" s="2" t="str">
        <f t="shared" si="39"/>
        <v>Error?</v>
      </c>
    </row>
    <row r="2596" spans="1:4" x14ac:dyDescent="0.2">
      <c r="A2596" s="5">
        <v>2535</v>
      </c>
      <c r="B2596" s="1821">
        <f>'Acct Summary 7-8'!F13</f>
        <v>0</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0</v>
      </c>
      <c r="C2600" s="2" t="s">
        <v>569</v>
      </c>
      <c r="D2600" s="2" t="str">
        <f t="shared" si="39"/>
        <v>Error?</v>
      </c>
    </row>
    <row r="2601" spans="1:4" x14ac:dyDescent="0.2">
      <c r="A2601" s="5">
        <v>2540</v>
      </c>
      <c r="B2601" s="1821">
        <f>'Acct Summary 7-8'!F20</f>
        <v>0</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0</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0</v>
      </c>
      <c r="C2606" s="2" t="s">
        <v>569</v>
      </c>
      <c r="D2606" s="2" t="str">
        <f t="shared" si="39"/>
        <v>Error?</v>
      </c>
    </row>
    <row r="2607" spans="1:4" x14ac:dyDescent="0.2">
      <c r="A2607" s="5">
        <v>2546</v>
      </c>
      <c r="B2607" s="1821">
        <f>'Acct Summary 7-8'!G12</f>
        <v>0</v>
      </c>
      <c r="C2607" s="2" t="s">
        <v>569</v>
      </c>
      <c r="D2607" s="2" t="str">
        <f t="shared" si="39"/>
        <v>Error?</v>
      </c>
    </row>
    <row r="2608" spans="1:4" x14ac:dyDescent="0.2">
      <c r="A2608" s="5">
        <v>2547</v>
      </c>
      <c r="B2608" s="1821">
        <f>'Acct Summary 7-8'!G13</f>
        <v>0</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0</v>
      </c>
      <c r="C2612" s="2" t="s">
        <v>569</v>
      </c>
      <c r="D2612" s="2" t="str">
        <f t="shared" si="39"/>
        <v>Error?</v>
      </c>
    </row>
    <row r="2613" spans="1:4" x14ac:dyDescent="0.2">
      <c r="A2613" s="5">
        <v>2552</v>
      </c>
      <c r="B2613" s="1821">
        <f>'Acct Summary 7-8'!G20</f>
        <v>0</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0</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0</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0</v>
      </c>
      <c r="C2634" s="2" t="s">
        <v>569</v>
      </c>
      <c r="D2634" s="2" t="str">
        <f t="shared" si="40"/>
        <v>Error?</v>
      </c>
    </row>
    <row r="2635" spans="1:4" x14ac:dyDescent="0.2">
      <c r="A2635" s="5">
        <v>2574</v>
      </c>
      <c r="B2635" s="1821">
        <f>'Acct Summary 7-8'!E17</f>
        <v>0</v>
      </c>
      <c r="C2635" s="2" t="s">
        <v>569</v>
      </c>
      <c r="D2635" s="2" t="str">
        <f t="shared" si="40"/>
        <v>Error?</v>
      </c>
    </row>
    <row r="2636" spans="1:4" x14ac:dyDescent="0.2">
      <c r="A2636" s="5">
        <v>2575</v>
      </c>
      <c r="B2636" s="1821">
        <f>'Acct Summary 7-8'!E20</f>
        <v>0</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0</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0</v>
      </c>
      <c r="C2658" s="2" t="s">
        <v>569</v>
      </c>
      <c r="D2658" s="2" t="str">
        <f t="shared" si="40"/>
        <v>Error?</v>
      </c>
    </row>
    <row r="2659" spans="1:4" x14ac:dyDescent="0.2">
      <c r="A2659" s="5">
        <v>2598</v>
      </c>
      <c r="B2659" s="1821">
        <f>'Acct Summary 7-8'!H13</f>
        <v>0</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0</v>
      </c>
      <c r="C2661" s="2" t="s">
        <v>569</v>
      </c>
      <c r="D2661" s="2" t="str">
        <f t="shared" si="40"/>
        <v>Error?</v>
      </c>
    </row>
    <row r="2662" spans="1:4" x14ac:dyDescent="0.2">
      <c r="A2662" s="5">
        <v>2601</v>
      </c>
      <c r="B2662" s="1821">
        <f>'Acct Summary 7-8'!H20</f>
        <v>0</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75497</v>
      </c>
      <c r="D2718" s="2" t="str">
        <f t="shared" si="41"/>
        <v>Error?</v>
      </c>
    </row>
    <row r="2719" spans="1:4" x14ac:dyDescent="0.2">
      <c r="A2719" s="5">
        <v>2658</v>
      </c>
      <c r="B2719" s="1821">
        <f>'Expenditures 15-22'!D51</f>
        <v>21176</v>
      </c>
      <c r="D2719" s="2" t="str">
        <f t="shared" si="41"/>
        <v>Error?</v>
      </c>
    </row>
    <row r="2720" spans="1:4" x14ac:dyDescent="0.2">
      <c r="A2720" s="5">
        <v>2659</v>
      </c>
      <c r="B2720" s="1821">
        <f>'Expenditures 15-22'!E51</f>
        <v>16634</v>
      </c>
      <c r="D2720" s="2" t="str">
        <f t="shared" si="41"/>
        <v>Error?</v>
      </c>
    </row>
    <row r="2721" spans="1:4" x14ac:dyDescent="0.2">
      <c r="A2721" s="5">
        <v>2660</v>
      </c>
      <c r="B2721" s="1821">
        <f>'Expenditures 15-22'!F51</f>
        <v>183</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1173</v>
      </c>
      <c r="D2723" s="2" t="str">
        <f t="shared" si="41"/>
        <v>Error?</v>
      </c>
    </row>
    <row r="2724" spans="1:4" x14ac:dyDescent="0.2">
      <c r="A2724" s="5">
        <v>2663</v>
      </c>
      <c r="B2724" s="1821">
        <f>'Expenditures 15-22'!K51</f>
        <v>114663</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0</v>
      </c>
      <c r="C2789" s="2" t="s">
        <v>569</v>
      </c>
      <c r="D2789" s="2" t="str">
        <f t="shared" si="42"/>
        <v>Error?</v>
      </c>
    </row>
    <row r="2790" spans="1:4" x14ac:dyDescent="0.2">
      <c r="A2790" s="5">
        <v>2729</v>
      </c>
      <c r="B2790" s="1821">
        <f>'Expenditures 15-22'!E102</f>
        <v>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0</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0</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0</v>
      </c>
      <c r="D2912" s="2" t="str">
        <f t="shared" si="44"/>
        <v>Error?</v>
      </c>
    </row>
    <row r="2913" spans="1:4" x14ac:dyDescent="0.2">
      <c r="A2913" s="5">
        <v>2852</v>
      </c>
      <c r="B2913" s="1821">
        <f>'Assets-Liab 5-6'!I41</f>
        <v>0</v>
      </c>
      <c r="C2913" s="2" t="s">
        <v>569</v>
      </c>
      <c r="D2913" s="2" t="str">
        <f t="shared" si="44"/>
        <v>Error?</v>
      </c>
    </row>
    <row r="2914" spans="1:4" x14ac:dyDescent="0.2">
      <c r="A2914" s="5">
        <v>2853</v>
      </c>
      <c r="B2914" s="1821">
        <f>'Assets-Liab 5-6'!L33</f>
        <v>0</v>
      </c>
      <c r="D2914" s="2" t="str">
        <f t="shared" si="44"/>
        <v>Error?</v>
      </c>
    </row>
    <row r="2915" spans="1:4" x14ac:dyDescent="0.2">
      <c r="A2915" s="10">
        <v>2854</v>
      </c>
      <c r="B2915" s="1821"/>
      <c r="D2915" s="2" t="str">
        <f t="shared" si="44"/>
        <v>OK</v>
      </c>
    </row>
    <row r="2916" spans="1:4" x14ac:dyDescent="0.2">
      <c r="A2916" s="5">
        <v>2855</v>
      </c>
      <c r="B2916" s="1821">
        <f>'Assets-Liab 5-6'!L34</f>
        <v>0</v>
      </c>
      <c r="C2916" s="2" t="s">
        <v>569</v>
      </c>
      <c r="D2916" s="2" t="str">
        <f t="shared" si="44"/>
        <v>Error?</v>
      </c>
    </row>
    <row r="2917" spans="1:4" x14ac:dyDescent="0.2">
      <c r="A2917" s="5">
        <v>2856</v>
      </c>
      <c r="B2917" s="1821">
        <f>'Assets-Liab 5-6'!L41</f>
        <v>0</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1139315</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0</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1139315</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0</v>
      </c>
      <c r="C3225" s="2" t="s">
        <v>569</v>
      </c>
      <c r="D3225" s="2" t="str">
        <f t="shared" si="49"/>
        <v>Error?</v>
      </c>
    </row>
    <row r="3226" spans="1:4" x14ac:dyDescent="0.2">
      <c r="A3226" s="5">
        <v>3165</v>
      </c>
      <c r="B3226" s="1821">
        <f>'Acct Summary 7-8'!I8</f>
        <v>0</v>
      </c>
      <c r="C3226" s="2" t="s">
        <v>569</v>
      </c>
      <c r="D3226" s="2" t="str">
        <f t="shared" si="49"/>
        <v>Error?</v>
      </c>
    </row>
    <row r="3227" spans="1:4" x14ac:dyDescent="0.2">
      <c r="A3227" s="5">
        <v>3166</v>
      </c>
      <c r="B3227" s="1821">
        <f>'Acct Summary 7-8'!I20</f>
        <v>0</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0</v>
      </c>
      <c r="C3231" s="2" t="s">
        <v>569</v>
      </c>
      <c r="D3231" s="2" t="str">
        <f t="shared" si="49"/>
        <v>Error?</v>
      </c>
    </row>
    <row r="3232" spans="1:4" x14ac:dyDescent="0.2">
      <c r="A3232" s="5">
        <v>3171</v>
      </c>
      <c r="B3232" s="1821">
        <f>'Acct Summary 7-8'!C77</f>
        <v>0</v>
      </c>
      <c r="C3232" s="2" t="s">
        <v>569</v>
      </c>
      <c r="D3232" s="2" t="str">
        <f t="shared" si="49"/>
        <v>Error?</v>
      </c>
    </row>
    <row r="3233" spans="1:4" x14ac:dyDescent="0.2">
      <c r="A3233" s="5">
        <v>3172</v>
      </c>
      <c r="B3233" s="1821">
        <f>'Acct Summary 7-8'!C78</f>
        <v>-8772</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0</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0</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0</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0</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0</v>
      </c>
      <c r="C3320" s="2" t="s">
        <v>569</v>
      </c>
      <c r="D3320" s="2" t="str">
        <f t="shared" si="50"/>
        <v>Error?</v>
      </c>
    </row>
    <row r="3321" spans="1:4" x14ac:dyDescent="0.2">
      <c r="A3321" s="5">
        <v>3260</v>
      </c>
      <c r="B3321" s="1821">
        <f>'Acct Summary 7-8'!I79</f>
        <v>0</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0</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0</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0</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0</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0</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0</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0</v>
      </c>
      <c r="D3387" s="2" t="str">
        <f t="shared" si="51"/>
        <v>Error?</v>
      </c>
    </row>
    <row r="3388" spans="1:4" x14ac:dyDescent="0.2">
      <c r="A3388" s="5">
        <v>3327</v>
      </c>
      <c r="B3388" s="1821">
        <f>'Expenditures 15-22'!D217</f>
        <v>0</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0</v>
      </c>
      <c r="C3390" s="2" t="s">
        <v>569</v>
      </c>
      <c r="D3390" s="2" t="str">
        <f t="shared" si="51"/>
        <v>Error?</v>
      </c>
    </row>
    <row r="3391" spans="1:4" x14ac:dyDescent="0.2">
      <c r="A3391" s="5">
        <v>3330</v>
      </c>
      <c r="B3391" s="1821">
        <f>'Expenditures 15-22'!K217</f>
        <v>0</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1139315</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162474</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0</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0</v>
      </c>
      <c r="D3417" s="2" t="str">
        <f t="shared" si="52"/>
        <v>Error?</v>
      </c>
    </row>
    <row r="3418" spans="1:4" x14ac:dyDescent="0.2">
      <c r="A3418" s="10">
        <v>3357</v>
      </c>
      <c r="B3418" s="1821"/>
      <c r="D3418" s="2" t="str">
        <f t="shared" si="52"/>
        <v>OK</v>
      </c>
    </row>
    <row r="3419" spans="1:4" x14ac:dyDescent="0.2">
      <c r="A3419" s="5">
        <v>3358</v>
      </c>
      <c r="B3419" s="1821">
        <f>'Assets-Liab 5-6'!F4</f>
        <v>0</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0</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0</v>
      </c>
      <c r="D3425" s="2" t="str">
        <f t="shared" si="52"/>
        <v>Error?</v>
      </c>
    </row>
    <row r="3426" spans="1:4" x14ac:dyDescent="0.2">
      <c r="A3426" s="10">
        <v>3365</v>
      </c>
      <c r="B3426" s="1821"/>
      <c r="D3426" s="2" t="str">
        <f t="shared" si="52"/>
        <v>OK</v>
      </c>
    </row>
    <row r="3427" spans="1:4" x14ac:dyDescent="0.2">
      <c r="A3427" s="5">
        <v>3366</v>
      </c>
      <c r="B3427" s="1821">
        <f>'Assets-Liab 5-6'!I4</f>
        <v>0</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0</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0</v>
      </c>
      <c r="C3446" s="2" t="s">
        <v>569</v>
      </c>
      <c r="D3446" s="2" t="str">
        <f t="shared" si="52"/>
        <v>Error?</v>
      </c>
    </row>
    <row r="3447" spans="1:4" x14ac:dyDescent="0.2">
      <c r="A3447" s="5">
        <v>3386</v>
      </c>
      <c r="B3447" s="1821">
        <f>'Tax Sched 23'!D16</f>
        <v>0</v>
      </c>
      <c r="C3447" s="2" t="s">
        <v>569</v>
      </c>
      <c r="D3447" s="2" t="str">
        <f t="shared" si="52"/>
        <v>Error?</v>
      </c>
    </row>
    <row r="3448" spans="1:4" x14ac:dyDescent="0.2">
      <c r="A3448" s="5">
        <v>3387</v>
      </c>
      <c r="B3448" s="1821">
        <f>'Tax Sched 23'!C16</f>
        <v>0</v>
      </c>
      <c r="D3448" s="2" t="str">
        <f t="shared" si="52"/>
        <v>Error?</v>
      </c>
    </row>
    <row r="3449" spans="1:4" x14ac:dyDescent="0.2">
      <c r="A3449" s="5">
        <v>3388</v>
      </c>
      <c r="B3449" s="1821">
        <f>'Tax Sched 23'!F16</f>
        <v>0</v>
      </c>
      <c r="C3449" s="2" t="s">
        <v>569</v>
      </c>
      <c r="D3449" s="2" t="str">
        <f t="shared" si="52"/>
        <v>Error?</v>
      </c>
    </row>
    <row r="3450" spans="1:4" x14ac:dyDescent="0.2">
      <c r="A3450" s="5">
        <v>3389</v>
      </c>
      <c r="B3450" s="1821">
        <f>'Tax Sched 23'!E16</f>
        <v>0</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0</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1462182</v>
      </c>
      <c r="C4122" s="2" t="s">
        <v>569</v>
      </c>
      <c r="D4122" s="2" t="str">
        <f t="shared" si="63"/>
        <v>Error?</v>
      </c>
    </row>
    <row r="4123" spans="1:4" x14ac:dyDescent="0.2">
      <c r="A4123" s="5">
        <v>4062</v>
      </c>
      <c r="B4123" s="1821">
        <f>'Acct Summary 7-8'!D10</f>
        <v>0</v>
      </c>
      <c r="C4123" s="2" t="s">
        <v>569</v>
      </c>
      <c r="D4123" s="2" t="str">
        <f t="shared" si="63"/>
        <v>Error?</v>
      </c>
    </row>
    <row r="4124" spans="1:4" x14ac:dyDescent="0.2">
      <c r="A4124" s="5">
        <v>4063</v>
      </c>
      <c r="B4124" s="1821">
        <f>'Acct Summary 7-8'!E10</f>
        <v>0</v>
      </c>
      <c r="C4124" s="2" t="s">
        <v>569</v>
      </c>
      <c r="D4124" s="2" t="str">
        <f t="shared" si="63"/>
        <v>Error?</v>
      </c>
    </row>
    <row r="4125" spans="1:4" x14ac:dyDescent="0.2">
      <c r="A4125" s="5">
        <v>4064</v>
      </c>
      <c r="B4125" s="1821">
        <f>'Acct Summary 7-8'!F10</f>
        <v>0</v>
      </c>
      <c r="C4125" s="2" t="s">
        <v>569</v>
      </c>
      <c r="D4125" s="2" t="str">
        <f t="shared" si="63"/>
        <v>Error?</v>
      </c>
    </row>
    <row r="4126" spans="1:4" x14ac:dyDescent="0.2">
      <c r="A4126" s="5">
        <v>4065</v>
      </c>
      <c r="B4126" s="1821">
        <f>'Acct Summary 7-8'!G10</f>
        <v>0</v>
      </c>
      <c r="C4126" s="2" t="s">
        <v>569</v>
      </c>
      <c r="D4126" s="2" t="str">
        <f t="shared" si="63"/>
        <v>Error?</v>
      </c>
    </row>
    <row r="4127" spans="1:4" x14ac:dyDescent="0.2">
      <c r="A4127" s="5">
        <v>4066</v>
      </c>
      <c r="B4127" s="1821">
        <f>'Acct Summary 7-8'!H10</f>
        <v>0</v>
      </c>
      <c r="C4127" s="2" t="s">
        <v>569</v>
      </c>
      <c r="D4127" s="2" t="str">
        <f t="shared" si="63"/>
        <v>Error?</v>
      </c>
    </row>
    <row r="4128" spans="1:4" x14ac:dyDescent="0.2">
      <c r="A4128" s="5">
        <v>4067</v>
      </c>
      <c r="B4128" s="1821">
        <f>'Acct Summary 7-8'!I10</f>
        <v>0</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0</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1470954</v>
      </c>
      <c r="C4136" s="2" t="s">
        <v>569</v>
      </c>
      <c r="D4136" s="2" t="str">
        <f t="shared" si="63"/>
        <v>Error?</v>
      </c>
    </row>
    <row r="4137" spans="1:4" x14ac:dyDescent="0.2">
      <c r="A4137" s="5">
        <v>4076</v>
      </c>
      <c r="B4137" s="1821">
        <f>'Acct Summary 7-8'!D19</f>
        <v>0</v>
      </c>
      <c r="C4137" s="2" t="s">
        <v>569</v>
      </c>
      <c r="D4137" s="2" t="str">
        <f t="shared" si="63"/>
        <v>Error?</v>
      </c>
    </row>
    <row r="4138" spans="1:4" x14ac:dyDescent="0.2">
      <c r="A4138" s="5">
        <v>4077</v>
      </c>
      <c r="B4138" s="1821">
        <f>'Acct Summary 7-8'!E19</f>
        <v>0</v>
      </c>
      <c r="C4138" s="2" t="s">
        <v>569</v>
      </c>
      <c r="D4138" s="2" t="str">
        <f t="shared" si="63"/>
        <v>Error?</v>
      </c>
    </row>
    <row r="4139" spans="1:4" x14ac:dyDescent="0.2">
      <c r="A4139" s="5">
        <v>4078</v>
      </c>
      <c r="B4139" s="1821">
        <f>'Acct Summary 7-8'!F19</f>
        <v>0</v>
      </c>
      <c r="C4139" s="2" t="s">
        <v>569</v>
      </c>
      <c r="D4139" s="2" t="str">
        <f t="shared" si="63"/>
        <v>Error?</v>
      </c>
    </row>
    <row r="4140" spans="1:4" x14ac:dyDescent="0.2">
      <c r="A4140" s="5">
        <v>4079</v>
      </c>
      <c r="B4140" s="1821">
        <f>'Acct Summary 7-8'!G19</f>
        <v>0</v>
      </c>
      <c r="C4140" s="2" t="s">
        <v>569</v>
      </c>
      <c r="D4140" s="2" t="str">
        <f t="shared" si="63"/>
        <v>Error?</v>
      </c>
    </row>
    <row r="4141" spans="1:4" x14ac:dyDescent="0.2">
      <c r="A4141" s="5">
        <v>4080</v>
      </c>
      <c r="B4141" s="1821">
        <f>'Acct Summary 7-8'!H19</f>
        <v>0</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0</v>
      </c>
      <c r="C4171" s="2" t="s">
        <v>569</v>
      </c>
      <c r="D4171" s="2" t="str">
        <f t="shared" si="64"/>
        <v>Error?</v>
      </c>
    </row>
    <row r="4172" spans="1:4" x14ac:dyDescent="0.2">
      <c r="A4172" s="5">
        <v>4111</v>
      </c>
      <c r="B4172" s="1821">
        <f>'Short-Term Long-Term Debt 24'!J49</f>
        <v>0</v>
      </c>
      <c r="C4172" s="2" t="s">
        <v>569</v>
      </c>
      <c r="D4172" s="2" t="str">
        <f t="shared" si="64"/>
        <v>Error?</v>
      </c>
    </row>
    <row r="4173" spans="1:4" x14ac:dyDescent="0.2">
      <c r="A4173" s="5">
        <v>4112</v>
      </c>
      <c r="B4173" s="1821">
        <f>'Short-Term Long-Term Debt 24'!H49</f>
        <v>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0</v>
      </c>
      <c r="C4265" s="2" t="s">
        <v>569</v>
      </c>
      <c r="D4265" s="2" t="str">
        <f t="shared" si="65"/>
        <v>Error?</v>
      </c>
      <c r="E4265" s="125"/>
    </row>
    <row r="4266" spans="1:5" x14ac:dyDescent="0.2">
      <c r="A4266" s="12">
        <v>4205</v>
      </c>
      <c r="B4266" s="1821">
        <f>('FP Info 3'!F10)*100000</f>
        <v>0</v>
      </c>
      <c r="C4266" s="2" t="s">
        <v>569</v>
      </c>
      <c r="D4266" s="2" t="str">
        <f t="shared" si="65"/>
        <v>Error?</v>
      </c>
      <c r="E4266" s="125"/>
    </row>
    <row r="4267" spans="1:5" x14ac:dyDescent="0.2">
      <c r="A4267" s="12">
        <v>4206</v>
      </c>
      <c r="B4267" s="1821">
        <f>('FP Info 3'!H10)*100000</f>
        <v>0</v>
      </c>
      <c r="C4267" s="2" t="s">
        <v>569</v>
      </c>
      <c r="D4267" s="2" t="str">
        <f t="shared" si="65"/>
        <v>Error?</v>
      </c>
      <c r="E4267" s="125"/>
    </row>
    <row r="4268" spans="1:5" x14ac:dyDescent="0.2">
      <c r="A4268" s="12">
        <v>4207</v>
      </c>
      <c r="B4268" s="1821">
        <f>('FP Info 3'!J10)*100000</f>
        <v>0</v>
      </c>
      <c r="C4268" s="2" t="s">
        <v>569</v>
      </c>
      <c r="D4268" s="2" t="str">
        <f t="shared" si="65"/>
        <v>Error?</v>
      </c>
    </row>
    <row r="4269" spans="1:5" x14ac:dyDescent="0.2">
      <c r="A4269" s="12">
        <v>4208</v>
      </c>
      <c r="B4269" s="1821">
        <f>'FP Info 3'!J16</f>
        <v>162474</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0</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0</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0</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0</v>
      </c>
      <c r="D4995" s="2" t="str">
        <f t="shared" si="77"/>
        <v>Error?</v>
      </c>
    </row>
    <row r="4996" spans="1:4" x14ac:dyDescent="0.2">
      <c r="A4996" s="12">
        <v>4935</v>
      </c>
      <c r="B4996" s="1821" t="str">
        <f>'FP Info 3'!H31</f>
        <v>Enter x in a.or b.</v>
      </c>
      <c r="D4996" s="2" t="e">
        <f t="shared" si="77"/>
        <v>#VALUE!</v>
      </c>
    </row>
    <row r="4997" spans="1:4" x14ac:dyDescent="0.2">
      <c r="A4997" s="12">
        <v>4936</v>
      </c>
      <c r="B4997" s="1821">
        <f>'FP Info 3'!H37</f>
        <v>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0</v>
      </c>
      <c r="D5061" s="2" t="str">
        <f t="shared" si="78"/>
        <v>Error?</v>
      </c>
    </row>
    <row r="5062" spans="1:4" x14ac:dyDescent="0.2">
      <c r="A5062" s="10">
        <v>5001</v>
      </c>
      <c r="B5062" s="1821"/>
      <c r="D5062" s="2" t="str">
        <f t="shared" si="78"/>
        <v>OK</v>
      </c>
    </row>
    <row r="5063" spans="1:4" x14ac:dyDescent="0.2">
      <c r="A5063" s="5">
        <v>5002</v>
      </c>
      <c r="B5063" s="1821">
        <f>'Revenues 9-14'!C7</f>
        <v>0</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0</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0</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0</v>
      </c>
      <c r="C5087" s="2" t="s">
        <v>569</v>
      </c>
      <c r="D5087" s="2" t="str">
        <f t="shared" si="78"/>
        <v>Error?</v>
      </c>
    </row>
    <row r="5088" spans="1:4" x14ac:dyDescent="0.2">
      <c r="A5088" s="5">
        <v>5027</v>
      </c>
      <c r="B5088" s="1821">
        <f>'Revenues 9-14'!C65</f>
        <v>3737</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3737</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0</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0</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0</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0</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22</v>
      </c>
      <c r="D5119" s="2" t="str">
        <f t="shared" ref="D5119:D5182" si="79">IF(ISBLANK(B5119),"OK",IF(A5119-B5119=0,"OK","Error?"))</f>
        <v>Error?</v>
      </c>
    </row>
    <row r="5120" spans="1:4" x14ac:dyDescent="0.2">
      <c r="A5120" s="5">
        <v>5059</v>
      </c>
      <c r="B5120" s="1821">
        <f>'Revenues 9-14'!C108</f>
        <v>22</v>
      </c>
      <c r="C5120" s="2" t="s">
        <v>569</v>
      </c>
      <c r="D5120" s="2" t="str">
        <f t="shared" si="79"/>
        <v>Error?</v>
      </c>
    </row>
    <row r="5121" spans="1:4" x14ac:dyDescent="0.2">
      <c r="A5121" s="5">
        <v>5060</v>
      </c>
      <c r="B5121" s="1821">
        <f>'Revenues 9-14'!C109</f>
        <v>3759</v>
      </c>
      <c r="C5121" s="2" t="s">
        <v>569</v>
      </c>
      <c r="D5121" s="2" t="str">
        <f t="shared" si="79"/>
        <v>Error?</v>
      </c>
    </row>
    <row r="5122" spans="1:4" x14ac:dyDescent="0.2">
      <c r="A5122" s="5">
        <v>5061</v>
      </c>
      <c r="B5122" s="1821">
        <f>'Revenues 9-14'!C111</f>
        <v>745073</v>
      </c>
      <c r="D5122" s="2" t="str">
        <f t="shared" si="79"/>
        <v>Error?</v>
      </c>
    </row>
    <row r="5123" spans="1:4" x14ac:dyDescent="0.2">
      <c r="A5123" s="5">
        <v>5062</v>
      </c>
      <c r="B5123" s="1821">
        <f>'Revenues 9-14'!C112</f>
        <v>394242</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1139315</v>
      </c>
      <c r="C5125" s="2" t="s">
        <v>569</v>
      </c>
      <c r="D5125" s="2" t="str">
        <f t="shared" si="79"/>
        <v>Error?</v>
      </c>
    </row>
    <row r="5126" spans="1:4" x14ac:dyDescent="0.2">
      <c r="A5126" s="5">
        <v>5065</v>
      </c>
      <c r="B5126" s="1821">
        <f>'Revenues 9-14'!C117</f>
        <v>0</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0</v>
      </c>
      <c r="C5132" s="2" t="s">
        <v>569</v>
      </c>
      <c r="D5132" s="2" t="str">
        <f t="shared" si="79"/>
        <v>Error?</v>
      </c>
    </row>
    <row r="5133" spans="1:4" x14ac:dyDescent="0.2">
      <c r="A5133" s="5">
        <v>5072</v>
      </c>
      <c r="B5133" s="1821">
        <f>'Revenues 9-14'!C125</f>
        <v>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0</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195578</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195578</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0</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195578</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195578</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0</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0</v>
      </c>
      <c r="C5246" s="2" t="s">
        <v>569</v>
      </c>
      <c r="D5246" s="2" t="str">
        <f t="shared" si="80"/>
        <v>Error?</v>
      </c>
    </row>
    <row r="5247" spans="1:4" x14ac:dyDescent="0.2">
      <c r="A5247" s="5">
        <v>5186</v>
      </c>
      <c r="B5247" s="1821">
        <f>'Revenues 9-14'!C200</f>
        <v>0</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0</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0</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0</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123530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123530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123530</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123530</v>
      </c>
      <c r="C5326" s="2" t="s">
        <v>569</v>
      </c>
      <c r="D5326" s="2" t="str">
        <f t="shared" si="82"/>
        <v>Error?</v>
      </c>
    </row>
    <row r="5327" spans="1:5" x14ac:dyDescent="0.2">
      <c r="A5327" s="5">
        <v>5266</v>
      </c>
      <c r="B5327" s="1821">
        <f>'Revenues 9-14'!C268</f>
        <v>1462182</v>
      </c>
      <c r="C5327" s="2" t="s">
        <v>569</v>
      </c>
      <c r="D5327" s="2" t="str">
        <f t="shared" si="82"/>
        <v>Error?</v>
      </c>
    </row>
    <row r="5328" spans="1:5" x14ac:dyDescent="0.2">
      <c r="A5328" s="5">
        <v>5267</v>
      </c>
      <c r="B5328" s="1821">
        <f>'Revenues 9-14'!D5</f>
        <v>0</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0</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0</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0</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0</v>
      </c>
      <c r="D5354" s="2" t="str">
        <f t="shared" si="82"/>
        <v>Error?</v>
      </c>
    </row>
    <row r="5355" spans="1:4" x14ac:dyDescent="0.2">
      <c r="A5355" s="5">
        <v>5294</v>
      </c>
      <c r="B5355" s="1821">
        <f>'Revenues 9-14'!D108</f>
        <v>0</v>
      </c>
      <c r="C5355" s="2" t="s">
        <v>569</v>
      </c>
      <c r="D5355" s="2" t="str">
        <f t="shared" si="82"/>
        <v>Error?</v>
      </c>
    </row>
    <row r="5356" spans="1:4" x14ac:dyDescent="0.2">
      <c r="A5356" s="5">
        <v>5295</v>
      </c>
      <c r="B5356" s="1821">
        <f>'Revenues 9-14'!D109</f>
        <v>0</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0</v>
      </c>
      <c r="C5508" s="2" t="s">
        <v>569</v>
      </c>
      <c r="D5508" s="2" t="str">
        <f t="shared" si="85"/>
        <v>Error?</v>
      </c>
    </row>
    <row r="5509" spans="1:4" x14ac:dyDescent="0.2">
      <c r="A5509" s="5">
        <v>5448</v>
      </c>
      <c r="B5509" s="1821">
        <f>'Revenues 9-14'!E5</f>
        <v>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0</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0</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0</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0</v>
      </c>
      <c r="C5552" s="2" t="s">
        <v>569</v>
      </c>
      <c r="D5552" s="2" t="str">
        <f t="shared" si="85"/>
        <v>Error?</v>
      </c>
    </row>
    <row r="5553" spans="1:4" x14ac:dyDescent="0.2">
      <c r="A5553" s="5">
        <v>5492</v>
      </c>
      <c r="B5553" s="1821">
        <f>'Revenues 9-14'!F5</f>
        <v>0</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0</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0</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0</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0</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0</v>
      </c>
      <c r="D5615" s="2" t="str">
        <f t="shared" si="86"/>
        <v>Error?</v>
      </c>
    </row>
    <row r="5616" spans="1:4" x14ac:dyDescent="0.2">
      <c r="A5616" s="10">
        <v>5555</v>
      </c>
      <c r="B5616" s="1821"/>
      <c r="D5616" s="2" t="str">
        <f t="shared" si="86"/>
        <v>OK</v>
      </c>
    </row>
    <row r="5617" spans="1:5" x14ac:dyDescent="0.2">
      <c r="A5617" s="5">
        <v>5556</v>
      </c>
      <c r="B5617" s="1821">
        <f>'Revenues 9-14'!F153</f>
        <v>0</v>
      </c>
      <c r="D5617" s="2" t="str">
        <f t="shared" si="86"/>
        <v>Error?</v>
      </c>
    </row>
    <row r="5618" spans="1:5" x14ac:dyDescent="0.2">
      <c r="A5618" s="5">
        <v>5557</v>
      </c>
      <c r="B5618" s="1821">
        <f>'Revenues 9-14'!F155</f>
        <v>0</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0</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0</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0</v>
      </c>
      <c r="C5720" s="2" t="s">
        <v>569</v>
      </c>
      <c r="D5720" s="2" t="str">
        <f t="shared" si="88"/>
        <v>Error?</v>
      </c>
    </row>
    <row r="5721" spans="1:4" x14ac:dyDescent="0.2">
      <c r="A5721" s="5">
        <v>5660</v>
      </c>
      <c r="B5721" s="1821">
        <f>'Revenues 9-14'!G5</f>
        <v>0</v>
      </c>
      <c r="D5721" s="2" t="str">
        <f t="shared" si="88"/>
        <v>Error?</v>
      </c>
    </row>
    <row r="5722" spans="1:4" x14ac:dyDescent="0.2">
      <c r="A5722" s="5">
        <v>5661</v>
      </c>
      <c r="B5722" s="1821">
        <f>'Revenues 9-14'!G7</f>
        <v>0</v>
      </c>
      <c r="D5722" s="2" t="str">
        <f t="shared" si="88"/>
        <v>Error?</v>
      </c>
    </row>
    <row r="5723" spans="1:4" x14ac:dyDescent="0.2">
      <c r="A5723" s="5">
        <v>5662</v>
      </c>
      <c r="B5723" s="1821">
        <f>'Revenues 9-14'!G8</f>
        <v>0</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0</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0</v>
      </c>
      <c r="C5730" s="2" t="s">
        <v>569</v>
      </c>
      <c r="D5730" s="2" t="str">
        <f t="shared" si="88"/>
        <v>Error?</v>
      </c>
    </row>
    <row r="5731" spans="1:4" x14ac:dyDescent="0.2">
      <c r="A5731" s="5">
        <v>5670</v>
      </c>
      <c r="B5731" s="1821">
        <f>'Revenues 9-14'!G65</f>
        <v>0</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0</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0</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0</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0</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0</v>
      </c>
      <c r="C5915" s="2" t="s">
        <v>569</v>
      </c>
      <c r="D5915" s="2" t="str">
        <f t="shared" si="91"/>
        <v>Error?</v>
      </c>
    </row>
    <row r="5916" spans="1:4" x14ac:dyDescent="0.2">
      <c r="A5916" s="5">
        <v>5855</v>
      </c>
      <c r="B5916" s="1821">
        <f>'Revenues 9-14'!I5</f>
        <v>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0</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0</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0</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0</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0</v>
      </c>
      <c r="C6024" s="2" t="s">
        <v>569</v>
      </c>
      <c r="D6024" s="2" t="str">
        <f t="shared" si="93"/>
        <v>Error?</v>
      </c>
    </row>
    <row r="6025" spans="1:5" x14ac:dyDescent="0.2">
      <c r="A6025" s="5">
        <v>5964</v>
      </c>
      <c r="B6025" s="1821">
        <f>'Revenues 9-14'!H109</f>
        <v>0</v>
      </c>
      <c r="C6025" s="2" t="s">
        <v>569</v>
      </c>
      <c r="D6025" s="2" t="str">
        <f t="shared" si="93"/>
        <v>Error?</v>
      </c>
    </row>
    <row r="6026" spans="1:5" x14ac:dyDescent="0.2">
      <c r="A6026" s="5">
        <v>5965</v>
      </c>
      <c r="B6026" s="1821">
        <f>'Revenues 9-14'!I109</f>
        <v>0</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0</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0</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0</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0</v>
      </c>
      <c r="D6215" s="2" t="str">
        <f t="shared" si="96"/>
        <v>Error?</v>
      </c>
      <c r="E6215" s="2" t="s">
        <v>189</v>
      </c>
    </row>
    <row r="6216" spans="1:5" x14ac:dyDescent="0.2">
      <c r="A6216">
        <v>6155</v>
      </c>
      <c r="B6216" s="1821">
        <f>'Assets-Liab 5-6'!J41</f>
        <v>0</v>
      </c>
      <c r="D6216" s="2" t="str">
        <f t="shared" si="96"/>
        <v>Error?</v>
      </c>
      <c r="E6216" s="2" t="s">
        <v>189</v>
      </c>
    </row>
    <row r="6217" spans="1:5" x14ac:dyDescent="0.2">
      <c r="A6217">
        <v>6156</v>
      </c>
      <c r="B6217" s="1821">
        <f>'Assets-Liab 5-6'!J4</f>
        <v>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0</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0</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0</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0</v>
      </c>
      <c r="D6229" s="2" t="str">
        <f t="shared" si="96"/>
        <v>Error?</v>
      </c>
      <c r="E6229" s="2" t="s">
        <v>189</v>
      </c>
    </row>
    <row r="6230" spans="1:5" x14ac:dyDescent="0.2">
      <c r="A6230">
        <v>6169</v>
      </c>
      <c r="B6230" s="1821">
        <f>'Acct Summary 7-8'!J20</f>
        <v>0</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0</v>
      </c>
      <c r="D6263" s="2" t="str">
        <f t="shared" si="96"/>
        <v>Error?</v>
      </c>
      <c r="E6263" s="2" t="s">
        <v>189</v>
      </c>
    </row>
    <row r="6264" spans="1:5" x14ac:dyDescent="0.2">
      <c r="A6264">
        <v>6203</v>
      </c>
      <c r="B6264" s="1821">
        <f>'Acct Summary 7-8'!J79</f>
        <v>0</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0</v>
      </c>
      <c r="D6266" s="2" t="str">
        <f t="shared" si="96"/>
        <v>Error?</v>
      </c>
      <c r="E6266" s="2" t="s">
        <v>189</v>
      </c>
    </row>
    <row r="6267" spans="1:5" x14ac:dyDescent="0.2">
      <c r="A6267">
        <v>6206</v>
      </c>
      <c r="B6267" s="1821">
        <f>'Acct Summary 7-8'!C82</f>
        <v>-8772</v>
      </c>
      <c r="D6267" s="2" t="str">
        <f t="shared" si="96"/>
        <v>Error?</v>
      </c>
      <c r="E6267" s="2" t="s">
        <v>189</v>
      </c>
    </row>
    <row r="6268" spans="1:5" x14ac:dyDescent="0.2">
      <c r="A6268">
        <v>6207</v>
      </c>
      <c r="B6268" s="1821">
        <f>'Acct Summary 7-8'!D82</f>
        <v>0</v>
      </c>
      <c r="D6268" s="2" t="str">
        <f t="shared" si="96"/>
        <v>Error?</v>
      </c>
      <c r="E6268" s="2" t="s">
        <v>189</v>
      </c>
    </row>
    <row r="6269" spans="1:5" x14ac:dyDescent="0.2">
      <c r="A6269">
        <v>6208</v>
      </c>
      <c r="B6269" s="1821">
        <f>'Acct Summary 7-8'!E82</f>
        <v>0</v>
      </c>
      <c r="D6269" s="2" t="str">
        <f t="shared" si="96"/>
        <v>Error?</v>
      </c>
      <c r="E6269" s="2" t="s">
        <v>189</v>
      </c>
    </row>
    <row r="6270" spans="1:5" x14ac:dyDescent="0.2">
      <c r="A6270">
        <v>6209</v>
      </c>
      <c r="B6270" s="1821">
        <f>'Acct Summary 7-8'!F82</f>
        <v>0</v>
      </c>
      <c r="D6270" s="2" t="str">
        <f t="shared" si="96"/>
        <v>Error?</v>
      </c>
      <c r="E6270" s="2" t="s">
        <v>189</v>
      </c>
    </row>
    <row r="6271" spans="1:5" x14ac:dyDescent="0.2">
      <c r="A6271">
        <v>6210</v>
      </c>
      <c r="B6271" s="1821">
        <f>'Acct Summary 7-8'!G82</f>
        <v>0</v>
      </c>
      <c r="D6271" s="2" t="str">
        <f t="shared" ref="D6271:D6334" si="97">IF(ISBLANK(B6271),"OK",IF(A6271-B6271=0,"OK","Error?"))</f>
        <v>Error?</v>
      </c>
      <c r="E6271" s="2" t="s">
        <v>189</v>
      </c>
    </row>
    <row r="6272" spans="1:5" x14ac:dyDescent="0.2">
      <c r="A6272">
        <v>6211</v>
      </c>
      <c r="B6272" s="1821">
        <f>'Acct Summary 7-8'!H82</f>
        <v>0</v>
      </c>
      <c r="D6272" s="2" t="str">
        <f t="shared" si="97"/>
        <v>Error?</v>
      </c>
      <c r="E6272" s="2" t="s">
        <v>189</v>
      </c>
    </row>
    <row r="6273" spans="1:5" x14ac:dyDescent="0.2">
      <c r="A6273">
        <v>6212</v>
      </c>
      <c r="B6273" s="1821">
        <f>'Acct Summary 7-8'!I82</f>
        <v>0</v>
      </c>
      <c r="D6273" s="2" t="str">
        <f t="shared" si="97"/>
        <v>Error?</v>
      </c>
      <c r="E6273" s="2" t="s">
        <v>189</v>
      </c>
    </row>
    <row r="6274" spans="1:5" x14ac:dyDescent="0.2">
      <c r="A6274">
        <v>6213</v>
      </c>
      <c r="B6274" s="1821">
        <f>'Acct Summary 7-8'!J82</f>
        <v>0</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-5.3990176889840834E-2</v>
      </c>
      <c r="D6276" s="2" t="str">
        <f t="shared" si="97"/>
        <v>Error?</v>
      </c>
      <c r="E6276" s="2" t="s">
        <v>189</v>
      </c>
    </row>
    <row r="6277" spans="1:5" x14ac:dyDescent="0.2">
      <c r="A6277">
        <v>6216</v>
      </c>
      <c r="B6277" s="1821" t="e">
        <f>'Acct Summary 7-8'!D83</f>
        <v>#DIV/0!</v>
      </c>
      <c r="D6277" s="2" t="e">
        <f t="shared" si="97"/>
        <v>#DIV/0!</v>
      </c>
      <c r="E6277" s="2" t="s">
        <v>189</v>
      </c>
    </row>
    <row r="6278" spans="1:5" x14ac:dyDescent="0.2">
      <c r="A6278">
        <v>6217</v>
      </c>
      <c r="B6278" s="1821" t="e">
        <f>'Acct Summary 7-8'!E83</f>
        <v>#DIV/0!</v>
      </c>
      <c r="D6278" s="2" t="e">
        <f t="shared" si="97"/>
        <v>#DIV/0!</v>
      </c>
      <c r="E6278" s="2" t="s">
        <v>189</v>
      </c>
    </row>
    <row r="6279" spans="1:5" x14ac:dyDescent="0.2">
      <c r="A6279">
        <v>6218</v>
      </c>
      <c r="B6279" s="1821" t="e">
        <f>'Acct Summary 7-8'!F83</f>
        <v>#DIV/0!</v>
      </c>
      <c r="D6279" s="2" t="e">
        <f t="shared" si="97"/>
        <v>#DIV/0!</v>
      </c>
      <c r="E6279" s="2" t="s">
        <v>189</v>
      </c>
    </row>
    <row r="6280" spans="1:5" x14ac:dyDescent="0.2">
      <c r="A6280">
        <v>6219</v>
      </c>
      <c r="B6280" s="1821" t="e">
        <f>'Acct Summary 7-8'!G83</f>
        <v>#DIV/0!</v>
      </c>
      <c r="D6280" s="2" t="e">
        <f t="shared" si="97"/>
        <v>#DIV/0!</v>
      </c>
      <c r="E6280" s="2" t="s">
        <v>189</v>
      </c>
    </row>
    <row r="6281" spans="1:5" x14ac:dyDescent="0.2">
      <c r="A6281">
        <v>6220</v>
      </c>
      <c r="B6281" s="1821" t="e">
        <f>'Acct Summary 7-8'!H83</f>
        <v>#DIV/0!</v>
      </c>
      <c r="D6281" s="2" t="e">
        <f t="shared" si="97"/>
        <v>#DIV/0!</v>
      </c>
      <c r="E6281" s="2" t="s">
        <v>189</v>
      </c>
    </row>
    <row r="6282" spans="1:5" x14ac:dyDescent="0.2">
      <c r="A6282">
        <v>6221</v>
      </c>
      <c r="B6282" s="1821" t="e">
        <f>'Acct Summary 7-8'!I83</f>
        <v>#DIV/0!</v>
      </c>
      <c r="D6282" s="2" t="e">
        <f t="shared" si="97"/>
        <v>#DIV/0!</v>
      </c>
      <c r="E6282" s="2" t="s">
        <v>189</v>
      </c>
    </row>
    <row r="6283" spans="1:5" x14ac:dyDescent="0.2">
      <c r="A6283">
        <v>6222</v>
      </c>
      <c r="B6283" s="1821" t="e">
        <f>'Acct Summary 7-8'!J83</f>
        <v>#DIV/0!</v>
      </c>
      <c r="D6283" s="2" t="e">
        <f t="shared" si="97"/>
        <v>#DIV/0!</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0</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0</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0</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0</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0</v>
      </c>
      <c r="D6983" s="2" t="str">
        <f t="shared" si="108"/>
        <v>Error?</v>
      </c>
    </row>
    <row r="6984" spans="1:4" x14ac:dyDescent="0.2">
      <c r="A6984">
        <v>6923</v>
      </c>
      <c r="B6984" s="1821">
        <f>'Expenditures 15-22'!K86</f>
        <v>0</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0</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0</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0</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0</v>
      </c>
      <c r="D7224" s="2" t="str">
        <f t="shared" si="111"/>
        <v>Error?</v>
      </c>
    </row>
    <row r="7225" spans="1:4" x14ac:dyDescent="0.2">
      <c r="A7225">
        <v>7164</v>
      </c>
      <c r="B7225" s="1821">
        <f>'Expenditures 15-22'!K343</f>
        <v>0</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0</v>
      </c>
      <c r="D7624" s="2" t="str">
        <f t="shared" si="124"/>
        <v>Error?</v>
      </c>
      <c r="E7624" s="2" t="s">
        <v>19</v>
      </c>
    </row>
    <row r="7625" spans="1:5" x14ac:dyDescent="0.2">
      <c r="A7625">
        <f t="shared" si="123"/>
        <v>7564</v>
      </c>
      <c r="B7625" s="1821">
        <f>'Cap Outlay Deprec 26'!I17</f>
        <v>0</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0</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0</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0</v>
      </c>
      <c r="D7817" s="2" t="str">
        <f t="shared" si="128"/>
        <v>Error?</v>
      </c>
      <c r="E7817" s="4" t="s">
        <v>1963</v>
      </c>
    </row>
    <row r="7818" spans="1:5" x14ac:dyDescent="0.2">
      <c r="A7818">
        <v>7757</v>
      </c>
      <c r="B7818" s="1821">
        <f>'PCTC-OEPP 27-28'!F172</f>
        <v>0</v>
      </c>
      <c r="D7818" s="2" t="str">
        <f t="shared" si="128"/>
        <v>Error?</v>
      </c>
      <c r="E7818" s="4" t="s">
        <v>1977</v>
      </c>
    </row>
    <row r="7819" spans="1:5" x14ac:dyDescent="0.2">
      <c r="A7819">
        <v>7758</v>
      </c>
      <c r="B7819" s="1821">
        <f>'PCTC-OEPP 27-28'!F173</f>
        <v>0</v>
      </c>
      <c r="D7819" s="2" t="str">
        <f t="shared" si="128"/>
        <v>Error?</v>
      </c>
      <c r="E7819" s="4" t="s">
        <v>1977</v>
      </c>
    </row>
    <row r="7820" spans="1:5" x14ac:dyDescent="0.2">
      <c r="A7820">
        <v>7759</v>
      </c>
      <c r="B7820" s="1821">
        <f>'ICR Computation 30'!E40</f>
        <v>0</v>
      </c>
      <c r="D7820" s="2" t="str">
        <f t="shared" si="128"/>
        <v>Error?</v>
      </c>
    </row>
    <row r="7821" spans="1:5" x14ac:dyDescent="0.2">
      <c r="A7821">
        <v>7760</v>
      </c>
      <c r="B7821" s="1821">
        <f>'ICR Computation 30'!G40</f>
        <v>0</v>
      </c>
      <c r="D7821" s="2" t="str">
        <f t="shared" si="128"/>
        <v>Error?</v>
      </c>
    </row>
    <row r="7822" spans="1:5" x14ac:dyDescent="0.2">
      <c r="A7822" s="1">
        <v>7761</v>
      </c>
      <c r="B7822" s="1821">
        <f>'PCTC-OEPP 27-28'!F14</f>
        <v>1470954</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0</v>
      </c>
      <c r="D7830" s="2" t="str">
        <f t="shared" si="129"/>
        <v>Error?</v>
      </c>
      <c r="E7830" s="4" t="s">
        <v>1995</v>
      </c>
    </row>
    <row r="7831" spans="1:5" x14ac:dyDescent="0.2">
      <c r="A7831">
        <v>7770</v>
      </c>
      <c r="B7831" s="1821">
        <f>'PCTC-OEPP 27-28'!F52</f>
        <v>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1139315</v>
      </c>
      <c r="D7834" s="2" t="str">
        <f t="shared" si="129"/>
        <v>Error?</v>
      </c>
      <c r="E7834" s="4" t="s">
        <v>1995</v>
      </c>
    </row>
    <row r="7835" spans="1:5" x14ac:dyDescent="0.2">
      <c r="A7835">
        <v>7774</v>
      </c>
      <c r="B7835" s="1821">
        <f>'PCTC-OEPP 27-28'!F78</f>
        <v>331639</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t="str">
        <f>'PCTC-OEPP 27-28'!F80</f>
        <v xml:space="preserve"> Complete Line 79</v>
      </c>
      <c r="D7837" s="2" t="e">
        <f t="shared" si="129"/>
        <v>#VALUE!</v>
      </c>
      <c r="E7837" s="4" t="s">
        <v>1995</v>
      </c>
    </row>
    <row r="7838" spans="1:5" x14ac:dyDescent="0.2">
      <c r="A7838">
        <v>7777</v>
      </c>
      <c r="B7838" s="1821">
        <f>'PCTC-OEPP 27-28'!F96</f>
        <v>0</v>
      </c>
      <c r="D7838" s="2" t="str">
        <f t="shared" si="129"/>
        <v>Error?</v>
      </c>
      <c r="E7838" s="4" t="s">
        <v>1995</v>
      </c>
    </row>
    <row r="7839" spans="1:5" x14ac:dyDescent="0.2">
      <c r="A7839">
        <v>7778</v>
      </c>
      <c r="B7839" s="1821">
        <f>'PCTC-OEPP 27-28'!F102</f>
        <v>0</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0</v>
      </c>
      <c r="D7842" s="2" t="str">
        <f t="shared" si="129"/>
        <v>Error?</v>
      </c>
      <c r="E7842" s="4" t="s">
        <v>1995</v>
      </c>
    </row>
    <row r="7843" spans="1:5" x14ac:dyDescent="0.2">
      <c r="A7843">
        <v>7782</v>
      </c>
      <c r="B7843" s="1821">
        <f>'PCTC-OEPP 27-28'!F107</f>
        <v>195578</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0</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0</v>
      </c>
      <c r="D7858" s="2" t="str">
        <f t="shared" si="129"/>
        <v>Error?</v>
      </c>
      <c r="E7858" s="4" t="s">
        <v>1995</v>
      </c>
    </row>
    <row r="7859" spans="1:5" x14ac:dyDescent="0.2">
      <c r="A7859">
        <v>7798</v>
      </c>
      <c r="B7859" s="1821">
        <f>'PCTC-OEPP 27-28'!F127</f>
        <v>0</v>
      </c>
      <c r="D7859" s="2" t="str">
        <f t="shared" si="129"/>
        <v>Error?</v>
      </c>
      <c r="E7859" s="4" t="s">
        <v>1995</v>
      </c>
    </row>
    <row r="7860" spans="1:5" x14ac:dyDescent="0.2">
      <c r="A7860">
        <v>7799</v>
      </c>
      <c r="B7860" s="1821">
        <f>'PCTC-OEPP 27-28'!F128</f>
        <v>0</v>
      </c>
      <c r="D7860" s="2" t="str">
        <f t="shared" si="129"/>
        <v>Error?</v>
      </c>
      <c r="E7860" s="4" t="s">
        <v>1995</v>
      </c>
    </row>
    <row r="7861" spans="1:5" x14ac:dyDescent="0.2">
      <c r="A7861">
        <v>7800</v>
      </c>
      <c r="B7861" s="1821">
        <f>'PCTC-OEPP 27-28'!F129</f>
        <v>0</v>
      </c>
      <c r="D7861" s="2" t="str">
        <f t="shared" si="129"/>
        <v>Error?</v>
      </c>
      <c r="E7861" s="4" t="s">
        <v>1995</v>
      </c>
    </row>
    <row r="7862" spans="1:5" x14ac:dyDescent="0.2">
      <c r="A7862">
        <v>7801</v>
      </c>
      <c r="B7862" s="1821">
        <f>'PCTC-OEPP 27-28'!F130</f>
        <v>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123530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0</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0</v>
      </c>
      <c r="D7874" s="2" t="str">
        <f t="shared" si="129"/>
        <v>Error?</v>
      </c>
      <c r="E7874" s="4" t="s">
        <v>1995</v>
      </c>
    </row>
    <row r="7875" spans="1:5" x14ac:dyDescent="0.2">
      <c r="A7875">
        <v>7814</v>
      </c>
      <c r="B7875" s="1821">
        <f>'PCTC-OEPP 27-28'!F170</f>
        <v>0</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319108</v>
      </c>
      <c r="D7877" s="2" t="str">
        <f t="shared" si="129"/>
        <v>Error?</v>
      </c>
      <c r="E7877" s="4" t="s">
        <v>1995</v>
      </c>
    </row>
    <row r="7878" spans="1:5" x14ac:dyDescent="0.2">
      <c r="A7878">
        <v>7817</v>
      </c>
      <c r="B7878" s="1821">
        <f>'PCTC-OEPP 27-28'!F176</f>
        <v>12531</v>
      </c>
      <c r="D7878" s="2" t="str">
        <f t="shared" si="129"/>
        <v>Error?</v>
      </c>
      <c r="E7878" s="4" t="s">
        <v>1995</v>
      </c>
    </row>
    <row r="7879" spans="1:5" x14ac:dyDescent="0.2">
      <c r="A7879">
        <v>7818</v>
      </c>
      <c r="B7879" s="1821">
        <f>'PCTC-OEPP 27-28'!F178</f>
        <v>12531</v>
      </c>
      <c r="D7879" s="2" t="str">
        <f t="shared" si="129"/>
        <v>Error?</v>
      </c>
      <c r="E7879" s="4" t="s">
        <v>1995</v>
      </c>
    </row>
    <row r="7880" spans="1:5" x14ac:dyDescent="0.2">
      <c r="A7880">
        <v>7819</v>
      </c>
      <c r="B7880" s="1821"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54" t="s">
        <v>1180</v>
      </c>
      <c r="B2" s="2554"/>
      <c r="C2" s="2554"/>
      <c r="D2" s="2554"/>
      <c r="E2" s="2554"/>
      <c r="F2" s="2554"/>
      <c r="G2" s="2554"/>
      <c r="H2" s="2554"/>
      <c r="I2" s="2554"/>
      <c r="J2" s="2554"/>
      <c r="K2" s="2554"/>
      <c r="L2" s="2554"/>
    </row>
    <row r="3" spans="1:29" ht="13.5" customHeight="1" x14ac:dyDescent="0.2">
      <c r="A3" s="2540" t="s">
        <v>1179</v>
      </c>
      <c r="B3" s="2540"/>
      <c r="C3" s="2540"/>
      <c r="D3" s="2540"/>
      <c r="E3" s="2540"/>
      <c r="F3" s="2540"/>
      <c r="G3" s="2540"/>
      <c r="H3" s="2540"/>
      <c r="I3" s="2540"/>
      <c r="J3" s="2540"/>
      <c r="K3" s="2540"/>
      <c r="L3" s="2540"/>
    </row>
    <row r="4" spans="1:29" ht="13.5" customHeight="1" x14ac:dyDescent="0.2">
      <c r="A4" s="2571" t="str">
        <f>"Year Ending June 30, "&amp;'AFR20'!E2</f>
        <v>Year Ending June 30, 2020</v>
      </c>
      <c r="B4" s="2572"/>
      <c r="C4" s="2572"/>
      <c r="D4" s="2572"/>
      <c r="E4" s="2572"/>
      <c r="F4" s="2572"/>
      <c r="G4" s="2572"/>
      <c r="H4" s="2572"/>
      <c r="I4" s="2572"/>
      <c r="J4" s="2572"/>
      <c r="K4" s="2572"/>
      <c r="L4" s="2572"/>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34" t="str">
        <f>COVER!A17</f>
        <v xml:space="preserve"> North Suburban Ed Reg for Vocation</v>
      </c>
      <c r="B7" s="2535"/>
      <c r="C7" s="2535"/>
      <c r="D7" s="2573"/>
      <c r="E7" s="2574">
        <f>COVER!A13</f>
        <v>5016207046</v>
      </c>
      <c r="F7" s="2575"/>
      <c r="G7" s="2541" t="str">
        <f>COVER!T23</f>
        <v>066-005142</v>
      </c>
      <c r="H7" s="2542"/>
      <c r="I7" s="2542"/>
      <c r="J7" s="2542"/>
      <c r="K7" s="2542"/>
      <c r="L7" s="2543"/>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44"/>
      <c r="B9" s="2545"/>
      <c r="C9" s="2545"/>
      <c r="D9" s="2545"/>
      <c r="E9" s="2545"/>
      <c r="F9" s="2546"/>
      <c r="G9" s="2547" t="str">
        <f>COVER!T13</f>
        <v>EDER, CASELLA &amp; CO.</v>
      </c>
      <c r="H9" s="2548"/>
      <c r="I9" s="2548"/>
      <c r="J9" s="2548"/>
      <c r="K9" s="2548"/>
      <c r="L9" s="2549"/>
    </row>
    <row r="10" spans="1:29" ht="13.5" customHeight="1" x14ac:dyDescent="0.2">
      <c r="A10" s="2531" t="str">
        <f>COVER!A38</f>
        <v>AMY ROMITO</v>
      </c>
      <c r="B10" s="2532"/>
      <c r="C10" s="2532"/>
      <c r="D10" s="2532"/>
      <c r="E10" s="2532"/>
      <c r="F10" s="2533"/>
      <c r="G10" s="2547" t="str">
        <f>COVER!T17</f>
        <v>5400 WEST ELM STREET, SUITE 203</v>
      </c>
      <c r="H10" s="2560"/>
      <c r="I10" s="2560"/>
      <c r="J10" s="2560"/>
      <c r="K10" s="2560"/>
      <c r="L10" s="2561"/>
    </row>
    <row r="11" spans="1:29" ht="13.5" customHeight="1" x14ac:dyDescent="0.2">
      <c r="A11" s="956" t="s">
        <v>1499</v>
      </c>
      <c r="B11" s="957"/>
      <c r="C11" s="958"/>
      <c r="D11" s="963"/>
      <c r="E11" s="958"/>
      <c r="F11" s="962"/>
      <c r="G11" s="2547" t="str">
        <f>COVER!T19</f>
        <v>MCHENRY</v>
      </c>
      <c r="H11" s="2560"/>
      <c r="I11" s="2560"/>
      <c r="J11" s="2560"/>
      <c r="K11" s="2560"/>
      <c r="L11" s="2561"/>
    </row>
    <row r="12" spans="1:29" ht="13.5" customHeight="1" x14ac:dyDescent="0.2">
      <c r="A12" s="2565" t="s">
        <v>1498</v>
      </c>
      <c r="B12" s="2566"/>
      <c r="C12" s="2566"/>
      <c r="D12" s="2566"/>
      <c r="E12" s="2566"/>
      <c r="F12" s="2567"/>
      <c r="G12" s="2562"/>
      <c r="H12" s="2563"/>
      <c r="I12" s="2563"/>
      <c r="J12" s="2563"/>
      <c r="K12" s="2563"/>
      <c r="L12" s="2564"/>
    </row>
    <row r="13" spans="1:29" ht="13.5" customHeight="1" x14ac:dyDescent="0.2">
      <c r="A13" s="2547"/>
      <c r="B13" s="2560"/>
      <c r="C13" s="2560"/>
      <c r="D13" s="2560"/>
      <c r="E13" s="2560"/>
      <c r="F13" s="2561"/>
      <c r="G13" s="2555" t="s">
        <v>1500</v>
      </c>
      <c r="H13" s="2556"/>
      <c r="I13" s="2568" t="str">
        <f>COVER!T25</f>
        <v>CPAS@EDERCASELLA.COM</v>
      </c>
      <c r="J13" s="2569"/>
      <c r="K13" s="2569"/>
      <c r="L13" s="2570"/>
    </row>
    <row r="14" spans="1:29" ht="13.5" customHeight="1" x14ac:dyDescent="0.2">
      <c r="A14" s="2547" t="str">
        <f>COVER!A19</f>
        <v>1177 DEE ROAD</v>
      </c>
      <c r="B14" s="2560"/>
      <c r="C14" s="2560"/>
      <c r="D14" s="2560"/>
      <c r="E14" s="2560"/>
      <c r="F14" s="2561"/>
      <c r="G14" s="967" t="s">
        <v>1174</v>
      </c>
      <c r="H14" s="965"/>
      <c r="I14" s="965"/>
      <c r="J14" s="965"/>
      <c r="K14" s="965"/>
      <c r="L14" s="966"/>
    </row>
    <row r="15" spans="1:29" ht="13.5" customHeight="1" x14ac:dyDescent="0.2">
      <c r="A15" s="2547" t="str">
        <f>COVER!A21</f>
        <v>PARK RIDGE</v>
      </c>
      <c r="B15" s="2560"/>
      <c r="C15" s="2560"/>
      <c r="D15" s="2560"/>
      <c r="E15" s="2560"/>
      <c r="F15" s="2561"/>
      <c r="G15" s="2557" t="str">
        <f>COVER!T15</f>
        <v>CHERYDEN JUERGENSEN</v>
      </c>
      <c r="H15" s="2558"/>
      <c r="I15" s="2558"/>
      <c r="J15" s="2558"/>
      <c r="K15" s="2558"/>
      <c r="L15" s="2559"/>
    </row>
    <row r="16" spans="1:29" ht="12.2" customHeight="1" x14ac:dyDescent="0.2">
      <c r="A16" s="2537">
        <f>COVER!A25</f>
        <v>60068</v>
      </c>
      <c r="B16" s="2538"/>
      <c r="C16" s="2538"/>
      <c r="D16" s="2538"/>
      <c r="E16" s="2538"/>
      <c r="F16" s="2539"/>
      <c r="G16" s="2550"/>
      <c r="H16" s="2551"/>
      <c r="I16" s="2551"/>
      <c r="J16" s="2551"/>
      <c r="K16" s="2551"/>
      <c r="L16" s="2552"/>
    </row>
    <row r="17" spans="1:13" ht="12.2" customHeight="1" x14ac:dyDescent="0.2">
      <c r="A17" s="2553"/>
      <c r="B17" s="2538"/>
      <c r="C17" s="2538"/>
      <c r="D17" s="2538"/>
      <c r="E17" s="2538"/>
      <c r="F17" s="2539"/>
      <c r="G17" s="967" t="s">
        <v>1173</v>
      </c>
      <c r="H17" s="965"/>
      <c r="I17" s="965"/>
      <c r="J17" s="965"/>
      <c r="K17" s="969" t="s">
        <v>1172</v>
      </c>
      <c r="L17" s="962"/>
      <c r="M17" s="955"/>
    </row>
    <row r="18" spans="1:13" ht="12.2" customHeight="1" x14ac:dyDescent="0.2">
      <c r="A18" s="2531"/>
      <c r="B18" s="2532"/>
      <c r="C18" s="2532"/>
      <c r="D18" s="2532"/>
      <c r="E18" s="2532"/>
      <c r="F18" s="2533"/>
      <c r="G18" s="2534" t="str">
        <f>COVER!T21</f>
        <v>815-344-1300</v>
      </c>
      <c r="H18" s="2535"/>
      <c r="I18" s="2535"/>
      <c r="J18" s="2535"/>
      <c r="K18" s="2534" t="str">
        <f>COVER!X21</f>
        <v>815-344-1320</v>
      </c>
      <c r="L18" s="2536"/>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6" t="str">
        <f>'Single Audit Cover'!A7</f>
        <v xml:space="preserve"> North Suburban Ed Reg for Vocation</v>
      </c>
      <c r="B1" s="2577"/>
      <c r="C1" s="2577"/>
      <c r="D1" s="2577"/>
    </row>
    <row r="2" spans="1:11" s="984" customFormat="1" ht="12.75" x14ac:dyDescent="0.2">
      <c r="A2" s="2578">
        <f>'Single Audit Cover'!E7</f>
        <v>5016207046</v>
      </c>
      <c r="B2" s="2579"/>
      <c r="C2" s="2579"/>
      <c r="D2" s="2579"/>
    </row>
    <row r="3" spans="1:11" s="984" customFormat="1" ht="12.75" x14ac:dyDescent="0.2">
      <c r="A3" s="2576" t="s">
        <v>1493</v>
      </c>
      <c r="B3" s="2577"/>
      <c r="C3" s="2577"/>
      <c r="D3" s="2577"/>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81" t="str">
        <f>'Single Audit Cover'!A7</f>
        <v xml:space="preserve"> North Suburban Ed Reg for Vocation</v>
      </c>
      <c r="B1" s="2581"/>
      <c r="C1" s="2581"/>
      <c r="D1" s="2581"/>
      <c r="E1" s="2581"/>
    </row>
    <row r="2" spans="1:5" x14ac:dyDescent="0.2">
      <c r="A2" s="2582">
        <f>'Single Audit Cover'!E7</f>
        <v>5016207046</v>
      </c>
      <c r="B2" s="2582"/>
      <c r="C2" s="2582"/>
      <c r="D2" s="2582"/>
      <c r="E2" s="2582"/>
    </row>
    <row r="3" spans="1:5" ht="4.5" customHeight="1" x14ac:dyDescent="0.2"/>
    <row r="4" spans="1:5" x14ac:dyDescent="0.2">
      <c r="A4" s="2581" t="s">
        <v>1233</v>
      </c>
      <c r="B4" s="2581"/>
      <c r="C4" s="2581"/>
      <c r="D4" s="2581"/>
      <c r="E4" s="2581"/>
    </row>
    <row r="5" spans="1:5" x14ac:dyDescent="0.2">
      <c r="A5" s="2584" t="str">
        <f>'Single Audit Cover'!A4</f>
        <v>Year Ending June 30, 2020</v>
      </c>
      <c r="B5" s="2584"/>
      <c r="C5" s="2584"/>
      <c r="D5" s="2584"/>
      <c r="E5" s="2584"/>
    </row>
    <row r="6" spans="1:5" x14ac:dyDescent="0.2">
      <c r="A6" s="2581" t="s">
        <v>1232</v>
      </c>
      <c r="B6" s="2581"/>
      <c r="C6" s="2581"/>
      <c r="D6" s="2581"/>
      <c r="E6" s="2581"/>
    </row>
    <row r="8" spans="1:5" x14ac:dyDescent="0.2">
      <c r="A8" s="1029" t="s">
        <v>1231</v>
      </c>
    </row>
    <row r="10" spans="1:5" x14ac:dyDescent="0.2">
      <c r="A10" s="1030" t="s">
        <v>1230</v>
      </c>
      <c r="B10" s="1031" t="s">
        <v>1229</v>
      </c>
      <c r="C10" s="1031"/>
      <c r="D10" s="1032">
        <f>SUM('Acct Summary 7-8'!C7:K7)</f>
        <v>123530</v>
      </c>
    </row>
    <row r="11" spans="1:5" ht="18" customHeight="1" x14ac:dyDescent="0.2">
      <c r="A11" s="1030" t="s">
        <v>1228</v>
      </c>
      <c r="B11" s="1031"/>
      <c r="C11" s="1031"/>
    </row>
    <row r="12" spans="1:5" x14ac:dyDescent="0.2">
      <c r="A12" s="1030" t="s">
        <v>1227</v>
      </c>
      <c r="B12" s="1031" t="s">
        <v>1226</v>
      </c>
      <c r="C12" s="1031"/>
      <c r="D12" s="1033">
        <f>SUM('Revenues 9-14'!C112:D112,'Revenues 9-14'!F112:G112)</f>
        <v>394242</v>
      </c>
    </row>
    <row r="13" spans="1:5" x14ac:dyDescent="0.2">
      <c r="A13" s="1030" t="s">
        <v>1225</v>
      </c>
      <c r="B13" s="1031"/>
      <c r="C13" s="1031"/>
    </row>
    <row r="14" spans="1:5" x14ac:dyDescent="0.2">
      <c r="A14" s="1030" t="s">
        <v>2001</v>
      </c>
      <c r="B14" s="1031"/>
      <c r="C14" s="1031"/>
      <c r="D14" s="1033">
        <f>'ICR Computation 30'!E11</f>
        <v>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0</v>
      </c>
    </row>
    <row r="19" spans="1:4" ht="13.5" thickBot="1" x14ac:dyDescent="0.25">
      <c r="A19" s="1034" t="s">
        <v>1223</v>
      </c>
      <c r="D19" s="1035">
        <f>SUM(D10:D17)</f>
        <v>517772</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83"/>
      <c r="B24" s="2583"/>
      <c r="D24" s="1037"/>
    </row>
    <row r="25" spans="1:4" x14ac:dyDescent="0.2">
      <c r="A25" s="2580"/>
      <c r="B25" s="2580"/>
      <c r="D25" s="1037"/>
    </row>
    <row r="26" spans="1:4" x14ac:dyDescent="0.2">
      <c r="A26" s="2580"/>
      <c r="B26" s="2580"/>
      <c r="D26" s="1037"/>
    </row>
    <row r="27" spans="1:4" x14ac:dyDescent="0.2">
      <c r="A27" s="2580"/>
      <c r="B27" s="2580"/>
      <c r="D27" s="1037"/>
    </row>
    <row r="28" spans="1:4" x14ac:dyDescent="0.2">
      <c r="A28" s="2580"/>
      <c r="B28" s="2580"/>
      <c r="D28" s="1037"/>
    </row>
    <row r="29" spans="1:4" x14ac:dyDescent="0.2">
      <c r="A29" s="2580"/>
      <c r="B29" s="2580"/>
      <c r="D29" s="1037"/>
    </row>
    <row r="30" spans="1:4" x14ac:dyDescent="0.2">
      <c r="A30" s="2580"/>
      <c r="B30" s="2580"/>
      <c r="D30" s="1037"/>
    </row>
    <row r="32" spans="1:4" x14ac:dyDescent="0.2">
      <c r="A32" s="1029" t="s">
        <v>1221</v>
      </c>
      <c r="D32" s="1032">
        <f>SUM(D19:D30)</f>
        <v>517772</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80"/>
      <c r="B40" s="2580"/>
      <c r="D40" s="1037"/>
    </row>
    <row r="41" spans="1:4" x14ac:dyDescent="0.2">
      <c r="A41" s="2580"/>
      <c r="B41" s="2580"/>
      <c r="D41" s="1040"/>
    </row>
    <row r="42" spans="1:4" x14ac:dyDescent="0.2">
      <c r="A42" s="2580"/>
      <c r="B42" s="2580"/>
      <c r="D42" s="1040"/>
    </row>
    <row r="43" spans="1:4" x14ac:dyDescent="0.2">
      <c r="A43" s="2580"/>
      <c r="B43" s="2580"/>
      <c r="D43" s="1040"/>
    </row>
    <row r="44" spans="1:4" x14ac:dyDescent="0.2">
      <c r="A44" s="2580"/>
      <c r="B44" s="2580"/>
      <c r="D44" s="1040"/>
    </row>
    <row r="45" spans="1:4" x14ac:dyDescent="0.2">
      <c r="A45" s="2580"/>
      <c r="B45" s="2580"/>
      <c r="D45" s="1040"/>
    </row>
    <row r="47" spans="1:4" x14ac:dyDescent="0.2">
      <c r="B47" s="1041" t="s">
        <v>1215</v>
      </c>
      <c r="C47" s="1041"/>
      <c r="D47" s="1042">
        <f>SUM(D35:D45)</f>
        <v>0</v>
      </c>
    </row>
    <row r="49" spans="2:4" x14ac:dyDescent="0.2">
      <c r="B49" s="1041" t="s">
        <v>1214</v>
      </c>
      <c r="C49" s="1041"/>
      <c r="D49" s="1042">
        <f>D32-D47</f>
        <v>517772</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0" t="str">
        <f>'Single Audit Cover'!A7</f>
        <v xml:space="preserve"> North Suburban Ed Reg for Vocation</v>
      </c>
      <c r="C1" s="2585"/>
      <c r="D1" s="2585"/>
      <c r="E1" s="2585"/>
      <c r="F1" s="2585"/>
      <c r="G1" s="2585"/>
      <c r="H1" s="2585"/>
      <c r="I1" s="2585"/>
      <c r="J1" s="2585"/>
      <c r="K1" s="2585"/>
      <c r="L1" s="2585"/>
      <c r="M1" s="2585"/>
    </row>
    <row r="2" spans="2:14" ht="15" x14ac:dyDescent="0.2">
      <c r="B2" s="2586">
        <f>'Single Audit Cover'!E7</f>
        <v>5016207046</v>
      </c>
      <c r="C2" s="2586"/>
      <c r="D2" s="2586"/>
      <c r="E2" s="2586"/>
      <c r="F2" s="2586"/>
      <c r="G2" s="2586"/>
      <c r="H2" s="2586"/>
      <c r="I2" s="2586"/>
      <c r="J2" s="2586"/>
      <c r="K2" s="2586"/>
      <c r="L2" s="2586"/>
      <c r="M2" s="2586"/>
      <c r="N2" s="1071"/>
    </row>
    <row r="3" spans="2:14" ht="15" x14ac:dyDescent="0.2">
      <c r="B3" s="2587" t="s">
        <v>1207</v>
      </c>
      <c r="C3" s="2587"/>
      <c r="D3" s="2587"/>
      <c r="E3" s="2587"/>
      <c r="F3" s="2587"/>
      <c r="G3" s="2587"/>
      <c r="H3" s="2587"/>
      <c r="I3" s="2587"/>
      <c r="J3" s="2587"/>
      <c r="K3" s="2587"/>
      <c r="L3" s="2587"/>
      <c r="M3" s="2587"/>
      <c r="N3" s="1071"/>
    </row>
    <row r="4" spans="2:14" ht="15" x14ac:dyDescent="0.2">
      <c r="B4" s="2588" t="str">
        <f>'Single Audit Cover'!A4</f>
        <v>Year Ending June 30, 2020</v>
      </c>
      <c r="C4" s="2588"/>
      <c r="D4" s="2588"/>
      <c r="E4" s="2588"/>
      <c r="F4" s="2588"/>
      <c r="G4" s="2588"/>
      <c r="H4" s="2588"/>
      <c r="I4" s="2588"/>
      <c r="J4" s="2588"/>
      <c r="K4" s="2588"/>
      <c r="L4" s="2588"/>
      <c r="M4" s="2588"/>
      <c r="N4" s="1071"/>
    </row>
    <row r="5" spans="2:14" x14ac:dyDescent="0.2">
      <c r="H5" s="1903"/>
      <c r="J5" s="1903"/>
    </row>
    <row r="6" spans="2:14" x14ac:dyDescent="0.2">
      <c r="B6" s="1072"/>
      <c r="C6" s="1073"/>
      <c r="D6" s="1074" t="s">
        <v>1253</v>
      </c>
      <c r="E6" s="1075" t="s">
        <v>524</v>
      </c>
      <c r="F6" s="1076"/>
      <c r="G6" s="1077" t="s">
        <v>1708</v>
      </c>
      <c r="H6" s="1075"/>
      <c r="I6" s="1075"/>
      <c r="J6" s="1904"/>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2" t="str">
        <f>"7/1/"&amp;MID('AFR20'!$E$2,3,2)-2&amp;"-6/30/"&amp;MID('AFR20'!$E$2,3,2)-1</f>
        <v>7/1/18-6/30/19</v>
      </c>
      <c r="F9" s="1902" t="str">
        <f>"7/1/"&amp;MID('AFR20'!$E$2,3,2)-1&amp;"-6/30/"&amp;MID('AFR20'!$E$2,3,2)</f>
        <v>7/1/19-6/30/20</v>
      </c>
      <c r="G9" s="1902" t="str">
        <f>"7/1/"&amp;MID('AFR20'!$E$2,3,2)-2&amp;"-6/30/"&amp;MID('AFR20'!$E$2,3,2)-1</f>
        <v>7/1/18-6/30/19</v>
      </c>
      <c r="H9" s="1086" t="s">
        <v>1562</v>
      </c>
      <c r="I9" s="1902"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 xml:space="preserve"> North Suburban Ed Reg for Vocation</v>
      </c>
      <c r="B1" s="2590"/>
      <c r="C1" s="2590"/>
      <c r="D1" s="2590"/>
      <c r="E1" s="2590"/>
      <c r="F1" s="2590"/>
    </row>
    <row r="2" spans="1:7" ht="13.5" customHeight="1" x14ac:dyDescent="0.2">
      <c r="A2" s="2586">
        <f>'Single Audit Cover'!E7</f>
        <v>5016207046</v>
      </c>
      <c r="B2" s="2586"/>
      <c r="C2" s="2586"/>
      <c r="D2" s="2586"/>
      <c r="E2" s="2586"/>
      <c r="F2" s="2586"/>
      <c r="G2" s="1044"/>
    </row>
    <row r="3" spans="1:7" ht="15.75" customHeight="1" x14ac:dyDescent="0.2">
      <c r="A3" s="2591" t="s">
        <v>1259</v>
      </c>
      <c r="B3" s="2591"/>
      <c r="C3" s="2591"/>
      <c r="D3" s="2591"/>
      <c r="E3" s="2591"/>
      <c r="F3" s="2591"/>
    </row>
    <row r="4" spans="1:7" ht="13.5" customHeight="1" x14ac:dyDescent="0.2">
      <c r="A4" s="2592" t="str">
        <f>'Single Audit Cover'!A4</f>
        <v>Year Ending June 30, 2020</v>
      </c>
      <c r="B4" s="2592"/>
      <c r="C4" s="2592"/>
      <c r="D4" s="2592"/>
      <c r="E4" s="2592"/>
      <c r="F4" s="2592"/>
    </row>
    <row r="5" spans="1:7" ht="8.25" customHeight="1" x14ac:dyDescent="0.2">
      <c r="C5" s="295"/>
      <c r="D5" s="295"/>
    </row>
    <row r="6" spans="1:7" ht="13.5" customHeight="1" x14ac:dyDescent="0.2">
      <c r="A6" s="1045" t="s">
        <v>1702</v>
      </c>
      <c r="C6" s="295"/>
      <c r="D6" s="295"/>
    </row>
    <row r="7" spans="1:7" ht="60.95" customHeight="1" x14ac:dyDescent="0.2">
      <c r="A7" s="2589" t="s">
        <v>1703</v>
      </c>
      <c r="B7" s="2589"/>
      <c r="C7" s="2589"/>
      <c r="D7" s="2589"/>
      <c r="E7" s="2589"/>
      <c r="F7" s="2589"/>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9" t="s">
        <v>1705</v>
      </c>
      <c r="B13" s="2589"/>
      <c r="C13" s="2589"/>
      <c r="D13" s="2589"/>
      <c r="E13" s="2589"/>
      <c r="F13" s="2589"/>
    </row>
    <row r="14" spans="1:7" ht="9.75" customHeight="1" x14ac:dyDescent="0.2">
      <c r="C14" s="1029"/>
      <c r="D14" s="1029"/>
    </row>
    <row r="15" spans="1:7" ht="13.5" customHeight="1" x14ac:dyDescent="0.2">
      <c r="C15" s="1469" t="s">
        <v>1258</v>
      </c>
      <c r="D15" s="2594" t="s">
        <v>1257</v>
      </c>
      <c r="E15" s="2594"/>
      <c r="F15" s="2594"/>
    </row>
    <row r="16" spans="1:7" ht="13.5" customHeight="1" x14ac:dyDescent="0.2">
      <c r="A16" s="1051"/>
      <c r="B16" s="1045" t="s">
        <v>1256</v>
      </c>
      <c r="C16" s="1469" t="s">
        <v>1255</v>
      </c>
      <c r="D16" s="2595" t="s">
        <v>1568</v>
      </c>
      <c r="E16" s="2595"/>
      <c r="F16" s="2595"/>
    </row>
    <row r="17" spans="1:6" ht="20.45" customHeight="1" x14ac:dyDescent="0.2">
      <c r="A17" s="1052"/>
      <c r="B17" s="1053"/>
      <c r="C17" s="1054"/>
      <c r="D17" s="2593"/>
      <c r="E17" s="2593"/>
      <c r="F17" s="2593"/>
    </row>
    <row r="18" spans="1:6" ht="20.65" customHeight="1" x14ac:dyDescent="0.2">
      <c r="A18" s="1052"/>
      <c r="B18" s="1053"/>
      <c r="C18" s="1054"/>
      <c r="D18" s="2593"/>
      <c r="E18" s="2593"/>
      <c r="F18" s="2593"/>
    </row>
    <row r="19" spans="1:6" ht="20.65" customHeight="1" x14ac:dyDescent="0.2">
      <c r="A19" s="1052"/>
      <c r="B19" s="1053"/>
      <c r="C19" s="1054"/>
      <c r="D19" s="2593"/>
      <c r="E19" s="2593"/>
      <c r="F19" s="2593"/>
    </row>
    <row r="20" spans="1:6" ht="20.65" customHeight="1" x14ac:dyDescent="0.2">
      <c r="A20" s="1052"/>
      <c r="B20" s="1053"/>
      <c r="C20" s="1054"/>
      <c r="D20" s="2593"/>
      <c r="E20" s="2593"/>
      <c r="F20" s="2593"/>
    </row>
    <row r="21" spans="1:6" ht="20.65" customHeight="1" x14ac:dyDescent="0.2">
      <c r="A21" s="1052"/>
      <c r="B21" s="1053"/>
      <c r="C21" s="1054"/>
      <c r="D21" s="2593"/>
      <c r="E21" s="2593"/>
      <c r="F21" s="2593"/>
    </row>
    <row r="22" spans="1:6" ht="20.65" customHeight="1" x14ac:dyDescent="0.2">
      <c r="A22" s="1052"/>
      <c r="B22" s="1053"/>
      <c r="C22" s="1054"/>
      <c r="D22" s="2593"/>
      <c r="E22" s="2593"/>
      <c r="F22" s="2593"/>
    </row>
    <row r="23" spans="1:6" ht="20.65" customHeight="1" x14ac:dyDescent="0.2">
      <c r="A23" s="1052"/>
      <c r="B23" s="1053"/>
      <c r="C23" s="1054"/>
      <c r="D23" s="2593"/>
      <c r="E23" s="2593"/>
      <c r="F23" s="2593"/>
    </row>
    <row r="24" spans="1:6" ht="20.65" customHeight="1" x14ac:dyDescent="0.2">
      <c r="A24" s="1052"/>
      <c r="B24" s="1053"/>
      <c r="C24" s="1054"/>
      <c r="D24" s="2593"/>
      <c r="E24" s="2593"/>
      <c r="F24" s="2593"/>
    </row>
    <row r="25" spans="1:6" ht="20.65" customHeight="1" x14ac:dyDescent="0.2">
      <c r="A25" s="1052"/>
      <c r="B25" s="1053"/>
      <c r="C25" s="1054"/>
      <c r="D25" s="2593"/>
      <c r="E25" s="2593"/>
      <c r="F25" s="2593"/>
    </row>
    <row r="26" spans="1:6" ht="20.65" customHeight="1" x14ac:dyDescent="0.2">
      <c r="A26" s="1052"/>
      <c r="B26" s="1053"/>
      <c r="C26" s="1054"/>
      <c r="D26" s="2593"/>
      <c r="E26" s="2593"/>
      <c r="F26" s="2593"/>
    </row>
    <row r="27" spans="1:6" ht="20.65" customHeight="1" x14ac:dyDescent="0.2">
      <c r="A27" s="1052"/>
      <c r="B27" s="1053"/>
      <c r="C27" s="1054"/>
      <c r="D27" s="2593"/>
      <c r="E27" s="2593"/>
      <c r="F27" s="2593"/>
    </row>
    <row r="28" spans="1:6" ht="20.65" customHeight="1" x14ac:dyDescent="0.2">
      <c r="A28" s="1052"/>
      <c r="B28" s="1053"/>
      <c r="C28" s="1054"/>
      <c r="D28" s="2593"/>
      <c r="E28" s="2593"/>
      <c r="F28" s="2593"/>
    </row>
    <row r="29" spans="1:6" ht="20.65" customHeight="1" x14ac:dyDescent="0.2">
      <c r="A29" s="1052"/>
      <c r="B29" s="1053"/>
      <c r="C29" s="1054"/>
      <c r="D29" s="2593"/>
      <c r="E29" s="2593"/>
      <c r="F29" s="2593"/>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97" t="s">
        <v>1706</v>
      </c>
      <c r="B32" s="2597"/>
      <c r="C32" s="2597"/>
      <c r="D32" s="2597"/>
      <c r="E32" s="2597"/>
      <c r="F32" s="2597"/>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98">
        <f>+C33+C34</f>
        <v>0</v>
      </c>
      <c r="F34" s="2599"/>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00" t="s">
        <v>1570</v>
      </c>
      <c r="C49" s="2600"/>
      <c r="D49" s="2600"/>
      <c r="E49" s="1161"/>
    </row>
    <row r="50" spans="1:5" s="1069" customFormat="1" ht="3.75" customHeight="1" x14ac:dyDescent="0.2">
      <c r="A50" s="1068"/>
      <c r="B50" s="1468"/>
      <c r="C50" s="1468"/>
      <c r="D50" s="1468"/>
      <c r="E50" s="1161"/>
    </row>
    <row r="51" spans="1:5" s="1069" customFormat="1" ht="20.25" customHeight="1" x14ac:dyDescent="0.2">
      <c r="A51" s="1070">
        <v>6</v>
      </c>
      <c r="B51" s="2596" t="s">
        <v>1531</v>
      </c>
      <c r="C51" s="2596"/>
      <c r="D51" s="2596"/>
    </row>
    <row r="52" spans="1:5" ht="14.25" customHeight="1" x14ac:dyDescent="0.2">
      <c r="A52" s="1070"/>
      <c r="B52" s="2596"/>
      <c r="C52" s="2596"/>
      <c r="D52" s="259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49" colorId="8" zoomScaleNormal="100" workbookViewId="0">
      <selection activeCell="I71" sqref="I7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8" t="s">
        <v>1157</v>
      </c>
      <c r="B2" s="2168"/>
      <c r="C2" s="2168"/>
      <c r="D2" s="2168"/>
      <c r="E2" s="2168"/>
      <c r="F2" s="2168"/>
      <c r="G2" s="2168"/>
      <c r="H2" s="2168"/>
      <c r="I2" s="2168"/>
      <c r="J2" s="2168"/>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82" t="s">
        <v>1613</v>
      </c>
      <c r="B35" s="2183"/>
      <c r="C35" s="2183"/>
      <c r="D35" s="2183"/>
      <c r="E35" s="2184"/>
      <c r="F35" s="2184"/>
      <c r="G35" s="2184"/>
      <c r="H35" s="2184"/>
      <c r="I35" s="218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2" t="s">
        <v>310</v>
      </c>
      <c r="B47" s="2185"/>
      <c r="C47" s="2185"/>
      <c r="D47" s="2185"/>
      <c r="E47" s="2186"/>
      <c r="F47" s="2186"/>
      <c r="G47" s="2186"/>
      <c r="H47" s="2186"/>
      <c r="I47" s="218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9"/>
      <c r="C57" s="2190"/>
      <c r="D57" s="2190"/>
      <c r="E57" s="2190"/>
      <c r="F57" s="2190"/>
      <c r="G57" s="2190"/>
      <c r="H57" s="2190"/>
      <c r="I57" s="2190"/>
      <c r="J57" s="2191"/>
    </row>
    <row r="58" spans="1:10" s="176" customFormat="1" x14ac:dyDescent="0.2">
      <c r="A58" s="248"/>
      <c r="B58" s="2192"/>
      <c r="C58" s="2193"/>
      <c r="D58" s="2193"/>
      <c r="E58" s="2193"/>
      <c r="F58" s="2193"/>
      <c r="G58" s="2193"/>
      <c r="H58" s="2193"/>
      <c r="I58" s="2193"/>
      <c r="J58" s="2194"/>
    </row>
    <row r="59" spans="1:10" s="176" customFormat="1" x14ac:dyDescent="0.2">
      <c r="A59" s="248"/>
      <c r="B59" s="2192"/>
      <c r="C59" s="2193"/>
      <c r="D59" s="2193"/>
      <c r="E59" s="2193"/>
      <c r="F59" s="2193"/>
      <c r="G59" s="2193"/>
      <c r="H59" s="2193"/>
      <c r="I59" s="2193"/>
      <c r="J59" s="2194"/>
    </row>
    <row r="60" spans="1:10" s="176" customFormat="1" x14ac:dyDescent="0.2">
      <c r="A60" s="248"/>
      <c r="B60" s="2192"/>
      <c r="C60" s="2193"/>
      <c r="D60" s="2193"/>
      <c r="E60" s="2193"/>
      <c r="F60" s="2193"/>
      <c r="G60" s="2193"/>
      <c r="H60" s="2193"/>
      <c r="I60" s="2193"/>
      <c r="J60" s="2194"/>
    </row>
    <row r="61" spans="1:10" s="176" customFormat="1" x14ac:dyDescent="0.2">
      <c r="A61" s="248"/>
      <c r="B61" s="2192"/>
      <c r="C61" s="2193"/>
      <c r="D61" s="2193"/>
      <c r="E61" s="2193"/>
      <c r="F61" s="2193"/>
      <c r="G61" s="2193"/>
      <c r="H61" s="2193"/>
      <c r="I61" s="2193"/>
      <c r="J61" s="2194"/>
    </row>
    <row r="62" spans="1:10" s="176" customFormat="1" x14ac:dyDescent="0.2">
      <c r="A62" s="248"/>
      <c r="B62" s="2192"/>
      <c r="C62" s="2193"/>
      <c r="D62" s="2193"/>
      <c r="E62" s="2193"/>
      <c r="F62" s="2193"/>
      <c r="G62" s="2193"/>
      <c r="H62" s="2193"/>
      <c r="I62" s="2193"/>
      <c r="J62" s="2194"/>
    </row>
    <row r="63" spans="1:10" s="176" customFormat="1" x14ac:dyDescent="0.2">
      <c r="A63" s="248"/>
      <c r="B63" s="2192"/>
      <c r="C63" s="2193"/>
      <c r="D63" s="2193"/>
      <c r="E63" s="2193"/>
      <c r="F63" s="2193"/>
      <c r="G63" s="2193"/>
      <c r="H63" s="2193"/>
      <c r="I63" s="2193"/>
      <c r="J63" s="2194"/>
    </row>
    <row r="64" spans="1:10" s="176" customFormat="1" x14ac:dyDescent="0.2">
      <c r="A64" s="248"/>
      <c r="B64" s="2192"/>
      <c r="C64" s="2193"/>
      <c r="D64" s="2193"/>
      <c r="E64" s="2193"/>
      <c r="F64" s="2193"/>
      <c r="G64" s="2193"/>
      <c r="H64" s="2193"/>
      <c r="I64" s="2193"/>
      <c r="J64" s="2194"/>
    </row>
    <row r="65" spans="1:11" s="176" customFormat="1" x14ac:dyDescent="0.2">
      <c r="A65" s="248"/>
      <c r="B65" s="2192"/>
      <c r="C65" s="2193"/>
      <c r="D65" s="2193"/>
      <c r="E65" s="2193"/>
      <c r="F65" s="2193"/>
      <c r="G65" s="2193"/>
      <c r="H65" s="2193"/>
      <c r="I65" s="2193"/>
      <c r="J65" s="2194"/>
    </row>
    <row r="66" spans="1:11" s="176" customFormat="1" x14ac:dyDescent="0.2">
      <c r="A66" s="248"/>
      <c r="B66" s="2192"/>
      <c r="C66" s="2193"/>
      <c r="D66" s="2193"/>
      <c r="E66" s="2193"/>
      <c r="F66" s="2193"/>
      <c r="G66" s="2193"/>
      <c r="H66" s="2193"/>
      <c r="I66" s="2193"/>
      <c r="J66" s="2194"/>
    </row>
    <row r="67" spans="1:11" s="176" customFormat="1" ht="9" customHeight="1" x14ac:dyDescent="0.2">
      <c r="A67" s="249"/>
      <c r="B67" s="2195"/>
      <c r="C67" s="2196"/>
      <c r="D67" s="2196"/>
      <c r="E67" s="2196"/>
      <c r="F67" s="2196"/>
      <c r="G67" s="2196"/>
      <c r="H67" s="2196"/>
      <c r="I67" s="2196"/>
      <c r="J67" s="219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2" t="s">
        <v>1311</v>
      </c>
      <c r="B70" s="2185"/>
      <c r="C70" s="2185"/>
      <c r="D70" s="2185"/>
      <c r="E70" s="2186"/>
      <c r="F70" s="2186"/>
      <c r="G70" s="2186"/>
      <c r="H70" s="2186"/>
      <c r="I70" s="218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7" t="s">
        <v>1308</v>
      </c>
      <c r="B83" s="2187"/>
      <c r="C83" s="2187"/>
      <c r="D83" s="2188"/>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8" t="s">
        <v>1986</v>
      </c>
      <c r="B85" s="2198"/>
      <c r="C85" s="2198"/>
      <c r="D85" s="2199"/>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200" t="s">
        <v>1986</v>
      </c>
      <c r="B88" s="2201"/>
      <c r="C88" s="2201"/>
      <c r="D88" s="2202"/>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9"/>
      <c r="C102" s="2170"/>
      <c r="D102" s="2170"/>
      <c r="E102" s="2170"/>
      <c r="F102" s="2170"/>
      <c r="G102" s="2170"/>
      <c r="H102" s="2170"/>
      <c r="I102" s="2171"/>
    </row>
    <row r="103" spans="1:9" s="176" customFormat="1" ht="11.25" customHeight="1" x14ac:dyDescent="0.2">
      <c r="A103" s="294"/>
      <c r="B103" s="2172"/>
      <c r="C103" s="2173"/>
      <c r="D103" s="2173"/>
      <c r="E103" s="2173"/>
      <c r="F103" s="2173"/>
      <c r="G103" s="2173"/>
      <c r="H103" s="2173"/>
      <c r="I103" s="2174"/>
    </row>
    <row r="104" spans="1:9" s="176" customFormat="1" ht="11.25" customHeight="1" x14ac:dyDescent="0.2">
      <c r="A104" s="294"/>
      <c r="B104" s="2172"/>
      <c r="C104" s="2173"/>
      <c r="D104" s="2173"/>
      <c r="E104" s="2173"/>
      <c r="F104" s="2173"/>
      <c r="G104" s="2173"/>
      <c r="H104" s="2173"/>
      <c r="I104" s="2174"/>
    </row>
    <row r="105" spans="1:9" s="176" customFormat="1" x14ac:dyDescent="0.2">
      <c r="A105" s="294"/>
      <c r="B105" s="2172"/>
      <c r="C105" s="2173"/>
      <c r="D105" s="2173"/>
      <c r="E105" s="2173"/>
      <c r="F105" s="2173"/>
      <c r="G105" s="2173"/>
      <c r="H105" s="2173"/>
      <c r="I105" s="2174"/>
    </row>
    <row r="106" spans="1:9" s="176" customFormat="1" ht="11.25" customHeight="1" x14ac:dyDescent="0.2">
      <c r="A106" s="294"/>
      <c r="B106" s="2172"/>
      <c r="C106" s="2173"/>
      <c r="D106" s="2173"/>
      <c r="E106" s="2173"/>
      <c r="F106" s="2173"/>
      <c r="G106" s="2173"/>
      <c r="H106" s="2173"/>
      <c r="I106" s="2174"/>
    </row>
    <row r="107" spans="1:9" s="176" customFormat="1" ht="11.25" customHeight="1" x14ac:dyDescent="0.2">
      <c r="A107" s="294"/>
      <c r="B107" s="2172"/>
      <c r="C107" s="2173"/>
      <c r="D107" s="2173"/>
      <c r="E107" s="2173"/>
      <c r="F107" s="2173"/>
      <c r="G107" s="2173"/>
      <c r="H107" s="2173"/>
      <c r="I107" s="2174"/>
    </row>
    <row r="108" spans="1:9" s="176" customFormat="1" ht="11.25" customHeight="1" x14ac:dyDescent="0.2">
      <c r="A108" s="294"/>
      <c r="B108" s="2172"/>
      <c r="C108" s="2173"/>
      <c r="D108" s="2173"/>
      <c r="E108" s="2173"/>
      <c r="F108" s="2173"/>
      <c r="G108" s="2173"/>
      <c r="H108" s="2173"/>
      <c r="I108" s="2174"/>
    </row>
    <row r="109" spans="1:9" s="176" customFormat="1" ht="11.25" customHeight="1" x14ac:dyDescent="0.2">
      <c r="A109" s="294"/>
      <c r="B109" s="2172"/>
      <c r="C109" s="2173"/>
      <c r="D109" s="2173"/>
      <c r="E109" s="2173"/>
      <c r="F109" s="2173"/>
      <c r="G109" s="2173"/>
      <c r="H109" s="2173"/>
      <c r="I109" s="2174"/>
    </row>
    <row r="110" spans="1:9" s="176" customFormat="1" ht="11.25" customHeight="1" x14ac:dyDescent="0.2">
      <c r="A110" s="294"/>
      <c r="B110" s="2172"/>
      <c r="C110" s="2173"/>
      <c r="D110" s="2173"/>
      <c r="E110" s="2173"/>
      <c r="F110" s="2173"/>
      <c r="G110" s="2173"/>
      <c r="H110" s="2173"/>
      <c r="I110" s="2174"/>
    </row>
    <row r="111" spans="1:9" s="176" customFormat="1" ht="11.25" customHeight="1" x14ac:dyDescent="0.2">
      <c r="A111" s="294"/>
      <c r="B111" s="2172"/>
      <c r="C111" s="2173"/>
      <c r="D111" s="2173"/>
      <c r="E111" s="2173"/>
      <c r="F111" s="2173"/>
      <c r="G111" s="2173"/>
      <c r="H111" s="2173"/>
      <c r="I111" s="2174"/>
    </row>
    <row r="112" spans="1:9" s="176" customFormat="1" ht="11.25" customHeight="1" x14ac:dyDescent="0.2">
      <c r="A112" s="294"/>
      <c r="B112" s="2175"/>
      <c r="C112" s="2176"/>
      <c r="D112" s="2176"/>
      <c r="E112" s="2176"/>
      <c r="F112" s="2176"/>
      <c r="G112" s="2176"/>
      <c r="H112" s="2176"/>
      <c r="I112" s="217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8" t="s">
        <v>2015</v>
      </c>
      <c r="D114" s="217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9" t="s">
        <v>1318</v>
      </c>
      <c r="D117" s="2180"/>
      <c r="E117" s="2181"/>
      <c r="F117" s="2181"/>
      <c r="G117" s="2181"/>
      <c r="H117" s="2181"/>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 xml:space="preserve"> North Suburban Ed Reg for Vocation</v>
      </c>
      <c r="C1" s="2606"/>
      <c r="D1" s="2606"/>
      <c r="E1" s="2606"/>
      <c r="F1" s="2606"/>
      <c r="G1" s="2606"/>
      <c r="H1" s="2606"/>
      <c r="I1" s="2606"/>
      <c r="J1" s="1171"/>
    </row>
    <row r="2" spans="2:10" s="295" customFormat="1" ht="12.75" customHeight="1" x14ac:dyDescent="0.2">
      <c r="B2" s="2607">
        <f>'Single Audit Cover'!E7</f>
        <v>5016207046</v>
      </c>
      <c r="C2" s="2608"/>
      <c r="D2" s="2608"/>
      <c r="E2" s="2608"/>
      <c r="F2" s="2608"/>
      <c r="G2" s="2608"/>
      <c r="H2" s="2608"/>
      <c r="I2" s="2608"/>
      <c r="J2" s="1171"/>
    </row>
    <row r="3" spans="2:10" s="295" customFormat="1" ht="12.75" customHeight="1" x14ac:dyDescent="0.2">
      <c r="B3" s="2609" t="s">
        <v>1273</v>
      </c>
      <c r="C3" s="2610"/>
      <c r="D3" s="2610"/>
      <c r="E3" s="2610"/>
      <c r="F3" s="2610"/>
      <c r="G3" s="2610"/>
      <c r="H3" s="2610"/>
      <c r="I3" s="2610"/>
      <c r="J3" s="1172"/>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9" t="s">
        <v>1272</v>
      </c>
      <c r="C7" s="2610"/>
      <c r="D7" s="2610"/>
      <c r="E7" s="2610"/>
      <c r="F7" s="2610"/>
      <c r="G7" s="2610"/>
      <c r="H7" s="2610"/>
      <c r="I7" s="2610"/>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11"/>
      <c r="D11" s="2611"/>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2"/>
      <c r="E29" s="2612"/>
      <c r="F29" s="2612"/>
      <c r="G29" s="2612"/>
      <c r="H29" s="2612"/>
      <c r="I29" s="2612"/>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13" t="s">
        <v>1725</v>
      </c>
      <c r="D37" s="2614"/>
      <c r="E37" s="2614"/>
      <c r="F37" s="2615"/>
      <c r="G37" s="2613" t="s">
        <v>1572</v>
      </c>
      <c r="H37" s="2614"/>
      <c r="I37" s="2615"/>
    </row>
    <row r="38" spans="2:9" ht="16.5" customHeight="1" x14ac:dyDescent="0.2">
      <c r="B38" s="1193"/>
      <c r="C38" s="2601"/>
      <c r="D38" s="2602"/>
      <c r="E38" s="2602"/>
      <c r="F38" s="2603"/>
      <c r="G38" s="2616"/>
      <c r="H38" s="2617"/>
      <c r="I38" s="2618"/>
    </row>
    <row r="39" spans="2:9" ht="16.5" customHeight="1" x14ac:dyDescent="0.2">
      <c r="B39" s="1193"/>
      <c r="C39" s="2601"/>
      <c r="D39" s="2602"/>
      <c r="E39" s="2602"/>
      <c r="F39" s="2603"/>
      <c r="G39" s="2604"/>
      <c r="H39" s="2604"/>
      <c r="I39" s="2604"/>
    </row>
    <row r="40" spans="2:9" ht="16.5" customHeight="1" x14ac:dyDescent="0.2">
      <c r="B40" s="1193"/>
      <c r="C40" s="2601"/>
      <c r="D40" s="2602"/>
      <c r="E40" s="2602"/>
      <c r="F40" s="2603"/>
      <c r="G40" s="2604"/>
      <c r="H40" s="2604"/>
      <c r="I40" s="2604"/>
    </row>
    <row r="41" spans="2:9" ht="16.5" customHeight="1" x14ac:dyDescent="0.2">
      <c r="B41" s="1193"/>
      <c r="C41" s="2601"/>
      <c r="D41" s="2602"/>
      <c r="E41" s="2602"/>
      <c r="F41" s="2603"/>
      <c r="G41" s="2604"/>
      <c r="H41" s="2604"/>
      <c r="I41" s="2604"/>
    </row>
    <row r="42" spans="2:9" ht="16.5" customHeight="1" x14ac:dyDescent="0.2">
      <c r="B42" s="1193"/>
      <c r="C42" s="2601"/>
      <c r="D42" s="2602"/>
      <c r="E42" s="2602"/>
      <c r="F42" s="2603"/>
      <c r="G42" s="2604"/>
      <c r="H42" s="2604"/>
      <c r="I42" s="2604"/>
    </row>
    <row r="43" spans="2:9" ht="16.5" customHeight="1" x14ac:dyDescent="0.2">
      <c r="B43" s="1193"/>
      <c r="C43" s="2619" t="s">
        <v>1573</v>
      </c>
      <c r="D43" s="2620"/>
      <c r="E43" s="2620"/>
      <c r="F43" s="2621"/>
      <c r="G43" s="2622">
        <f>SUM(G38:I42)</f>
        <v>0</v>
      </c>
      <c r="H43" s="2622"/>
      <c r="I43" s="2622"/>
    </row>
    <row r="44" spans="2:9" ht="12.75" customHeight="1" x14ac:dyDescent="0.2"/>
    <row r="45" spans="2:9" ht="12.75" customHeight="1" x14ac:dyDescent="0.2">
      <c r="B45" s="1905" t="str">
        <f>"Total Federal Expenditures for 7/1/"&amp;MID('AFR20'!E2,3,2)-1&amp;"-6/30/"&amp;MID('AFR20'!E2,3,2)</f>
        <v>Total Federal Expenditures for 7/1/19-6/30/20</v>
      </c>
      <c r="C45" s="1906"/>
      <c r="D45" s="2623">
        <v>0</v>
      </c>
      <c r="E45" s="2624"/>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25"/>
      <c r="F49" s="2625"/>
      <c r="G49" s="2625"/>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 xml:space="preserve"> North Suburban Ed Reg for Vocation</v>
      </c>
      <c r="C1" s="2605"/>
      <c r="D1" s="2605"/>
      <c r="E1" s="2605"/>
      <c r="F1" s="2605"/>
      <c r="G1" s="2605"/>
      <c r="H1" s="2605"/>
      <c r="I1" s="2605"/>
      <c r="J1" s="2605"/>
      <c r="K1" s="2605"/>
      <c r="L1" s="1137"/>
      <c r="M1" s="1137"/>
    </row>
    <row r="2" spans="1:13" ht="12" customHeight="1" x14ac:dyDescent="0.2">
      <c r="B2" s="2607">
        <f>'Single Audit Cover'!E7</f>
        <v>5016207046</v>
      </c>
      <c r="C2" s="2607"/>
      <c r="D2" s="2607"/>
      <c r="E2" s="2607"/>
      <c r="F2" s="2607"/>
      <c r="G2" s="2607"/>
      <c r="H2" s="2607"/>
      <c r="I2" s="2607"/>
      <c r="J2" s="2607"/>
      <c r="K2" s="2607"/>
      <c r="L2" s="1138"/>
      <c r="M2" s="1139"/>
    </row>
    <row r="3" spans="1:13" ht="10.35" customHeight="1" x14ac:dyDescent="0.2">
      <c r="B3" s="2628" t="s">
        <v>1273</v>
      </c>
      <c r="C3" s="2628"/>
      <c r="D3" s="2628"/>
      <c r="E3" s="2628"/>
      <c r="F3" s="2628"/>
      <c r="G3" s="2628"/>
      <c r="H3" s="2628"/>
      <c r="I3" s="2628"/>
      <c r="J3" s="2628"/>
      <c r="K3" s="2628"/>
      <c r="L3" s="1140"/>
      <c r="M3" s="1140"/>
    </row>
    <row r="4" spans="1:13" ht="14.25" customHeight="1" x14ac:dyDescent="0.2">
      <c r="B4" s="2629" t="str">
        <f>'Single Audit Cover'!A4</f>
        <v>Year Ending June 30, 2020</v>
      </c>
      <c r="C4" s="2629"/>
      <c r="D4" s="2629"/>
      <c r="E4" s="2629"/>
      <c r="F4" s="2629"/>
      <c r="G4" s="2629"/>
      <c r="H4" s="2629"/>
      <c r="I4" s="2629"/>
      <c r="J4" s="2629"/>
      <c r="K4" s="2629"/>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9" t="s">
        <v>1284</v>
      </c>
      <c r="C7" s="2629"/>
      <c r="D7" s="2630"/>
      <c r="E7" s="2630"/>
      <c r="F7" s="2630"/>
      <c r="G7" s="2630"/>
      <c r="H7" s="2630"/>
      <c r="I7" s="2630"/>
      <c r="J7" s="2630"/>
      <c r="K7" s="2630"/>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7"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27"/>
      <c r="C14" s="2627"/>
      <c r="D14" s="2627"/>
      <c r="E14" s="2627"/>
      <c r="F14" s="2627"/>
      <c r="G14" s="2627"/>
      <c r="H14" s="2627"/>
      <c r="I14" s="2627"/>
      <c r="J14" s="2627"/>
      <c r="K14" s="2627"/>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27"/>
      <c r="C17" s="2627"/>
      <c r="D17" s="2627"/>
      <c r="E17" s="2627"/>
      <c r="F17" s="2627"/>
      <c r="G17" s="2627"/>
      <c r="H17" s="2627"/>
      <c r="I17" s="2627"/>
      <c r="J17" s="2627"/>
      <c r="K17" s="2627"/>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31"/>
      <c r="C20" s="2631"/>
      <c r="D20" s="2627"/>
      <c r="E20" s="2627"/>
      <c r="F20" s="2627"/>
      <c r="G20" s="2627"/>
      <c r="H20" s="2627"/>
      <c r="I20" s="2627"/>
      <c r="J20" s="2627"/>
      <c r="K20" s="2627"/>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27"/>
      <c r="C23" s="2627"/>
      <c r="D23" s="2627"/>
      <c r="E23" s="2627"/>
      <c r="F23" s="2627"/>
      <c r="G23" s="2627"/>
      <c r="H23" s="2627"/>
      <c r="I23" s="2627"/>
      <c r="J23" s="2627"/>
      <c r="K23" s="2627"/>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27"/>
      <c r="C26" s="2627"/>
      <c r="D26" s="2627"/>
      <c r="E26" s="2627"/>
      <c r="F26" s="2627"/>
      <c r="G26" s="2627"/>
      <c r="H26" s="2627"/>
      <c r="I26" s="2627"/>
      <c r="J26" s="2627"/>
      <c r="K26" s="2627"/>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26"/>
      <c r="C29" s="2626"/>
      <c r="D29" s="2627"/>
      <c r="E29" s="2627"/>
      <c r="F29" s="2627"/>
      <c r="G29" s="2627"/>
      <c r="H29" s="2627"/>
      <c r="I29" s="2627"/>
      <c r="J29" s="2627"/>
      <c r="K29" s="2627"/>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26"/>
      <c r="C32" s="2626"/>
      <c r="D32" s="2627"/>
      <c r="E32" s="2627"/>
      <c r="F32" s="2627"/>
      <c r="G32" s="2627"/>
      <c r="H32" s="2627"/>
      <c r="I32" s="2627"/>
      <c r="J32" s="2627"/>
      <c r="K32" s="2627"/>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2" t="str">
        <f>'Single Audit Cover'!A7</f>
        <v xml:space="preserve"> North Suburban Ed Reg for Vocation</v>
      </c>
      <c r="C1" s="2632"/>
      <c r="D1" s="2632"/>
      <c r="E1" s="2632"/>
      <c r="F1" s="2632"/>
      <c r="G1" s="2632"/>
      <c r="H1" s="2632"/>
      <c r="I1" s="2632"/>
      <c r="J1" s="2632"/>
      <c r="K1" s="2632"/>
      <c r="L1" s="1214"/>
    </row>
    <row r="2" spans="1:12" ht="12.75" customHeight="1" x14ac:dyDescent="0.2">
      <c r="B2" s="2633">
        <f>'Single Audit Cover'!E7</f>
        <v>5016207046</v>
      </c>
      <c r="C2" s="2633"/>
      <c r="D2" s="2633"/>
      <c r="E2" s="2633"/>
      <c r="F2" s="2633"/>
      <c r="G2" s="2633"/>
      <c r="H2" s="2633"/>
      <c r="I2" s="2633"/>
      <c r="J2" s="2633"/>
      <c r="K2" s="2633"/>
      <c r="L2" s="1215"/>
    </row>
    <row r="3" spans="1:12" ht="12.75" customHeight="1" x14ac:dyDescent="0.2">
      <c r="B3" s="2628" t="s">
        <v>1273</v>
      </c>
      <c r="C3" s="2628"/>
      <c r="D3" s="2628"/>
      <c r="E3" s="2628"/>
      <c r="F3" s="2628"/>
      <c r="G3" s="2628"/>
      <c r="H3" s="2628"/>
      <c r="I3" s="2628"/>
      <c r="J3" s="2628"/>
      <c r="K3" s="2628"/>
      <c r="L3" s="1140"/>
    </row>
    <row r="4" spans="1:12" ht="12.75" customHeight="1" x14ac:dyDescent="0.2">
      <c r="B4" s="2628" t="str">
        <f>'Single Audit Cover'!A4</f>
        <v>Year Ending June 30, 2020</v>
      </c>
      <c r="C4" s="2628"/>
      <c r="D4" s="2628"/>
      <c r="E4" s="2628"/>
      <c r="F4" s="2628"/>
      <c r="G4" s="2628"/>
      <c r="H4" s="2628"/>
      <c r="I4" s="2628"/>
      <c r="J4" s="2628"/>
      <c r="K4" s="2628"/>
      <c r="L4" s="1140"/>
    </row>
    <row r="5" spans="1:12" ht="5.25" customHeight="1" x14ac:dyDescent="0.2">
      <c r="B5" s="1029" t="s">
        <v>1158</v>
      </c>
      <c r="C5" s="1029"/>
      <c r="L5" s="300"/>
    </row>
    <row r="6" spans="1:12" ht="30.75" customHeight="1" x14ac:dyDescent="0.2">
      <c r="A6" s="300"/>
      <c r="B6" s="2634" t="s">
        <v>1296</v>
      </c>
      <c r="C6" s="2634"/>
      <c r="D6" s="2634"/>
      <c r="E6" s="2634"/>
      <c r="F6" s="2634"/>
      <c r="G6" s="2634"/>
      <c r="H6" s="2634"/>
      <c r="I6" s="2634"/>
      <c r="J6" s="2634"/>
      <c r="K6" s="2634"/>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7"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2"/>
      <c r="G12" s="2612"/>
      <c r="H12" s="2612"/>
      <c r="I12" s="2612"/>
      <c r="J12" s="2612"/>
      <c r="K12" s="2612"/>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35"/>
      <c r="E14" s="2635"/>
      <c r="F14" s="2635"/>
      <c r="H14" s="1223" t="s">
        <v>1291</v>
      </c>
      <c r="I14" s="2636"/>
      <c r="J14" s="2636"/>
      <c r="K14" s="2636"/>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36"/>
      <c r="E16" s="2636"/>
      <c r="F16" s="2636"/>
      <c r="G16" s="2636"/>
      <c r="H16" s="2636"/>
      <c r="I16" s="2636"/>
      <c r="J16" s="2636"/>
      <c r="K16" s="2636"/>
      <c r="L16" s="300"/>
    </row>
    <row r="17" spans="2:12" ht="13.5" customHeight="1" x14ac:dyDescent="0.2">
      <c r="B17" s="1149" t="s">
        <v>1289</v>
      </c>
      <c r="C17" s="1149"/>
      <c r="D17" s="2637"/>
      <c r="E17" s="2637"/>
      <c r="F17" s="2637"/>
      <c r="G17" s="2637"/>
      <c r="H17" s="2637"/>
      <c r="I17" s="2637"/>
      <c r="J17" s="2637"/>
      <c r="K17" s="2637"/>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27"/>
      <c r="C20" s="2627"/>
      <c r="D20" s="2627"/>
      <c r="E20" s="2627"/>
      <c r="F20" s="2627"/>
      <c r="G20" s="2627"/>
      <c r="H20" s="2627"/>
      <c r="I20" s="2627"/>
      <c r="J20" s="2627"/>
      <c r="K20" s="2627"/>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27"/>
      <c r="C23" s="2627"/>
      <c r="D23" s="2627"/>
      <c r="E23" s="2627"/>
      <c r="F23" s="2627"/>
      <c r="G23" s="2627"/>
      <c r="H23" s="2627"/>
      <c r="I23" s="2627"/>
      <c r="J23" s="2627"/>
      <c r="K23" s="2627"/>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27"/>
      <c r="C26" s="2627"/>
      <c r="D26" s="2627"/>
      <c r="E26" s="2627"/>
      <c r="F26" s="2627"/>
      <c r="G26" s="2627"/>
      <c r="H26" s="2627"/>
      <c r="I26" s="2627"/>
      <c r="J26" s="2627"/>
      <c r="K26" s="2627"/>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27"/>
      <c r="C29" s="2627"/>
      <c r="D29" s="2627"/>
      <c r="E29" s="2627"/>
      <c r="F29" s="2627"/>
      <c r="G29" s="2627"/>
      <c r="H29" s="2627"/>
      <c r="I29" s="2627"/>
      <c r="J29" s="2627"/>
      <c r="K29" s="2627"/>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27"/>
      <c r="C32" s="2627"/>
      <c r="D32" s="2627"/>
      <c r="E32" s="2627"/>
      <c r="F32" s="2627"/>
      <c r="G32" s="2627"/>
      <c r="H32" s="2627"/>
      <c r="I32" s="2627"/>
      <c r="J32" s="2627"/>
      <c r="K32" s="2627"/>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27"/>
      <c r="C35" s="2627"/>
      <c r="D35" s="2627"/>
      <c r="E35" s="2627"/>
      <c r="F35" s="2627"/>
      <c r="G35" s="2627"/>
      <c r="H35" s="2627"/>
      <c r="I35" s="2627"/>
      <c r="J35" s="2627"/>
      <c r="K35" s="2627"/>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27"/>
      <c r="C38" s="2627"/>
      <c r="D38" s="2627"/>
      <c r="E38" s="2627"/>
      <c r="F38" s="2627"/>
      <c r="G38" s="2627"/>
      <c r="H38" s="2627"/>
      <c r="I38" s="2627"/>
      <c r="J38" s="2627"/>
      <c r="K38" s="2627"/>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27"/>
      <c r="C41" s="2627"/>
      <c r="D41" s="2627"/>
      <c r="E41" s="2627"/>
      <c r="F41" s="2627"/>
      <c r="G41" s="2627"/>
      <c r="H41" s="2627"/>
      <c r="I41" s="2627"/>
      <c r="J41" s="2627"/>
      <c r="K41" s="2627"/>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5" t="str">
        <f>'Single Audit Cover'!A7</f>
        <v xml:space="preserve"> North Suburban Ed Reg for Vocation</v>
      </c>
      <c r="C1" s="2605"/>
      <c r="D1" s="2605"/>
      <c r="E1" s="1233"/>
    </row>
    <row r="2" spans="2:5" s="1051" customFormat="1" ht="12.75" customHeight="1" x14ac:dyDescent="0.2">
      <c r="B2" s="2607">
        <f>'Single Audit Cover'!E7</f>
        <v>5016207046</v>
      </c>
      <c r="C2" s="2607"/>
      <c r="D2" s="2607"/>
      <c r="E2" s="1234"/>
    </row>
    <row r="3" spans="2:5" ht="12.75" customHeight="1" x14ac:dyDescent="0.2">
      <c r="B3" s="2628" t="s">
        <v>1740</v>
      </c>
      <c r="C3" s="2628"/>
      <c r="D3" s="2628"/>
      <c r="E3" s="1043"/>
    </row>
    <row r="4" spans="2:5" s="1051" customFormat="1" ht="12.75" customHeight="1" x14ac:dyDescent="0.2">
      <c r="B4" s="2638" t="str">
        <f>'Single Audit Cover'!A4</f>
        <v>Year Ending June 30, 2020</v>
      </c>
      <c r="C4" s="2638"/>
      <c r="D4" s="2638"/>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topLeftCell="A28"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3" t="s">
        <v>383</v>
      </c>
      <c r="B1" s="2203"/>
      <c r="C1" s="2203"/>
      <c r="D1" s="2203"/>
      <c r="E1" s="2203"/>
      <c r="F1" s="2203"/>
      <c r="G1" s="2203"/>
      <c r="H1" s="2203"/>
      <c r="I1" s="2203"/>
      <c r="J1" s="2203"/>
      <c r="K1" s="2203"/>
      <c r="L1" s="2203"/>
      <c r="M1" s="220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c r="E10" s="333" t="s">
        <v>997</v>
      </c>
      <c r="F10" s="332"/>
      <c r="G10" s="333" t="s">
        <v>997</v>
      </c>
      <c r="H10" s="332"/>
      <c r="I10" s="333" t="s">
        <v>998</v>
      </c>
      <c r="J10" s="1417">
        <f>ROUND(D10+F10+H10,5)</f>
        <v>0</v>
      </c>
      <c r="K10" s="217"/>
      <c r="L10" s="332"/>
      <c r="M10" s="217"/>
    </row>
    <row r="11" spans="1:14" ht="7.5" customHeight="1" x14ac:dyDescent="0.2">
      <c r="B11" s="217"/>
      <c r="C11" s="217"/>
      <c r="D11" s="2213" t="str">
        <f>IF(SUM(J10)&lt;=0.0999999,"","Enter the Tax Rates by moving the decimal two places to the left.")</f>
        <v/>
      </c>
      <c r="E11" s="2214"/>
      <c r="F11" s="2214"/>
      <c r="G11" s="2214"/>
      <c r="H11" s="2214"/>
      <c r="I11" s="2214"/>
      <c r="J11" s="221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1462182</v>
      </c>
      <c r="E16" s="1540"/>
      <c r="F16" s="1539">
        <f>SUM('Acct Summary 7-8'!C17,'Acct Summary 7-8'!D17,'Acct Summary 7-8'!F17)</f>
        <v>1470954</v>
      </c>
      <c r="G16" s="1540"/>
      <c r="H16" s="1539">
        <f>SUM(D16-F16)</f>
        <v>-8772</v>
      </c>
      <c r="I16" s="1541"/>
      <c r="J16" s="1539">
        <f>SUM('Acct Summary 7-8'!C81,'Acct Summary 7-8'!D81,'Acct Summary 7-8'!F81,'Acct Summary 7-8'!I81)</f>
        <v>162474</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8"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4"/>
      <c r="C54" s="2205"/>
      <c r="D54" s="2205"/>
      <c r="E54" s="2205"/>
      <c r="F54" s="2205"/>
      <c r="G54" s="2205"/>
      <c r="H54" s="2205"/>
      <c r="I54" s="2205"/>
      <c r="J54" s="2205"/>
      <c r="K54" s="2205"/>
      <c r="L54" s="2206"/>
      <c r="M54" s="357"/>
    </row>
    <row r="55" spans="1:13" ht="12.75" customHeight="1" x14ac:dyDescent="0.2">
      <c r="B55" s="2207"/>
      <c r="C55" s="2208"/>
      <c r="D55" s="2208"/>
      <c r="E55" s="2208"/>
      <c r="F55" s="2208"/>
      <c r="G55" s="2208"/>
      <c r="H55" s="2208"/>
      <c r="I55" s="2208"/>
      <c r="J55" s="2208"/>
      <c r="K55" s="2208"/>
      <c r="L55" s="2209"/>
      <c r="M55" s="357"/>
    </row>
    <row r="56" spans="1:13" ht="12.75" customHeight="1" x14ac:dyDescent="0.2">
      <c r="B56" s="2207"/>
      <c r="C56" s="2208"/>
      <c r="D56" s="2208"/>
      <c r="E56" s="2208"/>
      <c r="F56" s="2208"/>
      <c r="G56" s="2208"/>
      <c r="H56" s="2208"/>
      <c r="I56" s="2208"/>
      <c r="J56" s="2208"/>
      <c r="K56" s="2208"/>
      <c r="L56" s="2209"/>
      <c r="M56" s="217"/>
    </row>
    <row r="57" spans="1:13" ht="12.75" customHeight="1" x14ac:dyDescent="0.2">
      <c r="B57" s="2207"/>
      <c r="C57" s="2208"/>
      <c r="D57" s="2208"/>
      <c r="E57" s="2208"/>
      <c r="F57" s="2208"/>
      <c r="G57" s="2208"/>
      <c r="H57" s="2208"/>
      <c r="I57" s="2208"/>
      <c r="J57" s="2208"/>
      <c r="K57" s="2208"/>
      <c r="L57" s="2209"/>
      <c r="M57" s="217"/>
    </row>
    <row r="58" spans="1:13" x14ac:dyDescent="0.2">
      <c r="B58" s="2210"/>
      <c r="C58" s="2211"/>
      <c r="D58" s="2211"/>
      <c r="E58" s="2211"/>
      <c r="F58" s="2211"/>
      <c r="G58" s="2211"/>
      <c r="H58" s="2211"/>
      <c r="I58" s="2211"/>
      <c r="J58" s="2211"/>
      <c r="K58" s="2211"/>
      <c r="L58" s="221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5"/>
      <c r="D61" s="221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0000"/>
  </sheetPr>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8"/>
      <c r="B1" s="2219"/>
      <c r="C1" s="2219"/>
      <c r="D1" s="361"/>
      <c r="E1" s="361"/>
      <c r="F1" s="361"/>
      <c r="G1" s="361"/>
      <c r="H1" s="361"/>
      <c r="I1" s="361"/>
      <c r="J1" s="361"/>
      <c r="K1" s="361"/>
      <c r="L1" s="361"/>
      <c r="M1" s="361"/>
      <c r="N1" s="361"/>
      <c r="O1" s="2218"/>
      <c r="P1" s="2219"/>
      <c r="Q1" s="2219"/>
    </row>
    <row r="2" spans="1:18" ht="15" x14ac:dyDescent="0.2">
      <c r="A2" s="2222" t="s">
        <v>552</v>
      </c>
      <c r="B2" s="2222"/>
      <c r="C2" s="2222"/>
      <c r="D2" s="2222"/>
      <c r="E2" s="2222"/>
      <c r="F2" s="2222"/>
      <c r="G2" s="2222"/>
      <c r="H2" s="2222"/>
      <c r="I2" s="2222"/>
      <c r="J2" s="2222"/>
      <c r="K2" s="2222"/>
      <c r="L2" s="2222"/>
      <c r="M2" s="2222"/>
      <c r="N2" s="2222"/>
      <c r="O2" s="2222"/>
      <c r="P2" s="2222"/>
      <c r="Q2" s="2222"/>
      <c r="R2" s="2222"/>
    </row>
    <row r="3" spans="1:18" ht="12.75" x14ac:dyDescent="0.2">
      <c r="A3" s="2223" t="s">
        <v>1393</v>
      </c>
      <c r="B3" s="2223"/>
      <c r="C3" s="2223"/>
      <c r="D3" s="2223"/>
      <c r="E3" s="2223"/>
      <c r="F3" s="2223"/>
      <c r="G3" s="2223"/>
      <c r="H3" s="2223"/>
      <c r="I3" s="2223"/>
      <c r="J3" s="2223"/>
      <c r="K3" s="2223"/>
      <c r="L3" s="2223"/>
      <c r="M3" s="2223"/>
      <c r="N3" s="2223"/>
      <c r="O3" s="2223"/>
      <c r="P3" s="2223"/>
      <c r="Q3" s="2223"/>
      <c r="R3" s="2223"/>
    </row>
    <row r="4" spans="1:18" x14ac:dyDescent="0.2">
      <c r="A4" s="2224" t="s">
        <v>1534</v>
      </c>
      <c r="B4" s="2224"/>
      <c r="C4" s="2224"/>
      <c r="D4" s="2224"/>
      <c r="E4" s="2224"/>
      <c r="F4" s="2224"/>
      <c r="G4" s="2224"/>
      <c r="H4" s="2224"/>
      <c r="I4" s="2224"/>
      <c r="J4" s="2224"/>
      <c r="K4" s="2224"/>
      <c r="L4" s="2224"/>
      <c r="M4" s="2224"/>
      <c r="N4" s="2224"/>
      <c r="O4" s="2224"/>
      <c r="P4" s="2224"/>
      <c r="Q4" s="2224"/>
      <c r="R4" s="222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North Suburban Ed Reg for Vocation</v>
      </c>
      <c r="E7" s="368"/>
      <c r="G7" s="247"/>
      <c r="H7" s="364"/>
      <c r="I7" s="364"/>
      <c r="J7" s="364"/>
      <c r="K7" s="364"/>
      <c r="L7" s="307"/>
      <c r="M7" s="307"/>
      <c r="N7" s="307"/>
      <c r="O7" s="307"/>
      <c r="P7" s="307"/>
    </row>
    <row r="8" spans="1:18" ht="12.75" x14ac:dyDescent="0.2">
      <c r="A8" s="307"/>
      <c r="B8" s="307"/>
      <c r="C8" s="366" t="s">
        <v>1114</v>
      </c>
      <c r="D8" s="369">
        <f>COVER!A13</f>
        <v>5016207046</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3</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162474</v>
      </c>
      <c r="I12" s="380"/>
      <c r="J12" s="380"/>
      <c r="K12" s="1552">
        <f>TRUNC((H12/H13*100000),5)/100000</f>
        <v>0.1111174942</v>
      </c>
      <c r="L12" s="381"/>
      <c r="M12" s="337" t="s">
        <v>1133</v>
      </c>
      <c r="N12" s="337"/>
      <c r="O12" s="1555">
        <v>0.35</v>
      </c>
      <c r="P12" s="213"/>
      <c r="Q12" s="213"/>
    </row>
    <row r="13" spans="1:18" s="382" customFormat="1" ht="12.75" x14ac:dyDescent="0.2">
      <c r="A13" s="213"/>
      <c r="B13" s="377"/>
      <c r="C13" s="2220" t="s">
        <v>1312</v>
      </c>
      <c r="D13" s="2221"/>
      <c r="E13" s="213"/>
      <c r="F13" s="383" t="s">
        <v>787</v>
      </c>
      <c r="G13" s="378"/>
      <c r="H13" s="1544">
        <f>SUM('Acct Summary 7-8'!C8+'Acct Summary 7-8'!D8+'Acct Summary 7-8'!F8+'Acct Summary 7-8'!I8)+H14</f>
        <v>1462182</v>
      </c>
      <c r="I13" s="380"/>
      <c r="J13" s="380"/>
      <c r="K13" s="1551"/>
      <c r="L13" s="213"/>
      <c r="M13" s="337" t="s">
        <v>1134</v>
      </c>
      <c r="N13" s="337"/>
      <c r="O13" s="1556">
        <f>(O11*O12)</f>
        <v>1.0499999999999998</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t="str">
        <f>IF(K17&gt;1.2,"1",IF(K17&gt;1.1,"2",IF(K17&gt;1,"3",4)))</f>
        <v>3</v>
      </c>
      <c r="P16" s="211"/>
      <c r="R16" s="361"/>
    </row>
    <row r="17" spans="1:18" s="382" customFormat="1" ht="11.25" x14ac:dyDescent="0.2">
      <c r="A17" s="213"/>
      <c r="B17" s="377"/>
      <c r="C17" s="213" t="s">
        <v>791</v>
      </c>
      <c r="D17" s="213"/>
      <c r="E17" s="213"/>
      <c r="F17" s="213" t="s">
        <v>441</v>
      </c>
      <c r="G17" s="378"/>
      <c r="H17" s="1544">
        <f>SUM('Acct Summary 7-8'!C17+'Acct Summary 7-8'!D17+'Acct Summary 7-8'!F17)</f>
        <v>1470954</v>
      </c>
      <c r="I17" s="380"/>
      <c r="J17" s="389"/>
      <c r="K17" s="1552">
        <f>TRUNC((H17/H18*100000),5)/100000</f>
        <v>1.0059992531000002</v>
      </c>
      <c r="L17" s="381"/>
      <c r="M17" s="390" t="s">
        <v>1160</v>
      </c>
      <c r="O17" s="1558" t="str">
        <f>IF(AND(O16="2", J20 &gt; 2),"1",IF(AND(O16 = "1", J20 &gt; 2),"2",IF(AND(O16="1", J20 &gt;1),"1","0")))</f>
        <v>0</v>
      </c>
      <c r="P17" s="213"/>
    </row>
    <row r="18" spans="1:18" s="382" customFormat="1" ht="11.25" x14ac:dyDescent="0.2">
      <c r="A18" s="213"/>
      <c r="B18" s="377"/>
      <c r="C18" s="2220" t="s">
        <v>1305</v>
      </c>
      <c r="D18" s="2221"/>
      <c r="E18" s="213"/>
      <c r="F18" s="391" t="s">
        <v>788</v>
      </c>
      <c r="G18" s="378"/>
      <c r="H18" s="1544">
        <f>SUM('Acct Summary 7-8'!C8+'Acct Summary 7-8'!D8+'Acct Summary 7-8'!F8+'Acct Summary 7-8'!I8)+H19</f>
        <v>1462182</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f>IF(K17&lt;=1,"0",TRUNC(((K12-0.1)/(K17-1)*100),5)/100)</f>
        <v>1.8531462999999999</v>
      </c>
      <c r="K20" s="1552" t="str">
        <f>IF(K17&lt;=1,"0",IF(AND(O16="2", J20 &gt; 2),TRUNC(((K12-0.1)/(K17-1)*100),5)/100,IF(AND(O16 = "1", J20 &gt; 2),TRUNC(((K12-0.1)/(K17-1)*100),5)/100,IF(AND(O16="1", J20 &gt;1),TRUNC(((K12-0.1)/(K17-1)*100),5)/100,""))))</f>
        <v/>
      </c>
      <c r="L20" s="213"/>
      <c r="M20" s="337" t="s">
        <v>1134</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2</v>
      </c>
      <c r="P23" s="211"/>
      <c r="R23" s="361"/>
    </row>
    <row r="24" spans="1:18" s="382" customFormat="1" ht="11.25" x14ac:dyDescent="0.2">
      <c r="A24" s="213"/>
      <c r="B24" s="377"/>
      <c r="C24" s="2217" t="s">
        <v>1392</v>
      </c>
      <c r="D24" s="2217"/>
      <c r="E24" s="213"/>
      <c r="F24" s="213" t="s">
        <v>442</v>
      </c>
      <c r="G24" s="378"/>
      <c r="H24" s="1544">
        <f>SUM('Assets-Liab 5-6'!C4+'Assets-Liab 5-6'!D4+'Assets-Liab 5-6'!F4+'Assets-Liab 5-6'!I4+'Assets-Liab 5-6'!C5+'Assets-Liab 5-6'!D5+'Assets-Liab 5-6'!F5+'Assets-Liab 5-6'!I5)</f>
        <v>162474</v>
      </c>
      <c r="I24" s="394"/>
      <c r="J24" s="394"/>
      <c r="K24" s="1548">
        <f>TRUNC(((H24/H25*100000)/100000),2)</f>
        <v>39.76</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4085.98333</v>
      </c>
      <c r="I25" s="396"/>
      <c r="J25" s="396"/>
      <c r="K25" s="1551"/>
      <c r="L25" s="213"/>
      <c r="M25" s="337" t="s">
        <v>1134</v>
      </c>
      <c r="N25" s="337"/>
      <c r="O25" s="1556">
        <f>O23*O24</f>
        <v>0.2</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e">
        <f>IF(K28&gt;=75,"4",IF(K28&gt;=50,"3",IF(K28&gt;=25,"2",1)))</f>
        <v>#DIV/0!</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t="e">
        <f>TRUNC(100-((((H28/H29*100))*100)/100),2)</f>
        <v>#DIV/0!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0</v>
      </c>
      <c r="I29" s="397"/>
      <c r="J29" s="397"/>
      <c r="K29" s="1551"/>
      <c r="L29" s="213"/>
      <c r="M29" s="337" t="s">
        <v>1134</v>
      </c>
      <c r="N29" s="337"/>
      <c r="O29" s="1556" t="e">
        <f>O27*O28</f>
        <v>#DIV/0!</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e">
        <f>IF(K32&gt;=75,"4",IF(K32&gt;=50,"3",IF(K32&gt;=25,"2",1)))</f>
        <v>#VALUE!</v>
      </c>
      <c r="P31" s="211"/>
    </row>
    <row r="32" spans="1:18" s="382" customFormat="1" ht="11.25" x14ac:dyDescent="0.2">
      <c r="A32" s="213"/>
      <c r="B32" s="377"/>
      <c r="C32" s="213" t="s">
        <v>841</v>
      </c>
      <c r="D32" s="213"/>
      <c r="E32" s="213"/>
      <c r="F32" s="213"/>
      <c r="G32" s="378"/>
      <c r="H32" s="1544">
        <f>'FP Info 3'!H37</f>
        <v>0</v>
      </c>
      <c r="I32" s="392"/>
      <c r="J32" s="392"/>
      <c r="K32" s="1548" t="e">
        <f>TRUNC(100-((((H32/H33*100))*100)/100),2)</f>
        <v>#VALUE!</v>
      </c>
      <c r="L32" s="381"/>
      <c r="M32" s="337" t="s">
        <v>1133</v>
      </c>
      <c r="N32" s="337"/>
      <c r="O32" s="1561">
        <v>0.1</v>
      </c>
    </row>
    <row r="33" spans="1:17" s="382" customFormat="1" ht="11.25" x14ac:dyDescent="0.2">
      <c r="A33" s="213"/>
      <c r="B33" s="377"/>
      <c r="C33" s="213" t="s">
        <v>793</v>
      </c>
      <c r="D33" s="213"/>
      <c r="E33" s="213"/>
      <c r="F33" s="213"/>
      <c r="G33" s="378"/>
      <c r="H33" s="379" t="str">
        <f>IF('FP Info 3'!H31="Enter X in a or b"," ",'FP Info 3'!H31)</f>
        <v>Enter x in a.or b.</v>
      </c>
      <c r="I33" s="392"/>
      <c r="J33" s="392"/>
      <c r="K33" s="379"/>
      <c r="L33" s="213"/>
      <c r="M33" s="401" t="s">
        <v>1134</v>
      </c>
      <c r="N33" s="401"/>
      <c r="O33" s="1561" t="e">
        <f>(O31*O32)</f>
        <v>#VALUE!</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t="e">
        <f>(O13+O20+O25+O29+O33)</f>
        <v>#DIV/0!</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110" zoomScaleNormal="110" workbookViewId="0">
      <pane ySplit="2" topLeftCell="A3" activePane="bottomLeft" state="frozen"/>
      <selection activeCell="K3" sqref="K3"/>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5"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26"/>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27" t="s">
        <v>966</v>
      </c>
      <c r="B3" s="2228"/>
      <c r="C3" s="1299"/>
      <c r="D3" s="1300"/>
      <c r="E3" s="1300"/>
      <c r="F3" s="1300"/>
      <c r="G3" s="1300"/>
      <c r="H3" s="1300"/>
      <c r="I3" s="1300"/>
      <c r="J3" s="1300"/>
      <c r="K3" s="1300"/>
      <c r="L3" s="1300"/>
      <c r="M3" s="1301"/>
      <c r="N3" s="1302"/>
    </row>
    <row r="4" spans="1:14" ht="13.5" customHeight="1" x14ac:dyDescent="0.2">
      <c r="A4" s="427" t="s">
        <v>1629</v>
      </c>
      <c r="B4" s="428"/>
      <c r="C4" s="1914">
        <v>162474</v>
      </c>
      <c r="D4" s="1909">
        <v>0</v>
      </c>
      <c r="E4" s="1909">
        <v>0</v>
      </c>
      <c r="F4" s="1909">
        <v>0</v>
      </c>
      <c r="G4" s="1909">
        <v>0</v>
      </c>
      <c r="H4" s="1909">
        <v>0</v>
      </c>
      <c r="I4" s="1909">
        <v>0</v>
      </c>
      <c r="J4" s="1910">
        <v>0</v>
      </c>
      <c r="K4" s="1915">
        <v>0</v>
      </c>
      <c r="L4" s="1908"/>
      <c r="M4" s="1567"/>
      <c r="N4" s="1568"/>
    </row>
    <row r="5" spans="1:14" x14ac:dyDescent="0.2">
      <c r="A5" s="427" t="s">
        <v>984</v>
      </c>
      <c r="B5" s="429">
        <v>120</v>
      </c>
      <c r="C5" s="1914"/>
      <c r="D5" s="1909"/>
      <c r="E5" s="1909"/>
      <c r="F5" s="1909"/>
      <c r="G5" s="1909"/>
      <c r="H5" s="1909"/>
      <c r="I5" s="1909"/>
      <c r="J5" s="1910"/>
      <c r="K5" s="1915"/>
      <c r="L5" s="1570"/>
      <c r="M5" s="1567"/>
      <c r="N5" s="1568"/>
    </row>
    <row r="6" spans="1:14" ht="13.5" customHeight="1" x14ac:dyDescent="0.2">
      <c r="A6" s="430" t="s">
        <v>414</v>
      </c>
      <c r="B6" s="429">
        <v>130</v>
      </c>
      <c r="C6" s="1914">
        <v>0</v>
      </c>
      <c r="D6" s="1909">
        <v>0</v>
      </c>
      <c r="E6" s="1909">
        <v>0</v>
      </c>
      <c r="F6" s="1909">
        <v>0</v>
      </c>
      <c r="G6" s="1915">
        <v>0</v>
      </c>
      <c r="H6" s="1915">
        <v>0</v>
      </c>
      <c r="I6" s="1909">
        <v>0</v>
      </c>
      <c r="J6" s="1916">
        <v>0</v>
      </c>
      <c r="K6" s="1915">
        <v>0</v>
      </c>
      <c r="L6" s="1572"/>
      <c r="M6" s="1567"/>
      <c r="N6" s="1568"/>
    </row>
    <row r="7" spans="1:14" ht="13.5" customHeight="1" x14ac:dyDescent="0.2">
      <c r="A7" s="430" t="s">
        <v>415</v>
      </c>
      <c r="B7" s="429">
        <v>140</v>
      </c>
      <c r="C7" s="1917">
        <v>0</v>
      </c>
      <c r="D7" s="1910">
        <v>0</v>
      </c>
      <c r="E7" s="1917">
        <v>0</v>
      </c>
      <c r="F7" s="1910">
        <v>0</v>
      </c>
      <c r="G7" s="1910">
        <v>0</v>
      </c>
      <c r="H7" s="1910">
        <v>0</v>
      </c>
      <c r="I7" s="1910">
        <v>0</v>
      </c>
      <c r="J7" s="1910">
        <v>0</v>
      </c>
      <c r="K7" s="1910">
        <v>0</v>
      </c>
      <c r="L7" s="1573"/>
      <c r="M7" s="1567"/>
      <c r="N7" s="1568"/>
    </row>
    <row r="8" spans="1:14" ht="13.5" customHeight="1" x14ac:dyDescent="0.2">
      <c r="A8" s="430" t="s">
        <v>267</v>
      </c>
      <c r="B8" s="429">
        <v>150</v>
      </c>
      <c r="C8" s="1917">
        <v>0</v>
      </c>
      <c r="D8" s="1910">
        <v>0</v>
      </c>
      <c r="E8" s="1917">
        <v>0</v>
      </c>
      <c r="F8" s="1910">
        <v>0</v>
      </c>
      <c r="G8" s="1911">
        <v>0</v>
      </c>
      <c r="H8" s="1910">
        <v>0</v>
      </c>
      <c r="I8" s="1916">
        <v>0</v>
      </c>
      <c r="J8" s="1916">
        <v>0</v>
      </c>
      <c r="K8" s="1912">
        <v>0</v>
      </c>
      <c r="L8" s="1576"/>
      <c r="M8" s="1567"/>
      <c r="N8" s="1568"/>
    </row>
    <row r="9" spans="1:14" ht="13.5" customHeight="1" x14ac:dyDescent="0.2">
      <c r="A9" s="430" t="s">
        <v>268</v>
      </c>
      <c r="B9" s="429">
        <v>160</v>
      </c>
      <c r="C9" s="1917">
        <v>0</v>
      </c>
      <c r="D9" s="1910">
        <v>0</v>
      </c>
      <c r="E9" s="1917">
        <v>0</v>
      </c>
      <c r="F9" s="1910">
        <v>0</v>
      </c>
      <c r="G9" s="1910">
        <v>0</v>
      </c>
      <c r="H9" s="1911">
        <v>0</v>
      </c>
      <c r="I9" s="1910">
        <v>0</v>
      </c>
      <c r="J9" s="1910">
        <v>0</v>
      </c>
      <c r="K9" s="1910">
        <v>0</v>
      </c>
      <c r="L9" s="1566"/>
      <c r="M9" s="1567"/>
      <c r="N9" s="1568"/>
    </row>
    <row r="10" spans="1:14" ht="13.5" customHeight="1" x14ac:dyDescent="0.2">
      <c r="A10" s="430" t="s">
        <v>983</v>
      </c>
      <c r="B10" s="429">
        <v>170</v>
      </c>
      <c r="C10" s="1914">
        <v>0</v>
      </c>
      <c r="D10" s="1909">
        <v>0</v>
      </c>
      <c r="E10" s="1910">
        <v>0</v>
      </c>
      <c r="F10" s="1909">
        <v>0</v>
      </c>
      <c r="G10" s="1911">
        <v>0</v>
      </c>
      <c r="H10" s="1913">
        <v>0</v>
      </c>
      <c r="I10" s="1910">
        <v>0</v>
      </c>
      <c r="J10" s="1910">
        <v>0</v>
      </c>
      <c r="K10" s="1913">
        <v>0</v>
      </c>
      <c r="L10" s="1577"/>
      <c r="M10" s="1568"/>
      <c r="N10" s="1568"/>
    </row>
    <row r="11" spans="1:14" ht="13.5" customHeight="1" x14ac:dyDescent="0.2">
      <c r="A11" s="430" t="s">
        <v>269</v>
      </c>
      <c r="B11" s="429">
        <v>180</v>
      </c>
      <c r="C11" s="1917">
        <v>0</v>
      </c>
      <c r="D11" s="1910">
        <v>0</v>
      </c>
      <c r="E11" s="1910">
        <v>0</v>
      </c>
      <c r="F11" s="1910">
        <v>0</v>
      </c>
      <c r="G11" s="1910">
        <v>0</v>
      </c>
      <c r="H11" s="1910">
        <v>0</v>
      </c>
      <c r="I11" s="1911">
        <v>0</v>
      </c>
      <c r="J11" s="1911">
        <v>0</v>
      </c>
      <c r="K11" s="1910">
        <v>0</v>
      </c>
      <c r="L11" s="1566"/>
      <c r="M11" s="1568"/>
      <c r="N11" s="1568"/>
    </row>
    <row r="12" spans="1:14" ht="13.5" customHeight="1" x14ac:dyDescent="0.2">
      <c r="A12" s="430" t="s">
        <v>416</v>
      </c>
      <c r="B12" s="429">
        <v>190</v>
      </c>
      <c r="C12" s="1914">
        <v>0</v>
      </c>
      <c r="D12" s="1909">
        <v>0</v>
      </c>
      <c r="E12" s="1909">
        <v>0</v>
      </c>
      <c r="F12" s="1909">
        <v>0</v>
      </c>
      <c r="G12" s="1909">
        <v>0</v>
      </c>
      <c r="H12" s="1909">
        <v>0</v>
      </c>
      <c r="I12" s="1909">
        <v>0</v>
      </c>
      <c r="J12" s="1910">
        <v>0</v>
      </c>
      <c r="K12" s="1909">
        <v>0</v>
      </c>
      <c r="L12" s="1565"/>
      <c r="M12" s="1568"/>
      <c r="N12" s="1568"/>
    </row>
    <row r="13" spans="1:14" ht="13.5" customHeight="1" thickBot="1" x14ac:dyDescent="0.25">
      <c r="A13" s="1419" t="s">
        <v>639</v>
      </c>
      <c r="B13" s="1400"/>
      <c r="C13" s="1578">
        <f>SUM(C4:C12)</f>
        <v>162474</v>
      </c>
      <c r="D13" s="1578">
        <f t="shared" ref="D13:L13" si="0">SUM(D4:D12)</f>
        <v>0</v>
      </c>
      <c r="E13" s="1578">
        <f t="shared" si="0"/>
        <v>0</v>
      </c>
      <c r="F13" s="1578">
        <f t="shared" si="0"/>
        <v>0</v>
      </c>
      <c r="G13" s="1578">
        <f t="shared" si="0"/>
        <v>0</v>
      </c>
      <c r="H13" s="1578">
        <f t="shared" si="0"/>
        <v>0</v>
      </c>
      <c r="I13" s="1578">
        <f t="shared" si="0"/>
        <v>0</v>
      </c>
      <c r="J13" s="1578">
        <f t="shared" si="0"/>
        <v>0</v>
      </c>
      <c r="K13" s="1578">
        <f t="shared" si="0"/>
        <v>0</v>
      </c>
      <c r="L13" s="1578">
        <f t="shared" si="0"/>
        <v>0</v>
      </c>
      <c r="M13" s="1567"/>
      <c r="N13" s="1568"/>
    </row>
    <row r="14" spans="1:14" ht="18" customHeight="1" thickTop="1" x14ac:dyDescent="0.2">
      <c r="A14" s="2229" t="s">
        <v>146</v>
      </c>
      <c r="B14" s="2230"/>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0</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0</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0</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0</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0</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0</v>
      </c>
    </row>
    <row r="23" spans="1:14" ht="13.5" customHeight="1" thickBot="1" x14ac:dyDescent="0.25">
      <c r="A23" s="1419" t="s">
        <v>638</v>
      </c>
      <c r="B23" s="1422"/>
      <c r="C23" s="1567"/>
      <c r="D23" s="1567"/>
      <c r="E23" s="1567"/>
      <c r="F23" s="1567"/>
      <c r="G23" s="1567"/>
      <c r="H23" s="1567"/>
      <c r="I23" s="1567"/>
      <c r="J23" s="1567"/>
      <c r="K23" s="1567"/>
      <c r="L23" s="1567"/>
      <c r="M23" s="1585">
        <f>SUM(M15:M22)</f>
        <v>0</v>
      </c>
      <c r="N23" s="1585">
        <f>SUM(N21:N22)</f>
        <v>0</v>
      </c>
    </row>
    <row r="24" spans="1:14" ht="18" customHeight="1" thickTop="1" x14ac:dyDescent="0.2">
      <c r="A24" s="2231" t="s">
        <v>594</v>
      </c>
      <c r="B24" s="2232"/>
      <c r="C24" s="1586"/>
      <c r="D24" s="1581"/>
      <c r="E24" s="1581"/>
      <c r="F24" s="1581"/>
      <c r="G24" s="1581"/>
      <c r="H24" s="1581"/>
      <c r="I24" s="1581"/>
      <c r="J24" s="1581"/>
      <c r="K24" s="1581"/>
      <c r="L24" s="1581"/>
      <c r="M24" s="1580"/>
      <c r="N24" s="1587"/>
    </row>
    <row r="25" spans="1:14" x14ac:dyDescent="0.2">
      <c r="A25" s="430" t="s">
        <v>640</v>
      </c>
      <c r="B25" s="429">
        <v>410</v>
      </c>
      <c r="C25" s="1911">
        <v>0</v>
      </c>
      <c r="D25" s="1911">
        <v>0</v>
      </c>
      <c r="E25" s="1911">
        <v>0</v>
      </c>
      <c r="F25" s="1911">
        <v>0</v>
      </c>
      <c r="G25" s="1911">
        <v>0</v>
      </c>
      <c r="H25" s="1912">
        <v>0</v>
      </c>
      <c r="I25" s="1567"/>
      <c r="J25" s="1574">
        <v>0</v>
      </c>
      <c r="K25" s="1574">
        <v>0</v>
      </c>
      <c r="L25" s="1567"/>
      <c r="M25" s="1567"/>
      <c r="N25" s="1567"/>
    </row>
    <row r="26" spans="1:14" x14ac:dyDescent="0.2">
      <c r="A26" s="430" t="s">
        <v>641</v>
      </c>
      <c r="B26" s="429">
        <v>420</v>
      </c>
      <c r="C26" s="1910">
        <v>0</v>
      </c>
      <c r="D26" s="1910">
        <v>0</v>
      </c>
      <c r="E26" s="1910">
        <v>0</v>
      </c>
      <c r="F26" s="1910">
        <v>0</v>
      </c>
      <c r="G26" s="1910">
        <v>0</v>
      </c>
      <c r="H26" s="1910">
        <v>0</v>
      </c>
      <c r="I26" s="1921">
        <v>0</v>
      </c>
      <c r="J26" s="1924">
        <v>0</v>
      </c>
      <c r="K26" s="1921">
        <v>0</v>
      </c>
      <c r="L26" s="1567"/>
      <c r="M26" s="1567"/>
      <c r="N26" s="1567"/>
    </row>
    <row r="27" spans="1:14" ht="13.5" customHeight="1" x14ac:dyDescent="0.2">
      <c r="A27" s="430" t="s">
        <v>642</v>
      </c>
      <c r="B27" s="429">
        <v>430</v>
      </c>
      <c r="C27" s="1910">
        <v>0</v>
      </c>
      <c r="D27" s="1910">
        <v>0</v>
      </c>
      <c r="E27" s="1910">
        <v>0</v>
      </c>
      <c r="F27" s="1910">
        <v>0</v>
      </c>
      <c r="G27" s="1910">
        <v>0</v>
      </c>
      <c r="H27" s="1910">
        <v>0</v>
      </c>
      <c r="I27" s="1921">
        <v>0</v>
      </c>
      <c r="J27" s="1921">
        <v>0</v>
      </c>
      <c r="K27" s="1921">
        <v>0</v>
      </c>
      <c r="L27" s="1567"/>
      <c r="M27" s="1567"/>
      <c r="N27" s="1567"/>
    </row>
    <row r="28" spans="1:14" ht="13.5" customHeight="1" x14ac:dyDescent="0.2">
      <c r="A28" s="430" t="s">
        <v>643</v>
      </c>
      <c r="B28" s="429">
        <v>440</v>
      </c>
      <c r="C28" s="1910">
        <v>0</v>
      </c>
      <c r="D28" s="1910">
        <v>0</v>
      </c>
      <c r="E28" s="1916">
        <v>0</v>
      </c>
      <c r="F28" s="1910">
        <v>0</v>
      </c>
      <c r="G28" s="1916">
        <v>0</v>
      </c>
      <c r="H28" s="1916">
        <v>0</v>
      </c>
      <c r="I28" s="1921">
        <v>0</v>
      </c>
      <c r="J28" s="1921">
        <v>0</v>
      </c>
      <c r="K28" s="1923">
        <v>0</v>
      </c>
      <c r="L28" s="1567"/>
      <c r="M28" s="1567"/>
      <c r="N28" s="1567"/>
    </row>
    <row r="29" spans="1:14" ht="13.5" customHeight="1" x14ac:dyDescent="0.2">
      <c r="A29" s="430" t="s">
        <v>644</v>
      </c>
      <c r="B29" s="429">
        <v>460</v>
      </c>
      <c r="C29" s="1918">
        <v>0</v>
      </c>
      <c r="D29" s="1919">
        <v>0</v>
      </c>
      <c r="E29" s="1916">
        <v>0</v>
      </c>
      <c r="F29" s="1910">
        <v>0</v>
      </c>
      <c r="G29" s="1916">
        <v>0</v>
      </c>
      <c r="H29" s="1916">
        <v>0</v>
      </c>
      <c r="I29" s="1924">
        <v>0</v>
      </c>
      <c r="J29" s="1924">
        <v>0</v>
      </c>
      <c r="K29" s="1921">
        <v>0</v>
      </c>
      <c r="L29" s="1567"/>
      <c r="M29" s="1567"/>
      <c r="N29" s="1567"/>
    </row>
    <row r="30" spans="1:14" ht="13.5" customHeight="1" x14ac:dyDescent="0.2">
      <c r="A30" s="430" t="s">
        <v>645</v>
      </c>
      <c r="B30" s="429">
        <v>470</v>
      </c>
      <c r="C30" s="1910">
        <v>0</v>
      </c>
      <c r="D30" s="1916">
        <v>0</v>
      </c>
      <c r="E30" s="1910">
        <v>0</v>
      </c>
      <c r="F30" s="1910">
        <v>0</v>
      </c>
      <c r="G30" s="1910">
        <v>0</v>
      </c>
      <c r="H30" s="1910">
        <v>0</v>
      </c>
      <c r="I30" s="1921">
        <v>0</v>
      </c>
      <c r="J30" s="1921">
        <v>0</v>
      </c>
      <c r="K30" s="1922">
        <v>0</v>
      </c>
      <c r="L30" s="1567"/>
      <c r="M30" s="1567"/>
      <c r="N30" s="1567"/>
    </row>
    <row r="31" spans="1:14" ht="13.5" customHeight="1" x14ac:dyDescent="0.2">
      <c r="A31" s="430" t="s">
        <v>646</v>
      </c>
      <c r="B31" s="429">
        <v>480</v>
      </c>
      <c r="C31" s="1909">
        <v>0</v>
      </c>
      <c r="D31" s="1910">
        <v>0</v>
      </c>
      <c r="E31" s="1910">
        <v>0</v>
      </c>
      <c r="F31" s="1909">
        <v>0</v>
      </c>
      <c r="G31" s="1910">
        <v>0</v>
      </c>
      <c r="H31" s="1910">
        <v>0</v>
      </c>
      <c r="I31" s="1921">
        <v>0</v>
      </c>
      <c r="J31" s="1921">
        <v>0</v>
      </c>
      <c r="K31" s="1921">
        <v>0</v>
      </c>
      <c r="L31" s="1567"/>
      <c r="M31" s="1567"/>
      <c r="N31" s="1567"/>
    </row>
    <row r="32" spans="1:14" ht="13.5" customHeight="1" x14ac:dyDescent="0.2">
      <c r="A32" s="434" t="s">
        <v>647</v>
      </c>
      <c r="B32" s="435">
        <v>490</v>
      </c>
      <c r="C32" s="1920">
        <v>0</v>
      </c>
      <c r="D32" s="1920">
        <v>0</v>
      </c>
      <c r="E32" s="1916">
        <v>0</v>
      </c>
      <c r="F32" s="1916">
        <v>0</v>
      </c>
      <c r="G32" s="1916">
        <v>0</v>
      </c>
      <c r="H32" s="1916">
        <v>0</v>
      </c>
      <c r="I32" s="1924">
        <v>0</v>
      </c>
      <c r="J32" s="1924">
        <v>0</v>
      </c>
      <c r="K32" s="1923">
        <v>0</v>
      </c>
      <c r="L32" s="1567"/>
      <c r="M32" s="1567"/>
      <c r="N32" s="1567"/>
    </row>
    <row r="33" spans="1:14" ht="13.5" customHeight="1" x14ac:dyDescent="0.2">
      <c r="A33" s="436" t="s">
        <v>300</v>
      </c>
      <c r="B33" s="435">
        <v>493</v>
      </c>
      <c r="C33" s="1910">
        <v>0</v>
      </c>
      <c r="D33" s="1910">
        <v>0</v>
      </c>
      <c r="E33" s="1910">
        <v>0</v>
      </c>
      <c r="F33" s="1910">
        <v>0</v>
      </c>
      <c r="G33" s="1910">
        <v>0</v>
      </c>
      <c r="H33" s="1910">
        <v>0</v>
      </c>
      <c r="I33" s="1921">
        <v>0</v>
      </c>
      <c r="J33" s="1921">
        <v>0</v>
      </c>
      <c r="K33" s="1921">
        <v>0</v>
      </c>
      <c r="L33" s="1925">
        <v>0</v>
      </c>
      <c r="M33" s="1567"/>
      <c r="N33" s="1568"/>
    </row>
    <row r="34" spans="1:14" ht="13.5" customHeight="1" thickBot="1" x14ac:dyDescent="0.25">
      <c r="A34" s="1420" t="s">
        <v>649</v>
      </c>
      <c r="B34" s="1421"/>
      <c r="C34" s="1590">
        <f>SUM(C25:C33)</f>
        <v>0</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0</v>
      </c>
      <c r="M34" s="1567"/>
      <c r="N34" s="1576"/>
    </row>
    <row r="35" spans="1:14" ht="18" customHeight="1" thickTop="1" x14ac:dyDescent="0.2">
      <c r="A35" s="2233" t="s">
        <v>526</v>
      </c>
      <c r="B35" s="2234"/>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0</v>
      </c>
    </row>
    <row r="37" spans="1:14" ht="13.5" thickBot="1" x14ac:dyDescent="0.25">
      <c r="A37" s="1419" t="s">
        <v>648</v>
      </c>
      <c r="B37" s="1422"/>
      <c r="C37" s="1573"/>
      <c r="D37" s="1573"/>
      <c r="E37" s="1573"/>
      <c r="F37" s="1573"/>
      <c r="G37" s="1573"/>
      <c r="H37" s="1573"/>
      <c r="I37" s="1573"/>
      <c r="J37" s="1573"/>
      <c r="K37" s="1573"/>
      <c r="L37" s="1576"/>
      <c r="M37" s="1567"/>
      <c r="N37" s="1585">
        <f>SUM(N36:N36)</f>
        <v>0</v>
      </c>
    </row>
    <row r="38" spans="1:14" s="307" customFormat="1" ht="13.5" customHeight="1" thickTop="1" x14ac:dyDescent="0.2">
      <c r="A38" s="438" t="s">
        <v>417</v>
      </c>
      <c r="B38" s="432">
        <v>714</v>
      </c>
      <c r="C38" s="1565">
        <v>0</v>
      </c>
      <c r="D38" s="1565"/>
      <c r="E38" s="1565"/>
      <c r="F38" s="1565"/>
      <c r="G38" s="1565">
        <v>0</v>
      </c>
      <c r="H38" s="1565"/>
      <c r="I38" s="1565"/>
      <c r="J38" s="1566"/>
      <c r="K38" s="1565"/>
      <c r="L38" s="1577"/>
      <c r="M38" s="1594"/>
      <c r="N38" s="1594"/>
    </row>
    <row r="39" spans="1:14" s="307" customFormat="1" ht="13.5" customHeight="1" x14ac:dyDescent="0.2">
      <c r="A39" s="438" t="s">
        <v>339</v>
      </c>
      <c r="B39" s="432">
        <v>730</v>
      </c>
      <c r="C39" s="1565">
        <v>162474</v>
      </c>
      <c r="D39" s="1565">
        <v>0</v>
      </c>
      <c r="E39" s="1565">
        <v>0</v>
      </c>
      <c r="F39" s="1565">
        <v>0</v>
      </c>
      <c r="G39" s="1565">
        <v>0</v>
      </c>
      <c r="H39" s="1565">
        <v>0</v>
      </c>
      <c r="I39" s="1565">
        <v>0</v>
      </c>
      <c r="J39" s="1566">
        <v>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0</v>
      </c>
      <c r="N40" s="1594"/>
    </row>
    <row r="41" spans="1:14" ht="13.5" customHeight="1" thickBot="1" x14ac:dyDescent="0.25">
      <c r="A41" s="1419" t="s">
        <v>650</v>
      </c>
      <c r="B41" s="1398"/>
      <c r="C41" s="1585">
        <f>(SUM(C34,C37,C38,C39))</f>
        <v>162474</v>
      </c>
      <c r="D41" s="1585">
        <f t="shared" ref="D41:L41" si="2">SUM(D34,D37,D38:D39)</f>
        <v>0</v>
      </c>
      <c r="E41" s="1585">
        <f t="shared" si="2"/>
        <v>0</v>
      </c>
      <c r="F41" s="1585">
        <f t="shared" si="2"/>
        <v>0</v>
      </c>
      <c r="G41" s="1585">
        <f t="shared" si="2"/>
        <v>0</v>
      </c>
      <c r="H41" s="1585">
        <f t="shared" si="2"/>
        <v>0</v>
      </c>
      <c r="I41" s="1585">
        <f t="shared" si="2"/>
        <v>0</v>
      </c>
      <c r="J41" s="1585">
        <f t="shared" si="2"/>
        <v>0</v>
      </c>
      <c r="K41" s="1585">
        <f t="shared" si="2"/>
        <v>0</v>
      </c>
      <c r="L41" s="1585">
        <f t="shared" si="2"/>
        <v>0</v>
      </c>
      <c r="M41" s="1585">
        <f>SUM(M40)</f>
        <v>0</v>
      </c>
      <c r="N41" s="158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3" activePane="bottomLeft" state="frozen"/>
      <selection activeCell="C44" sqref="C44"/>
      <selection pane="bottomLeft" activeCell="K74" sqref="K74:K7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3"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44"/>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55" t="s">
        <v>1164</v>
      </c>
      <c r="B3" s="2256"/>
      <c r="C3" s="1304"/>
      <c r="D3" s="1305"/>
      <c r="E3" s="1305"/>
      <c r="F3" s="1305"/>
      <c r="G3" s="1305"/>
      <c r="H3" s="1305"/>
      <c r="I3" s="1305"/>
      <c r="J3" s="1305"/>
      <c r="K3" s="1306"/>
      <c r="L3" s="446"/>
    </row>
    <row r="4" spans="1:13" ht="15.75" customHeight="1" x14ac:dyDescent="0.2">
      <c r="A4" s="1530" t="s">
        <v>1479</v>
      </c>
      <c r="B4" s="1531">
        <v>1000</v>
      </c>
      <c r="C4" s="1596">
        <f>'Revenues 9-14'!C109</f>
        <v>3759</v>
      </c>
      <c r="D4" s="1596">
        <f>'Revenues 9-14'!D109</f>
        <v>0</v>
      </c>
      <c r="E4" s="1596">
        <f>'Revenues 9-14'!E109</f>
        <v>0</v>
      </c>
      <c r="F4" s="1596">
        <f>'Revenues 9-14'!F109</f>
        <v>0</v>
      </c>
      <c r="G4" s="1596">
        <f>'Revenues 9-14'!G109</f>
        <v>0</v>
      </c>
      <c r="H4" s="1596">
        <f>'Revenues 9-14'!H109</f>
        <v>0</v>
      </c>
      <c r="I4" s="1596">
        <f>'Revenues 9-14'!I109</f>
        <v>0</v>
      </c>
      <c r="J4" s="1596">
        <f>'Revenues 9-14'!J109</f>
        <v>0</v>
      </c>
      <c r="K4" s="1596">
        <f>'Revenues 9-14'!K109</f>
        <v>0</v>
      </c>
      <c r="L4" s="325"/>
    </row>
    <row r="5" spans="1:13" ht="15.75" customHeight="1" x14ac:dyDescent="0.2">
      <c r="A5" s="1307" t="s">
        <v>1480</v>
      </c>
      <c r="B5" s="1308">
        <v>2000</v>
      </c>
      <c r="C5" s="1597">
        <f>'Revenues 9-14'!C114</f>
        <v>1139315</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195578</v>
      </c>
      <c r="D6" s="1597">
        <f>'Revenues 9-14'!D170</f>
        <v>0</v>
      </c>
      <c r="E6" s="1597">
        <f>'Revenues 9-14'!E170</f>
        <v>0</v>
      </c>
      <c r="F6" s="1597">
        <f>'Revenues 9-14'!F170</f>
        <v>0</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123530</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1462182</v>
      </c>
      <c r="D8" s="1585">
        <f t="shared" ref="D8:K8" si="0">SUM(D4:D7)</f>
        <v>0</v>
      </c>
      <c r="E8" s="1585">
        <f t="shared" si="0"/>
        <v>0</v>
      </c>
      <c r="F8" s="1585">
        <f t="shared" si="0"/>
        <v>0</v>
      </c>
      <c r="G8" s="1585">
        <f t="shared" si="0"/>
        <v>0</v>
      </c>
      <c r="H8" s="1585">
        <f t="shared" si="0"/>
        <v>0</v>
      </c>
      <c r="I8" s="1585">
        <f t="shared" si="0"/>
        <v>0</v>
      </c>
      <c r="J8" s="1585">
        <f t="shared" si="0"/>
        <v>0</v>
      </c>
      <c r="K8" s="1585">
        <f t="shared" si="0"/>
        <v>0</v>
      </c>
      <c r="L8" s="325"/>
    </row>
    <row r="9" spans="1:13" ht="15.75" thickTop="1" x14ac:dyDescent="0.2">
      <c r="A9" s="449" t="s">
        <v>1631</v>
      </c>
      <c r="B9" s="450">
        <v>3998</v>
      </c>
      <c r="C9" s="1577">
        <v>0</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1462182</v>
      </c>
      <c r="D10" s="1585">
        <f t="shared" ref="D10:K10" si="1">SUM(D8:D9)</f>
        <v>0</v>
      </c>
      <c r="E10" s="1585">
        <f t="shared" si="1"/>
        <v>0</v>
      </c>
      <c r="F10" s="1585">
        <f t="shared" si="1"/>
        <v>0</v>
      </c>
      <c r="G10" s="1585">
        <f t="shared" si="1"/>
        <v>0</v>
      </c>
      <c r="H10" s="1585">
        <f t="shared" si="1"/>
        <v>0</v>
      </c>
      <c r="I10" s="1585">
        <f t="shared" si="1"/>
        <v>0</v>
      </c>
      <c r="J10" s="1585">
        <f t="shared" si="1"/>
        <v>0</v>
      </c>
      <c r="K10" s="1585">
        <f t="shared" si="1"/>
        <v>0</v>
      </c>
      <c r="L10" s="451"/>
    </row>
    <row r="11" spans="1:13" s="452" customFormat="1" ht="16.7" customHeight="1" thickTop="1" x14ac:dyDescent="0.2">
      <c r="A11" s="2229" t="s">
        <v>1165</v>
      </c>
      <c r="B11" s="2230"/>
      <c r="C11" s="1592"/>
      <c r="D11" s="1593"/>
      <c r="E11" s="1593"/>
      <c r="F11" s="1593"/>
      <c r="G11" s="1593"/>
      <c r="H11" s="1593"/>
      <c r="I11" s="1593"/>
      <c r="J11" s="1593"/>
      <c r="K11" s="1605"/>
      <c r="L11" s="451"/>
    </row>
    <row r="12" spans="1:13" ht="15.75" customHeight="1" x14ac:dyDescent="0.2">
      <c r="A12" s="1307" t="s">
        <v>453</v>
      </c>
      <c r="B12" s="1309">
        <v>1000</v>
      </c>
      <c r="C12" s="1596">
        <f>'Expenditures 15-22'!K33</f>
        <v>0</v>
      </c>
      <c r="D12" s="1606" t="s">
        <v>1158</v>
      </c>
      <c r="E12" s="1567" t="s">
        <v>1158</v>
      </c>
      <c r="F12" s="1567" t="s">
        <v>1158</v>
      </c>
      <c r="G12" s="1596">
        <f>'Expenditures 15-22'!K229</f>
        <v>0</v>
      </c>
      <c r="H12" s="1607"/>
      <c r="I12" s="1567" t="s">
        <v>1158</v>
      </c>
      <c r="J12" s="1567" t="s">
        <v>1158</v>
      </c>
      <c r="K12" s="1607" t="s">
        <v>1158</v>
      </c>
      <c r="L12" s="325"/>
    </row>
    <row r="13" spans="1:13" ht="15.75" customHeight="1" x14ac:dyDescent="0.2">
      <c r="A13" s="1307" t="s">
        <v>454</v>
      </c>
      <c r="B13" s="1309">
        <v>2000</v>
      </c>
      <c r="C13" s="1597">
        <f>'Expenditures 15-22'!K74</f>
        <v>331639</v>
      </c>
      <c r="D13" s="1597">
        <f>'Expenditures 15-22'!K129</f>
        <v>0</v>
      </c>
      <c r="E13" s="1568" t="s">
        <v>1158</v>
      </c>
      <c r="F13" s="1597">
        <f>'Expenditures 15-22'!K184</f>
        <v>0</v>
      </c>
      <c r="G13" s="1597">
        <f>'Expenditures 15-22'!K279</f>
        <v>0</v>
      </c>
      <c r="H13" s="1597">
        <f>'Expenditures 15-22'!K303</f>
        <v>0</v>
      </c>
      <c r="I13" s="1567" t="s">
        <v>1158</v>
      </c>
      <c r="J13" s="1597">
        <f>'Expenditures 15-22'!K330</f>
        <v>0</v>
      </c>
      <c r="K13" s="1608">
        <f>'Expenditures 15-22'!K352</f>
        <v>0</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1139315</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0</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1470954</v>
      </c>
      <c r="D17" s="1585">
        <f t="shared" si="2"/>
        <v>0</v>
      </c>
      <c r="E17" s="1585">
        <f t="shared" si="2"/>
        <v>0</v>
      </c>
      <c r="F17" s="1585">
        <f t="shared" si="2"/>
        <v>0</v>
      </c>
      <c r="G17" s="1585">
        <f t="shared" si="2"/>
        <v>0</v>
      </c>
      <c r="H17" s="1585">
        <f t="shared" si="2"/>
        <v>0</v>
      </c>
      <c r="I17" s="1567"/>
      <c r="J17" s="1585">
        <f>SUM(J12:J16)</f>
        <v>0</v>
      </c>
      <c r="K17" s="1585">
        <f>SUM(K12:K16)</f>
        <v>0</v>
      </c>
      <c r="L17" s="325"/>
    </row>
    <row r="18" spans="1:12" ht="15" customHeight="1" thickTop="1" x14ac:dyDescent="0.2">
      <c r="A18" s="1423" t="s">
        <v>1632</v>
      </c>
      <c r="B18" s="1424">
        <v>4180</v>
      </c>
      <c r="C18" s="1596">
        <f t="shared" ref="C18:H18" si="3">C9</f>
        <v>0</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1470954</v>
      </c>
      <c r="D19" s="1585">
        <f t="shared" si="4"/>
        <v>0</v>
      </c>
      <c r="E19" s="1585">
        <f t="shared" si="4"/>
        <v>0</v>
      </c>
      <c r="F19" s="1585">
        <f t="shared" si="4"/>
        <v>0</v>
      </c>
      <c r="G19" s="1585">
        <f t="shared" si="4"/>
        <v>0</v>
      </c>
      <c r="H19" s="1585">
        <f t="shared" si="4"/>
        <v>0</v>
      </c>
      <c r="I19" s="1567"/>
      <c r="J19" s="1585">
        <f>SUM(J17:J18)</f>
        <v>0</v>
      </c>
      <c r="K19" s="1585">
        <f>SUM(K17:K18)</f>
        <v>0</v>
      </c>
      <c r="L19" s="325"/>
    </row>
    <row r="20" spans="1:12" ht="16.5" thickTop="1" thickBot="1" x14ac:dyDescent="0.25">
      <c r="A20" s="2245" t="s">
        <v>1633</v>
      </c>
      <c r="B20" s="2246"/>
      <c r="C20" s="1612">
        <f>C8-C17</f>
        <v>-8772</v>
      </c>
      <c r="D20" s="1612">
        <f t="shared" ref="D20:K20" si="5">D8-D17</f>
        <v>0</v>
      </c>
      <c r="E20" s="1612">
        <f t="shared" si="5"/>
        <v>0</v>
      </c>
      <c r="F20" s="1612">
        <f t="shared" si="5"/>
        <v>0</v>
      </c>
      <c r="G20" s="1612">
        <f t="shared" si="5"/>
        <v>0</v>
      </c>
      <c r="H20" s="1612">
        <f t="shared" si="5"/>
        <v>0</v>
      </c>
      <c r="I20" s="1612">
        <f t="shared" si="5"/>
        <v>0</v>
      </c>
      <c r="J20" s="1612">
        <f t="shared" si="5"/>
        <v>0</v>
      </c>
      <c r="K20" s="1612">
        <f t="shared" si="5"/>
        <v>0</v>
      </c>
      <c r="L20" s="325"/>
    </row>
    <row r="21" spans="1:12" ht="16.7" customHeight="1" thickTop="1" x14ac:dyDescent="0.2">
      <c r="A21" s="2257" t="s">
        <v>591</v>
      </c>
      <c r="B21" s="2258"/>
      <c r="C21" s="1592"/>
      <c r="D21" s="1593"/>
      <c r="E21" s="1593"/>
      <c r="F21" s="1593"/>
      <c r="G21" s="1593"/>
      <c r="H21" s="1593"/>
      <c r="I21" s="1593"/>
      <c r="J21" s="1593"/>
      <c r="K21" s="1605"/>
      <c r="L21" s="453"/>
    </row>
    <row r="22" spans="1:12" ht="15.75" customHeight="1" collapsed="1" x14ac:dyDescent="0.2">
      <c r="A22" s="2253" t="s">
        <v>592</v>
      </c>
      <c r="B22" s="2254"/>
      <c r="C22" s="1573"/>
      <c r="D22" s="1573"/>
      <c r="E22" s="1573"/>
      <c r="F22" s="1573"/>
      <c r="G22" s="1573"/>
      <c r="H22" s="1573"/>
      <c r="I22" s="1573"/>
      <c r="J22" s="1573"/>
      <c r="K22" s="1573"/>
      <c r="L22" s="325"/>
    </row>
    <row r="23" spans="1:12" s="433" customFormat="1" ht="15.75" customHeight="1" x14ac:dyDescent="0.2">
      <c r="A23" s="2249" t="s">
        <v>290</v>
      </c>
      <c r="B23" s="2250"/>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51" t="s">
        <v>973</v>
      </c>
      <c r="B32" s="2252"/>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59" t="s">
        <v>371</v>
      </c>
      <c r="B44" s="2260"/>
      <c r="C44" s="1614">
        <f>SUM(C24:C43)</f>
        <v>0</v>
      </c>
      <c r="D44" s="1614">
        <f t="shared" ref="D44:K44" si="6">SUM(D24:D43)</f>
        <v>0</v>
      </c>
      <c r="E44" s="1614">
        <f t="shared" si="6"/>
        <v>0</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53" t="s">
        <v>108</v>
      </c>
      <c r="B45" s="2254"/>
      <c r="C45" s="1615"/>
      <c r="D45" s="1615"/>
      <c r="E45" s="1615"/>
      <c r="F45" s="1615"/>
      <c r="G45" s="1615"/>
      <c r="H45" s="1615"/>
      <c r="I45" s="1615"/>
      <c r="J45" s="1615"/>
      <c r="K45" s="1615"/>
      <c r="L45" s="325"/>
    </row>
    <row r="46" spans="1:12" s="433" customFormat="1" ht="15.75" customHeight="1" x14ac:dyDescent="0.2">
      <c r="A46" s="2261" t="s">
        <v>109</v>
      </c>
      <c r="B46" s="2262"/>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35" t="s">
        <v>437</v>
      </c>
      <c r="B76" s="2236"/>
      <c r="C76" s="1614">
        <f t="shared" ref="C76:K76" si="7">SUM(C47:C75)</f>
        <v>0</v>
      </c>
      <c r="D76" s="1614">
        <f t="shared" si="7"/>
        <v>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37" t="s">
        <v>1166</v>
      </c>
      <c r="B77" s="2238"/>
      <c r="C77" s="1614">
        <f t="shared" ref="C77:K77" si="8">C44-C76</f>
        <v>0</v>
      </c>
      <c r="D77" s="1614">
        <f t="shared" si="8"/>
        <v>0</v>
      </c>
      <c r="E77" s="1614">
        <f t="shared" si="8"/>
        <v>0</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41" t="s">
        <v>593</v>
      </c>
      <c r="B78" s="2242"/>
      <c r="C78" s="1619">
        <f t="shared" ref="C78:K78" si="9">C20+C77</f>
        <v>-8772</v>
      </c>
      <c r="D78" s="1619">
        <f t="shared" si="9"/>
        <v>0</v>
      </c>
      <c r="E78" s="1619">
        <f t="shared" si="9"/>
        <v>0</v>
      </c>
      <c r="F78" s="1619">
        <f t="shared" si="9"/>
        <v>0</v>
      </c>
      <c r="G78" s="1619">
        <f t="shared" si="9"/>
        <v>0</v>
      </c>
      <c r="H78" s="1619">
        <f t="shared" si="9"/>
        <v>0</v>
      </c>
      <c r="I78" s="1619">
        <f t="shared" si="9"/>
        <v>0</v>
      </c>
      <c r="J78" s="1619">
        <f t="shared" si="9"/>
        <v>0</v>
      </c>
      <c r="K78" s="1619">
        <f t="shared" si="9"/>
        <v>0</v>
      </c>
      <c r="L78" s="457"/>
    </row>
    <row r="79" spans="1:12" ht="13.5" thickTop="1" x14ac:dyDescent="0.2">
      <c r="A79" s="1833" t="str">
        <f>"Fund Balances - July 1, "&amp;'AFR20'!E2-1</f>
        <v>Fund Balances - July 1, 2019</v>
      </c>
      <c r="B79" s="458"/>
      <c r="C79" s="1574">
        <v>171246</v>
      </c>
      <c r="D79" s="1620"/>
      <c r="E79" s="1620"/>
      <c r="F79" s="1620"/>
      <c r="G79" s="1620"/>
      <c r="H79" s="1620"/>
      <c r="I79" s="1620"/>
      <c r="J79" s="1620"/>
      <c r="K79" s="1620"/>
      <c r="L79" s="325"/>
    </row>
    <row r="80" spans="1:12" x14ac:dyDescent="0.2">
      <c r="A80" s="2247" t="s">
        <v>1769</v>
      </c>
      <c r="B80" s="2248"/>
      <c r="C80" s="1566"/>
      <c r="D80" s="1566"/>
      <c r="E80" s="1566"/>
      <c r="F80" s="1566"/>
      <c r="G80" s="1566"/>
      <c r="H80" s="1566"/>
      <c r="I80" s="1566"/>
      <c r="J80" s="1566"/>
      <c r="K80" s="1566"/>
      <c r="L80" s="325"/>
    </row>
    <row r="81" spans="1:12" ht="13.5" thickBot="1" x14ac:dyDescent="0.25">
      <c r="A81" s="2239" t="str">
        <f>"Fund Balances - June 30, "&amp;'AFR20'!E2</f>
        <v>Fund Balances - June 30, 2020</v>
      </c>
      <c r="B81" s="2240"/>
      <c r="C81" s="1585">
        <f>(SUM(C78:C80))</f>
        <v>162474</v>
      </c>
      <c r="D81" s="1585">
        <f>SUM(D78:D80)</f>
        <v>0</v>
      </c>
      <c r="E81" s="1585">
        <f t="shared" ref="E81:K81" si="10">SUM(E78:E80)</f>
        <v>0</v>
      </c>
      <c r="F81" s="1585">
        <f t="shared" si="10"/>
        <v>0</v>
      </c>
      <c r="G81" s="1585">
        <f t="shared" si="10"/>
        <v>0</v>
      </c>
      <c r="H81" s="1585">
        <f t="shared" si="10"/>
        <v>0</v>
      </c>
      <c r="I81" s="1585">
        <f t="shared" si="10"/>
        <v>0</v>
      </c>
      <c r="J81" s="1585">
        <f t="shared" si="10"/>
        <v>0</v>
      </c>
      <c r="K81" s="1585">
        <f t="shared" si="10"/>
        <v>0</v>
      </c>
      <c r="L81" s="325"/>
    </row>
    <row r="82" spans="1:12" ht="0.75" customHeight="1" thickTop="1" thickBot="1" x14ac:dyDescent="0.25">
      <c r="A82" s="459" t="s">
        <v>340</v>
      </c>
      <c r="B82" s="460"/>
      <c r="C82" s="461">
        <f>(C81-C79)</f>
        <v>-8772</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-5.3990176889840834E-2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110" zoomScaleNormal="110" zoomScaleSheetLayoutView="75" workbookViewId="0">
      <pane ySplit="2" topLeftCell="A57" activePane="bottomLeft" state="frozen"/>
      <selection activeCell="C44" sqref="C44"/>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3" t="s">
        <v>1776</v>
      </c>
      <c r="B1" s="416"/>
      <c r="C1" s="417" t="s">
        <v>422</v>
      </c>
      <c r="D1" s="417" t="s">
        <v>423</v>
      </c>
      <c r="E1" s="417" t="s">
        <v>424</v>
      </c>
      <c r="F1" s="417" t="s">
        <v>425</v>
      </c>
      <c r="G1" s="417" t="s">
        <v>426</v>
      </c>
      <c r="H1" s="417" t="s">
        <v>427</v>
      </c>
      <c r="I1" s="417" t="s">
        <v>428</v>
      </c>
      <c r="J1" s="417" t="s">
        <v>429</v>
      </c>
      <c r="K1" s="417" t="s">
        <v>750</v>
      </c>
    </row>
    <row r="2" spans="1:12" ht="36" x14ac:dyDescent="0.2">
      <c r="A2" s="2244"/>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0</v>
      </c>
      <c r="D5" s="1577">
        <v>0</v>
      </c>
      <c r="E5" s="1565">
        <v>0</v>
      </c>
      <c r="F5" s="1621">
        <v>0</v>
      </c>
      <c r="G5" s="1565">
        <v>0</v>
      </c>
      <c r="H5" s="1565">
        <v>0</v>
      </c>
      <c r="I5" s="1565">
        <v>0</v>
      </c>
      <c r="J5" s="1566">
        <v>0</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0</v>
      </c>
      <c r="D7" s="1565">
        <v>0</v>
      </c>
      <c r="E7" s="1567"/>
      <c r="F7" s="1566">
        <v>0</v>
      </c>
      <c r="G7" s="1566">
        <v>0</v>
      </c>
      <c r="H7" s="1566">
        <v>0</v>
      </c>
      <c r="I7" s="1567"/>
      <c r="J7" s="1567"/>
      <c r="K7" s="1567"/>
    </row>
    <row r="8" spans="1:12" x14ac:dyDescent="0.2">
      <c r="A8" s="427" t="s">
        <v>410</v>
      </c>
      <c r="B8" s="429">
        <v>1150</v>
      </c>
      <c r="C8" s="1572"/>
      <c r="D8" s="1572"/>
      <c r="E8" s="1573"/>
      <c r="F8" s="1573"/>
      <c r="G8" s="1577">
        <v>0</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0</v>
      </c>
      <c r="D12" s="1623">
        <f t="shared" si="0"/>
        <v>0</v>
      </c>
      <c r="E12" s="1623">
        <f t="shared" si="0"/>
        <v>0</v>
      </c>
      <c r="F12" s="1623">
        <f t="shared" si="0"/>
        <v>0</v>
      </c>
      <c r="G12" s="1623">
        <f t="shared" si="0"/>
        <v>0</v>
      </c>
      <c r="H12" s="1623">
        <f t="shared" si="0"/>
        <v>0</v>
      </c>
      <c r="I12" s="1623">
        <f t="shared" si="0"/>
        <v>0</v>
      </c>
      <c r="J12" s="1623">
        <f t="shared" si="0"/>
        <v>0</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0</v>
      </c>
      <c r="D16" s="1565">
        <v>0</v>
      </c>
      <c r="E16" s="1565">
        <v>0</v>
      </c>
      <c r="F16" s="1565">
        <v>0</v>
      </c>
      <c r="G16" s="1565">
        <v>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0</v>
      </c>
      <c r="D18" s="1625">
        <f t="shared" ref="D18:K18" si="1">SUM(D14:D17)</f>
        <v>0</v>
      </c>
      <c r="E18" s="1625">
        <f t="shared" si="1"/>
        <v>0</v>
      </c>
      <c r="F18" s="1625">
        <f t="shared" si="1"/>
        <v>0</v>
      </c>
      <c r="G18" s="1625">
        <f t="shared" si="1"/>
        <v>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0</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3737</v>
      </c>
      <c r="D65" s="1565">
        <v>0</v>
      </c>
      <c r="E65" s="1565">
        <v>0</v>
      </c>
      <c r="F65" s="1566">
        <v>0</v>
      </c>
      <c r="G65" s="1565">
        <v>0</v>
      </c>
      <c r="H65" s="1565">
        <v>0</v>
      </c>
      <c r="I65" s="1565">
        <v>0</v>
      </c>
      <c r="J65" s="1566">
        <v>0</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3737</v>
      </c>
      <c r="D67" s="1585">
        <f t="shared" ref="D67:K67" si="2">SUM(D65:D66)</f>
        <v>0</v>
      </c>
      <c r="E67" s="1585">
        <f t="shared" si="2"/>
        <v>0</v>
      </c>
      <c r="F67" s="1585">
        <f t="shared" si="2"/>
        <v>0</v>
      </c>
      <c r="G67" s="1585">
        <f t="shared" si="2"/>
        <v>0</v>
      </c>
      <c r="H67" s="1585">
        <f t="shared" si="2"/>
        <v>0</v>
      </c>
      <c r="I67" s="1585">
        <f t="shared" si="2"/>
        <v>0</v>
      </c>
      <c r="J67" s="1585">
        <f t="shared" si="2"/>
        <v>0</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0</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0</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0</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0</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0</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0</v>
      </c>
      <c r="E95" s="1607"/>
      <c r="F95" s="1607"/>
      <c r="G95" s="1607"/>
      <c r="H95" s="1607"/>
      <c r="I95" s="1607"/>
      <c r="J95" s="1607"/>
      <c r="K95" s="1607"/>
    </row>
    <row r="96" spans="1:11" ht="12.75" customHeight="1" x14ac:dyDescent="0.2">
      <c r="A96" s="427" t="s">
        <v>388</v>
      </c>
      <c r="B96" s="429">
        <v>1920</v>
      </c>
      <c r="C96" s="1622">
        <v>0</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22</v>
      </c>
      <c r="D107" s="1565">
        <v>0</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22</v>
      </c>
      <c r="D108" s="1623">
        <f t="shared" ref="D108:K108" si="3">SUM(D95:D107)</f>
        <v>0</v>
      </c>
      <c r="E108" s="1623">
        <f t="shared" si="3"/>
        <v>0</v>
      </c>
      <c r="F108" s="1623">
        <f t="shared" si="3"/>
        <v>0</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3759</v>
      </c>
      <c r="D109" s="1631">
        <f t="shared" si="4"/>
        <v>0</v>
      </c>
      <c r="E109" s="1631">
        <f t="shared" si="4"/>
        <v>0</v>
      </c>
      <c r="F109" s="1631">
        <f t="shared" si="4"/>
        <v>0</v>
      </c>
      <c r="G109" s="1631">
        <f t="shared" si="4"/>
        <v>0</v>
      </c>
      <c r="H109" s="1631">
        <f t="shared" si="4"/>
        <v>0</v>
      </c>
      <c r="I109" s="1631">
        <f t="shared" si="4"/>
        <v>0</v>
      </c>
      <c r="J109" s="1631">
        <f t="shared" si="4"/>
        <v>0</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745073</v>
      </c>
      <c r="D111" s="1577">
        <v>0</v>
      </c>
      <c r="E111" s="1630"/>
      <c r="F111" s="1577">
        <v>0</v>
      </c>
      <c r="G111" s="1577">
        <v>0</v>
      </c>
      <c r="H111" s="1630"/>
      <c r="I111" s="1567"/>
      <c r="J111" s="1567"/>
      <c r="K111" s="1567"/>
    </row>
    <row r="112" spans="1:12" ht="12.75" customHeight="1" x14ac:dyDescent="0.2">
      <c r="A112" s="427" t="s">
        <v>818</v>
      </c>
      <c r="B112" s="429">
        <v>2200</v>
      </c>
      <c r="C112" s="1622">
        <v>394242</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1139315</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0</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0</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0</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0</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195578</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195578</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0</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0</v>
      </c>
      <c r="G152" s="1566">
        <v>0</v>
      </c>
      <c r="H152" s="1567"/>
      <c r="I152" s="1567"/>
      <c r="J152" s="1567"/>
      <c r="K152" s="1567"/>
    </row>
    <row r="153" spans="1:11" ht="12.75" customHeight="1" x14ac:dyDescent="0.2">
      <c r="A153" s="427" t="s">
        <v>1047</v>
      </c>
      <c r="B153" s="478">
        <v>3510</v>
      </c>
      <c r="C153" s="1622">
        <v>0</v>
      </c>
      <c r="D153" s="1565">
        <v>0</v>
      </c>
      <c r="E153" s="1630"/>
      <c r="F153" s="1565">
        <v>0</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0</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0</v>
      </c>
      <c r="D168" s="1645">
        <v>0</v>
      </c>
      <c r="E168" s="1645">
        <v>0</v>
      </c>
      <c r="F168" s="1645">
        <v>0</v>
      </c>
      <c r="G168" s="1646">
        <v>0</v>
      </c>
      <c r="H168" s="1647">
        <v>0</v>
      </c>
      <c r="I168" s="1646">
        <v>0</v>
      </c>
      <c r="J168" s="1646">
        <v>0</v>
      </c>
      <c r="K168" s="1647">
        <v>0</v>
      </c>
    </row>
    <row r="169" spans="1:11" ht="12.75" customHeight="1" thickTop="1" thickBot="1" x14ac:dyDescent="0.25">
      <c r="A169" s="2263" t="s">
        <v>395</v>
      </c>
      <c r="B169" s="2264"/>
      <c r="C169" s="1648">
        <f t="shared" ref="C169:K169" si="6">SUM(C132,C141,C145,C146:C150,C155,C156:C167,C168)</f>
        <v>195578</v>
      </c>
      <c r="D169" s="1648">
        <f t="shared" si="6"/>
        <v>0</v>
      </c>
      <c r="E169" s="1648">
        <f t="shared" si="6"/>
        <v>0</v>
      </c>
      <c r="F169" s="1648">
        <f t="shared" si="6"/>
        <v>0</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195578</v>
      </c>
      <c r="D170" s="1631">
        <f t="shared" si="7"/>
        <v>0</v>
      </c>
      <c r="E170" s="1631">
        <f t="shared" si="7"/>
        <v>0</v>
      </c>
      <c r="F170" s="1631">
        <f t="shared" si="7"/>
        <v>0</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65" t="s">
        <v>1472</v>
      </c>
      <c r="B172" s="2266"/>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9" t="s">
        <v>1643</v>
      </c>
      <c r="B175" s="2270"/>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73" t="s">
        <v>1642</v>
      </c>
      <c r="B176" s="2274"/>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71" t="s">
        <v>779</v>
      </c>
      <c r="B181" s="2272"/>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67" t="s">
        <v>1777</v>
      </c>
      <c r="B182" s="2268"/>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0</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0</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0</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0</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0</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0</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0</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123530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123530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0</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0</v>
      </c>
      <c r="D263" s="1641">
        <v>0</v>
      </c>
      <c r="E263" s="1567"/>
      <c r="F263" s="1641">
        <v>0</v>
      </c>
      <c r="G263" s="1641">
        <v>0</v>
      </c>
      <c r="H263" s="1567"/>
      <c r="I263" s="1567"/>
      <c r="J263" s="1567"/>
      <c r="K263" s="1567"/>
    </row>
    <row r="264" spans="1:11" ht="12.75" customHeight="1" thickTop="1" thickBot="1" x14ac:dyDescent="0.25">
      <c r="A264" s="427" t="s">
        <v>374</v>
      </c>
      <c r="B264" s="429">
        <v>4992</v>
      </c>
      <c r="C264" s="1640">
        <v>0</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123530</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123530</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1462182</v>
      </c>
      <c r="D268" s="1631">
        <f t="shared" si="12"/>
        <v>0</v>
      </c>
      <c r="E268" s="1631">
        <f t="shared" si="12"/>
        <v>0</v>
      </c>
      <c r="F268" s="1631">
        <f t="shared" si="12"/>
        <v>0</v>
      </c>
      <c r="G268" s="1631">
        <f t="shared" si="12"/>
        <v>0</v>
      </c>
      <c r="H268" s="1631">
        <f t="shared" si="12"/>
        <v>0</v>
      </c>
      <c r="I268" s="1631">
        <f t="shared" si="12"/>
        <v>0</v>
      </c>
      <c r="J268" s="1631">
        <f t="shared" si="12"/>
        <v>0</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N368"/>
  <sheetViews>
    <sheetView showGridLines="0" defaultGridColor="0" colorId="8" zoomScale="110" zoomScaleNormal="110" workbookViewId="0">
      <pane ySplit="2" topLeftCell="A3" activePane="bottomLeft" state="frozen"/>
      <selection activeCell="C44" sqref="C44"/>
      <selection pane="bottomLeft" activeCell="L366" sqref="L3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3"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7"/>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83" t="s">
        <v>294</v>
      </c>
      <c r="B3" s="2284"/>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0</v>
      </c>
      <c r="D5" s="1565">
        <v>0</v>
      </c>
      <c r="E5" s="1565">
        <v>0</v>
      </c>
      <c r="F5" s="1565">
        <v>0</v>
      </c>
      <c r="G5" s="1565">
        <v>0</v>
      </c>
      <c r="H5" s="1565">
        <v>0</v>
      </c>
      <c r="I5" s="1566">
        <v>0</v>
      </c>
      <c r="J5" s="1566">
        <v>0</v>
      </c>
      <c r="K5" s="1662">
        <f>SUM(C5:J5)</f>
        <v>0</v>
      </c>
      <c r="L5" s="1565">
        <v>2000</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0</v>
      </c>
      <c r="D8" s="1565">
        <v>0</v>
      </c>
      <c r="E8" s="1565">
        <v>0</v>
      </c>
      <c r="F8" s="1565">
        <v>0</v>
      </c>
      <c r="G8" s="1565">
        <v>0</v>
      </c>
      <c r="H8" s="1565">
        <v>0</v>
      </c>
      <c r="I8" s="1566">
        <v>0</v>
      </c>
      <c r="J8" s="1566">
        <v>0</v>
      </c>
      <c r="K8" s="1662">
        <f t="shared" si="0"/>
        <v>0</v>
      </c>
      <c r="L8" s="1565">
        <v>0</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0</v>
      </c>
      <c r="D14" s="1565">
        <v>0</v>
      </c>
      <c r="E14" s="1565">
        <v>0</v>
      </c>
      <c r="F14" s="1565">
        <v>0</v>
      </c>
      <c r="G14" s="1565">
        <v>0</v>
      </c>
      <c r="H14" s="1565">
        <v>0</v>
      </c>
      <c r="I14" s="1566">
        <v>0</v>
      </c>
      <c r="J14" s="1566">
        <v>0</v>
      </c>
      <c r="K14" s="1662">
        <f t="shared" si="0"/>
        <v>0</v>
      </c>
      <c r="L14" s="1565">
        <v>0</v>
      </c>
    </row>
    <row r="15" spans="1:14" x14ac:dyDescent="0.2">
      <c r="A15" s="1267" t="s">
        <v>957</v>
      </c>
      <c r="B15" s="503">
        <v>1600</v>
      </c>
      <c r="C15" s="1565">
        <v>0</v>
      </c>
      <c r="D15" s="1565">
        <v>0</v>
      </c>
      <c r="E15" s="1565">
        <v>0</v>
      </c>
      <c r="F15" s="1565">
        <v>0</v>
      </c>
      <c r="G15" s="1565">
        <v>0</v>
      </c>
      <c r="H15" s="1565">
        <v>0</v>
      </c>
      <c r="I15" s="1566">
        <v>0</v>
      </c>
      <c r="J15" s="1566">
        <v>0</v>
      </c>
      <c r="K15" s="1662">
        <f t="shared" si="0"/>
        <v>0</v>
      </c>
      <c r="L15" s="1565">
        <v>0</v>
      </c>
    </row>
    <row r="16" spans="1:14" x14ac:dyDescent="0.2">
      <c r="A16" s="1267" t="s">
        <v>979</v>
      </c>
      <c r="B16" s="503" t="s">
        <v>421</v>
      </c>
      <c r="C16" s="1565">
        <v>0</v>
      </c>
      <c r="D16" s="1565">
        <v>0</v>
      </c>
      <c r="E16" s="1565">
        <v>0</v>
      </c>
      <c r="F16" s="1565">
        <v>0</v>
      </c>
      <c r="G16" s="1565">
        <v>0</v>
      </c>
      <c r="H16" s="1565">
        <v>0</v>
      </c>
      <c r="I16" s="1566">
        <v>0</v>
      </c>
      <c r="J16" s="1566">
        <v>0</v>
      </c>
      <c r="K16" s="1662">
        <f t="shared" si="0"/>
        <v>0</v>
      </c>
      <c r="L16" s="1565">
        <v>0</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0</v>
      </c>
      <c r="I22" s="1663"/>
      <c r="J22" s="1573"/>
      <c r="K22" s="1662">
        <f t="shared" si="0"/>
        <v>0</v>
      </c>
      <c r="L22" s="1569">
        <v>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0</v>
      </c>
      <c r="D33" s="1664">
        <f t="shared" ref="D33:L33" si="1">SUM(D5:D32)</f>
        <v>0</v>
      </c>
      <c r="E33" s="1664">
        <f t="shared" si="1"/>
        <v>0</v>
      </c>
      <c r="F33" s="1664">
        <f t="shared" si="1"/>
        <v>0</v>
      </c>
      <c r="G33" s="1664">
        <f t="shared" si="1"/>
        <v>0</v>
      </c>
      <c r="H33" s="1664">
        <f t="shared" si="1"/>
        <v>0</v>
      </c>
      <c r="I33" s="1664">
        <f t="shared" si="1"/>
        <v>0</v>
      </c>
      <c r="J33" s="1664">
        <f t="shared" si="1"/>
        <v>0</v>
      </c>
      <c r="K33" s="1664">
        <f t="shared" si="1"/>
        <v>0</v>
      </c>
      <c r="L33" s="1664">
        <f t="shared" si="1"/>
        <v>2000</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0</v>
      </c>
      <c r="D36" s="1577">
        <v>0</v>
      </c>
      <c r="E36" s="1577">
        <v>0</v>
      </c>
      <c r="F36" s="1577">
        <v>0</v>
      </c>
      <c r="G36" s="1577">
        <v>0</v>
      </c>
      <c r="H36" s="1577">
        <v>0</v>
      </c>
      <c r="I36" s="1566">
        <v>0</v>
      </c>
      <c r="J36" s="1566">
        <v>0</v>
      </c>
      <c r="K36" s="1662">
        <f t="shared" ref="K36:K41" si="2">SUM(C36:J36)</f>
        <v>0</v>
      </c>
      <c r="L36" s="1565">
        <v>0</v>
      </c>
    </row>
    <row r="37" spans="1:14" x14ac:dyDescent="0.2">
      <c r="A37" s="1267" t="s">
        <v>1080</v>
      </c>
      <c r="B37" s="503">
        <v>2120</v>
      </c>
      <c r="C37" s="1565">
        <v>20000</v>
      </c>
      <c r="D37" s="1565">
        <v>4827</v>
      </c>
      <c r="E37" s="1565">
        <v>3756</v>
      </c>
      <c r="F37" s="1565">
        <v>0</v>
      </c>
      <c r="G37" s="1565">
        <v>0</v>
      </c>
      <c r="H37" s="1565">
        <v>0</v>
      </c>
      <c r="I37" s="1566">
        <v>0</v>
      </c>
      <c r="J37" s="1566">
        <v>0</v>
      </c>
      <c r="K37" s="1662">
        <f t="shared" si="2"/>
        <v>28583</v>
      </c>
      <c r="L37" s="1565">
        <v>29106</v>
      </c>
    </row>
    <row r="38" spans="1:14" x14ac:dyDescent="0.2">
      <c r="A38" s="1267" t="s">
        <v>196</v>
      </c>
      <c r="B38" s="503">
        <v>2130</v>
      </c>
      <c r="C38" s="1565">
        <v>0</v>
      </c>
      <c r="D38" s="1565">
        <v>0</v>
      </c>
      <c r="E38" s="1565">
        <v>0</v>
      </c>
      <c r="F38" s="1565">
        <v>0</v>
      </c>
      <c r="G38" s="1565">
        <v>0</v>
      </c>
      <c r="H38" s="1565">
        <v>0</v>
      </c>
      <c r="I38" s="1566">
        <v>0</v>
      </c>
      <c r="J38" s="1566">
        <v>0</v>
      </c>
      <c r="K38" s="1662">
        <f t="shared" si="2"/>
        <v>0</v>
      </c>
      <c r="L38" s="1565">
        <v>0</v>
      </c>
    </row>
    <row r="39" spans="1:14" x14ac:dyDescent="0.2">
      <c r="A39" s="1267" t="s">
        <v>197</v>
      </c>
      <c r="B39" s="503">
        <v>2140</v>
      </c>
      <c r="C39" s="1565">
        <v>0</v>
      </c>
      <c r="D39" s="1565">
        <v>0</v>
      </c>
      <c r="E39" s="1565">
        <v>0</v>
      </c>
      <c r="F39" s="1565">
        <v>0</v>
      </c>
      <c r="G39" s="1565">
        <v>0</v>
      </c>
      <c r="H39" s="1565">
        <v>0</v>
      </c>
      <c r="I39" s="1566">
        <v>0</v>
      </c>
      <c r="J39" s="1566">
        <v>0</v>
      </c>
      <c r="K39" s="1662">
        <f t="shared" si="2"/>
        <v>0</v>
      </c>
      <c r="L39" s="1565">
        <v>0</v>
      </c>
    </row>
    <row r="40" spans="1:14" x14ac:dyDescent="0.2">
      <c r="A40" s="1267" t="s">
        <v>198</v>
      </c>
      <c r="B40" s="503">
        <v>2150</v>
      </c>
      <c r="C40" s="1565">
        <v>0</v>
      </c>
      <c r="D40" s="1565">
        <v>0</v>
      </c>
      <c r="E40" s="1565">
        <v>0</v>
      </c>
      <c r="F40" s="1565">
        <v>0</v>
      </c>
      <c r="G40" s="1565">
        <v>0</v>
      </c>
      <c r="H40" s="1565">
        <v>0</v>
      </c>
      <c r="I40" s="1566">
        <v>0</v>
      </c>
      <c r="J40" s="1566">
        <v>0</v>
      </c>
      <c r="K40" s="1662">
        <f t="shared" si="2"/>
        <v>0</v>
      </c>
      <c r="L40" s="1565">
        <v>0</v>
      </c>
    </row>
    <row r="41" spans="1:14" x14ac:dyDescent="0.2">
      <c r="A41" s="1267" t="s">
        <v>1647</v>
      </c>
      <c r="B41" s="503">
        <v>2190</v>
      </c>
      <c r="C41" s="1565">
        <v>0</v>
      </c>
      <c r="D41" s="1565">
        <v>0</v>
      </c>
      <c r="E41" s="1565">
        <v>0</v>
      </c>
      <c r="F41" s="1565">
        <v>0</v>
      </c>
      <c r="G41" s="1565">
        <v>0</v>
      </c>
      <c r="H41" s="1565">
        <v>0</v>
      </c>
      <c r="I41" s="1566">
        <v>0</v>
      </c>
      <c r="J41" s="1566">
        <v>0</v>
      </c>
      <c r="K41" s="1662">
        <f t="shared" si="2"/>
        <v>0</v>
      </c>
      <c r="L41" s="1565">
        <v>0</v>
      </c>
    </row>
    <row r="42" spans="1:14" ht="12.75" customHeight="1" thickBot="1" x14ac:dyDescent="0.25">
      <c r="A42" s="1373" t="s">
        <v>556</v>
      </c>
      <c r="B42" s="1374" t="s">
        <v>710</v>
      </c>
      <c r="C42" s="1664">
        <f>SUM(C36:C41)</f>
        <v>20000</v>
      </c>
      <c r="D42" s="1664">
        <f t="shared" ref="D42:L42" si="3">SUM(D36:D41)</f>
        <v>4827</v>
      </c>
      <c r="E42" s="1664">
        <f t="shared" si="3"/>
        <v>3756</v>
      </c>
      <c r="F42" s="1664">
        <f t="shared" si="3"/>
        <v>0</v>
      </c>
      <c r="G42" s="1664">
        <f t="shared" si="3"/>
        <v>0</v>
      </c>
      <c r="H42" s="1664">
        <f t="shared" si="3"/>
        <v>0</v>
      </c>
      <c r="I42" s="1664">
        <f t="shared" si="3"/>
        <v>0</v>
      </c>
      <c r="J42" s="1664">
        <f t="shared" si="3"/>
        <v>0</v>
      </c>
      <c r="K42" s="1664">
        <f t="shared" si="3"/>
        <v>28583</v>
      </c>
      <c r="L42" s="1664">
        <f t="shared" si="3"/>
        <v>29106</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91154</v>
      </c>
      <c r="D44" s="1577">
        <v>35461</v>
      </c>
      <c r="E44" s="1577">
        <v>61206</v>
      </c>
      <c r="F44" s="1577">
        <v>572</v>
      </c>
      <c r="G44" s="1577">
        <v>0</v>
      </c>
      <c r="H44" s="1577">
        <v>0</v>
      </c>
      <c r="I44" s="1566">
        <v>0</v>
      </c>
      <c r="J44" s="1566">
        <v>0</v>
      </c>
      <c r="K44" s="1668">
        <f>SUM(C44:J44)</f>
        <v>188393</v>
      </c>
      <c r="L44" s="1577">
        <v>212611</v>
      </c>
    </row>
    <row r="45" spans="1:14" x14ac:dyDescent="0.2">
      <c r="A45" s="1267" t="s">
        <v>809</v>
      </c>
      <c r="B45" s="503">
        <v>2220</v>
      </c>
      <c r="C45" s="1565">
        <v>0</v>
      </c>
      <c r="D45" s="1565">
        <v>0</v>
      </c>
      <c r="E45" s="1565">
        <v>0</v>
      </c>
      <c r="F45" s="1565">
        <v>0</v>
      </c>
      <c r="G45" s="1565">
        <v>0</v>
      </c>
      <c r="H45" s="1565">
        <v>0</v>
      </c>
      <c r="I45" s="1566">
        <v>0</v>
      </c>
      <c r="J45" s="1566">
        <v>0</v>
      </c>
      <c r="K45" s="1668">
        <f>SUM(C45:J45)</f>
        <v>0</v>
      </c>
      <c r="L45" s="1565">
        <v>0</v>
      </c>
    </row>
    <row r="46" spans="1:14" x14ac:dyDescent="0.2">
      <c r="A46" s="1267" t="s">
        <v>810</v>
      </c>
      <c r="B46" s="503">
        <v>2230</v>
      </c>
      <c r="C46" s="1565">
        <v>0</v>
      </c>
      <c r="D46" s="1565">
        <v>0</v>
      </c>
      <c r="E46" s="1565">
        <v>0</v>
      </c>
      <c r="F46" s="1565">
        <v>0</v>
      </c>
      <c r="G46" s="1565">
        <v>0</v>
      </c>
      <c r="H46" s="1565">
        <v>0</v>
      </c>
      <c r="I46" s="1566">
        <v>0</v>
      </c>
      <c r="J46" s="1566">
        <v>0</v>
      </c>
      <c r="K46" s="1668">
        <f>SUM(C46:J46)</f>
        <v>0</v>
      </c>
      <c r="L46" s="1565">
        <v>0</v>
      </c>
    </row>
    <row r="47" spans="1:14" ht="12.75" customHeight="1" thickBot="1" x14ac:dyDescent="0.25">
      <c r="A47" s="1373" t="s">
        <v>557</v>
      </c>
      <c r="B47" s="1374" t="s">
        <v>32</v>
      </c>
      <c r="C47" s="1664">
        <f>SUM(C44:C46)</f>
        <v>91154</v>
      </c>
      <c r="D47" s="1664">
        <f t="shared" ref="D47:K47" si="4">SUM(D44:D46)</f>
        <v>35461</v>
      </c>
      <c r="E47" s="1664">
        <f t="shared" si="4"/>
        <v>61206</v>
      </c>
      <c r="F47" s="1664">
        <f t="shared" si="4"/>
        <v>572</v>
      </c>
      <c r="G47" s="1664">
        <f t="shared" si="4"/>
        <v>0</v>
      </c>
      <c r="H47" s="1664">
        <f t="shared" si="4"/>
        <v>0</v>
      </c>
      <c r="I47" s="1664">
        <f t="shared" si="4"/>
        <v>0</v>
      </c>
      <c r="J47" s="1664">
        <f t="shared" si="4"/>
        <v>0</v>
      </c>
      <c r="K47" s="1664">
        <f t="shared" si="4"/>
        <v>188393</v>
      </c>
      <c r="L47" s="1664">
        <f>SUM(L44:L46)</f>
        <v>212611</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0</v>
      </c>
      <c r="F49" s="1577">
        <v>0</v>
      </c>
      <c r="G49" s="1577">
        <v>0</v>
      </c>
      <c r="H49" s="1577">
        <v>0</v>
      </c>
      <c r="I49" s="1566">
        <v>0</v>
      </c>
      <c r="J49" s="1566">
        <v>0</v>
      </c>
      <c r="K49" s="1668">
        <f>SUM(C49:J49)</f>
        <v>0</v>
      </c>
      <c r="L49" s="1577">
        <v>0</v>
      </c>
    </row>
    <row r="50" spans="1:14" x14ac:dyDescent="0.2">
      <c r="A50" s="1267" t="s">
        <v>812</v>
      </c>
      <c r="B50" s="503">
        <v>2320</v>
      </c>
      <c r="C50" s="1565">
        <v>0</v>
      </c>
      <c r="D50" s="1565">
        <v>0</v>
      </c>
      <c r="E50" s="1565">
        <v>0</v>
      </c>
      <c r="F50" s="1565">
        <v>0</v>
      </c>
      <c r="G50" s="1565">
        <v>0</v>
      </c>
      <c r="H50" s="1565">
        <v>0</v>
      </c>
      <c r="I50" s="1566">
        <v>0</v>
      </c>
      <c r="J50" s="1566">
        <v>0</v>
      </c>
      <c r="K50" s="1668">
        <f>SUM(C50:J50)</f>
        <v>0</v>
      </c>
      <c r="L50" s="1565">
        <v>0</v>
      </c>
    </row>
    <row r="51" spans="1:14" x14ac:dyDescent="0.2">
      <c r="A51" s="1267" t="s">
        <v>42</v>
      </c>
      <c r="B51" s="503">
        <v>2330</v>
      </c>
      <c r="C51" s="1565">
        <v>75497</v>
      </c>
      <c r="D51" s="1565">
        <v>21176</v>
      </c>
      <c r="E51" s="1565">
        <v>16634</v>
      </c>
      <c r="F51" s="1565">
        <v>183</v>
      </c>
      <c r="G51" s="1565">
        <v>0</v>
      </c>
      <c r="H51" s="1565">
        <v>1173</v>
      </c>
      <c r="I51" s="1566">
        <v>0</v>
      </c>
      <c r="J51" s="1566">
        <v>0</v>
      </c>
      <c r="K51" s="1668">
        <f>SUM(C51:J51)</f>
        <v>114663</v>
      </c>
      <c r="L51" s="1565">
        <v>116141</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75497</v>
      </c>
      <c r="D53" s="1664">
        <f t="shared" ref="D53:L53" si="5">SUM(D49:D52)</f>
        <v>21176</v>
      </c>
      <c r="E53" s="1664">
        <f t="shared" si="5"/>
        <v>16634</v>
      </c>
      <c r="F53" s="1664">
        <f t="shared" si="5"/>
        <v>183</v>
      </c>
      <c r="G53" s="1664">
        <f t="shared" si="5"/>
        <v>0</v>
      </c>
      <c r="H53" s="1664">
        <f t="shared" si="5"/>
        <v>1173</v>
      </c>
      <c r="I53" s="1664">
        <f t="shared" si="5"/>
        <v>0</v>
      </c>
      <c r="J53" s="1664">
        <f t="shared" si="5"/>
        <v>0</v>
      </c>
      <c r="K53" s="1664">
        <f t="shared" si="5"/>
        <v>114663</v>
      </c>
      <c r="L53" s="1664">
        <f t="shared" si="5"/>
        <v>116141</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0</v>
      </c>
      <c r="D55" s="1577">
        <v>0</v>
      </c>
      <c r="E55" s="1577">
        <v>0</v>
      </c>
      <c r="F55" s="1577">
        <v>0</v>
      </c>
      <c r="G55" s="1577">
        <v>0</v>
      </c>
      <c r="H55" s="1577">
        <v>0</v>
      </c>
      <c r="I55" s="1566">
        <v>0</v>
      </c>
      <c r="J55" s="1566">
        <v>0</v>
      </c>
      <c r="K55" s="1668">
        <f>SUM(C55:J55)</f>
        <v>0</v>
      </c>
      <c r="L55" s="1577">
        <v>0</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0</v>
      </c>
      <c r="D57" s="1669">
        <f t="shared" ref="D57:K57" si="6">SUM(D55:D56)</f>
        <v>0</v>
      </c>
      <c r="E57" s="1669">
        <f t="shared" si="6"/>
        <v>0</v>
      </c>
      <c r="F57" s="1669">
        <f t="shared" si="6"/>
        <v>0</v>
      </c>
      <c r="G57" s="1669">
        <f t="shared" si="6"/>
        <v>0</v>
      </c>
      <c r="H57" s="1669">
        <f t="shared" si="6"/>
        <v>0</v>
      </c>
      <c r="I57" s="1669">
        <f t="shared" si="6"/>
        <v>0</v>
      </c>
      <c r="J57" s="1669">
        <f t="shared" si="6"/>
        <v>0</v>
      </c>
      <c r="K57" s="1669">
        <f t="shared" si="6"/>
        <v>0</v>
      </c>
      <c r="L57" s="1664">
        <f>SUM(L55:L56)</f>
        <v>0</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0</v>
      </c>
      <c r="D59" s="1577">
        <v>0</v>
      </c>
      <c r="E59" s="1577">
        <v>0</v>
      </c>
      <c r="F59" s="1577">
        <v>0</v>
      </c>
      <c r="G59" s="1577">
        <v>0</v>
      </c>
      <c r="H59" s="1577">
        <v>0</v>
      </c>
      <c r="I59" s="1566">
        <v>0</v>
      </c>
      <c r="J59" s="1566">
        <v>0</v>
      </c>
      <c r="K59" s="1668">
        <f t="shared" ref="K59:K64" si="7">SUM(C59:J59)</f>
        <v>0</v>
      </c>
      <c r="L59" s="1577">
        <v>0</v>
      </c>
      <c r="M59" s="501"/>
      <c r="N59" s="501"/>
    </row>
    <row r="60" spans="1:14" s="321" customFormat="1" x14ac:dyDescent="0.2">
      <c r="A60" s="1267" t="s">
        <v>460</v>
      </c>
      <c r="B60" s="503">
        <v>2520</v>
      </c>
      <c r="C60" s="1565">
        <v>0</v>
      </c>
      <c r="D60" s="1565">
        <v>0</v>
      </c>
      <c r="E60" s="1565">
        <v>0</v>
      </c>
      <c r="F60" s="1565">
        <v>0</v>
      </c>
      <c r="G60" s="1565">
        <v>0</v>
      </c>
      <c r="H60" s="1565">
        <v>0</v>
      </c>
      <c r="I60" s="1566">
        <v>0</v>
      </c>
      <c r="J60" s="1566">
        <v>0</v>
      </c>
      <c r="K60" s="1668">
        <f t="shared" si="7"/>
        <v>0</v>
      </c>
      <c r="L60" s="1565">
        <v>0</v>
      </c>
      <c r="M60" s="501"/>
      <c r="N60" s="501"/>
    </row>
    <row r="61" spans="1:14" s="321" customFormat="1" x14ac:dyDescent="0.2">
      <c r="A61" s="1267" t="s">
        <v>195</v>
      </c>
      <c r="B61" s="503">
        <v>2540</v>
      </c>
      <c r="C61" s="1565">
        <v>0</v>
      </c>
      <c r="D61" s="1565">
        <v>0</v>
      </c>
      <c r="E61" s="1565">
        <v>0</v>
      </c>
      <c r="F61" s="1565">
        <v>0</v>
      </c>
      <c r="G61" s="1565">
        <v>0</v>
      </c>
      <c r="H61" s="1565">
        <v>0</v>
      </c>
      <c r="I61" s="1566">
        <v>0</v>
      </c>
      <c r="J61" s="1566">
        <v>0</v>
      </c>
      <c r="K61" s="1668">
        <f t="shared" si="7"/>
        <v>0</v>
      </c>
      <c r="L61" s="1565">
        <v>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0</v>
      </c>
      <c r="D63" s="1565">
        <v>0</v>
      </c>
      <c r="E63" s="1565">
        <v>0</v>
      </c>
      <c r="F63" s="1565">
        <v>0</v>
      </c>
      <c r="G63" s="1565">
        <v>0</v>
      </c>
      <c r="H63" s="1565">
        <v>0</v>
      </c>
      <c r="I63" s="1566">
        <v>0</v>
      </c>
      <c r="J63" s="1566">
        <v>0</v>
      </c>
      <c r="K63" s="1668">
        <f t="shared" si="7"/>
        <v>0</v>
      </c>
      <c r="L63" s="1565">
        <v>0</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0</v>
      </c>
      <c r="D65" s="1664">
        <f t="shared" ref="D65:L65" si="8">SUM(D59:D64)</f>
        <v>0</v>
      </c>
      <c r="E65" s="1664">
        <f t="shared" si="8"/>
        <v>0</v>
      </c>
      <c r="F65" s="1664">
        <f t="shared" si="8"/>
        <v>0</v>
      </c>
      <c r="G65" s="1664">
        <f t="shared" si="8"/>
        <v>0</v>
      </c>
      <c r="H65" s="1664">
        <f t="shared" si="8"/>
        <v>0</v>
      </c>
      <c r="I65" s="1664">
        <f t="shared" si="8"/>
        <v>0</v>
      </c>
      <c r="J65" s="1664">
        <f t="shared" si="8"/>
        <v>0</v>
      </c>
      <c r="K65" s="1664">
        <f t="shared" si="8"/>
        <v>0</v>
      </c>
      <c r="L65" s="1664">
        <f t="shared" si="8"/>
        <v>0</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186651</v>
      </c>
      <c r="D74" s="1671">
        <f t="shared" ref="D74:K74" si="10">SUM(D42,D47,D53,D57,D65,D72,D73)</f>
        <v>61464</v>
      </c>
      <c r="E74" s="1671">
        <f t="shared" si="10"/>
        <v>81596</v>
      </c>
      <c r="F74" s="1671">
        <f t="shared" si="10"/>
        <v>755</v>
      </c>
      <c r="G74" s="1671">
        <f t="shared" si="10"/>
        <v>0</v>
      </c>
      <c r="H74" s="1671">
        <f t="shared" si="10"/>
        <v>1173</v>
      </c>
      <c r="I74" s="1671">
        <f t="shared" si="10"/>
        <v>0</v>
      </c>
      <c r="J74" s="1671">
        <f t="shared" si="10"/>
        <v>0</v>
      </c>
      <c r="K74" s="1671">
        <f t="shared" si="10"/>
        <v>331639</v>
      </c>
      <c r="L74" s="1671">
        <f>SUM(L42,L47,L53,L57,L65,L72,L73)</f>
        <v>357858</v>
      </c>
    </row>
    <row r="75" spans="1:14" s="254" customFormat="1" ht="15.75" customHeight="1" thickTop="1" thickBot="1" x14ac:dyDescent="0.25">
      <c r="A75" s="1341" t="s">
        <v>47</v>
      </c>
      <c r="B75" s="1342" t="s">
        <v>571</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0</v>
      </c>
      <c r="F79" s="1663"/>
      <c r="G79" s="1663"/>
      <c r="H79" s="1565">
        <v>0</v>
      </c>
      <c r="I79" s="1573"/>
      <c r="J79" s="1573"/>
      <c r="K79" s="1662">
        <f t="shared" si="11"/>
        <v>0</v>
      </c>
      <c r="L79" s="1565">
        <v>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1139315</v>
      </c>
      <c r="I81" s="1573"/>
      <c r="J81" s="1573"/>
      <c r="K81" s="1662">
        <f t="shared" si="11"/>
        <v>1139315</v>
      </c>
      <c r="L81" s="1565">
        <v>1145377</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0</v>
      </c>
      <c r="F84" s="1663"/>
      <c r="G84" s="1663"/>
      <c r="H84" s="1664">
        <f>SUM(H78:H83)</f>
        <v>1139315</v>
      </c>
      <c r="I84" s="1573"/>
      <c r="J84" s="1573"/>
      <c r="K84" s="1664">
        <f>SUM(K78:K83)</f>
        <v>1139315</v>
      </c>
      <c r="L84" s="1664">
        <f>SUM(L78:L83)</f>
        <v>1145377</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0</v>
      </c>
      <c r="I86" s="1573"/>
      <c r="J86" s="1573"/>
      <c r="K86" s="1671">
        <f t="shared" ref="K86:K98" si="12">H86</f>
        <v>0</v>
      </c>
      <c r="L86" s="1616">
        <v>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0</v>
      </c>
      <c r="I92" s="1573"/>
      <c r="J92" s="1573"/>
      <c r="K92" s="1671">
        <f t="shared" si="12"/>
        <v>0</v>
      </c>
      <c r="L92" s="1664">
        <f>SUM(L85:L91)</f>
        <v>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0</v>
      </c>
      <c r="F102" s="1663"/>
      <c r="G102" s="1663"/>
      <c r="H102" s="1671">
        <f>SUM(H84,H92,H100,H101)</f>
        <v>1139315</v>
      </c>
      <c r="I102" s="1573"/>
      <c r="J102" s="1573"/>
      <c r="K102" s="1671">
        <f>SUM(K84,K92,K100,K101)</f>
        <v>1139315</v>
      </c>
      <c r="L102" s="1671">
        <f>SUM(L84,L92,L100,L101)</f>
        <v>1145377</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186651</v>
      </c>
      <c r="D114" s="1664">
        <f t="shared" ref="D114:K114" si="13">SUM(D33,D74,D75,D102,D112,D113)</f>
        <v>61464</v>
      </c>
      <c r="E114" s="1664">
        <f t="shared" si="13"/>
        <v>81596</v>
      </c>
      <c r="F114" s="1664">
        <f t="shared" si="13"/>
        <v>755</v>
      </c>
      <c r="G114" s="1664">
        <f t="shared" si="13"/>
        <v>0</v>
      </c>
      <c r="H114" s="1664">
        <f>SUM(H33,H74,H75,H102,H112,H113)</f>
        <v>1140488</v>
      </c>
      <c r="I114" s="1664">
        <f t="shared" si="13"/>
        <v>0</v>
      </c>
      <c r="J114" s="1664">
        <f t="shared" si="13"/>
        <v>0</v>
      </c>
      <c r="K114" s="1664">
        <f t="shared" si="13"/>
        <v>1470954</v>
      </c>
      <c r="L114" s="1664">
        <f>SUM(L33,L74,L75,L102,L112,L113)</f>
        <v>1505235</v>
      </c>
    </row>
    <row r="115" spans="1:14" ht="13.5" thickTop="1" x14ac:dyDescent="0.2">
      <c r="A115" s="2275" t="s">
        <v>988</v>
      </c>
      <c r="B115" s="2276"/>
      <c r="C115" s="1665"/>
      <c r="D115" s="1665"/>
      <c r="E115" s="1665"/>
      <c r="F115" s="1665"/>
      <c r="G115" s="1665"/>
      <c r="H115" s="1665"/>
      <c r="I115" s="1665"/>
      <c r="J115" s="1665"/>
      <c r="K115" s="1679">
        <f>'Revenues 9-14'!C268-'Expenditures 15-22'!K114</f>
        <v>-8772</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80" t="s">
        <v>293</v>
      </c>
      <c r="B117" s="2281"/>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row>
    <row r="124" spans="1:14" ht="14.25" thickTop="1" thickBot="1" x14ac:dyDescent="0.25">
      <c r="A124" s="1267" t="s">
        <v>195</v>
      </c>
      <c r="B124" s="503">
        <v>2540</v>
      </c>
      <c r="C124" s="1565">
        <v>0</v>
      </c>
      <c r="D124" s="1565">
        <v>0</v>
      </c>
      <c r="E124" s="1565">
        <v>0</v>
      </c>
      <c r="F124" s="1565">
        <v>0</v>
      </c>
      <c r="G124" s="1565">
        <v>0</v>
      </c>
      <c r="H124" s="1565">
        <v>0</v>
      </c>
      <c r="I124" s="1566">
        <v>0</v>
      </c>
      <c r="J124" s="1566">
        <v>0</v>
      </c>
      <c r="K124" s="1664">
        <f>SUM(C124:J124)</f>
        <v>0</v>
      </c>
      <c r="L124" s="1565">
        <v>0</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0</v>
      </c>
      <c r="D127" s="1664">
        <f t="shared" ref="D127:L127" si="14">SUM(D122:D126)</f>
        <v>0</v>
      </c>
      <c r="E127" s="1664">
        <f t="shared" si="14"/>
        <v>0</v>
      </c>
      <c r="F127" s="1664">
        <f t="shared" si="14"/>
        <v>0</v>
      </c>
      <c r="G127" s="1664">
        <f t="shared" si="14"/>
        <v>0</v>
      </c>
      <c r="H127" s="1664">
        <f t="shared" si="14"/>
        <v>0</v>
      </c>
      <c r="I127" s="1664">
        <f t="shared" si="14"/>
        <v>0</v>
      </c>
      <c r="J127" s="1664">
        <f t="shared" si="14"/>
        <v>0</v>
      </c>
      <c r="K127" s="1664">
        <f t="shared" si="14"/>
        <v>0</v>
      </c>
      <c r="L127" s="1664">
        <f t="shared" si="14"/>
        <v>0</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0</v>
      </c>
      <c r="D129" s="1671">
        <f t="shared" ref="D129:L129" si="15">SUM(D120,D127,D128)</f>
        <v>0</v>
      </c>
      <c r="E129" s="1671">
        <f t="shared" si="15"/>
        <v>0</v>
      </c>
      <c r="F129" s="1671">
        <f t="shared" si="15"/>
        <v>0</v>
      </c>
      <c r="G129" s="1671">
        <f t="shared" si="15"/>
        <v>0</v>
      </c>
      <c r="H129" s="1671">
        <f t="shared" si="15"/>
        <v>0</v>
      </c>
      <c r="I129" s="1671">
        <f t="shared" si="15"/>
        <v>0</v>
      </c>
      <c r="J129" s="1671">
        <f t="shared" si="15"/>
        <v>0</v>
      </c>
      <c r="K129" s="1671">
        <f t="shared" si="15"/>
        <v>0</v>
      </c>
      <c r="L129" s="1671">
        <f t="shared" si="15"/>
        <v>0</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92" t="s">
        <v>616</v>
      </c>
      <c r="B151" s="2272"/>
      <c r="C151" s="1664">
        <f>SUM(C129,C130,C139,C149,C150)</f>
        <v>0</v>
      </c>
      <c r="D151" s="1664">
        <f t="shared" ref="D151:K151" si="16">SUM(D129,D130,D139,D149,D150)</f>
        <v>0</v>
      </c>
      <c r="E151" s="1664">
        <f t="shared" si="16"/>
        <v>0</v>
      </c>
      <c r="F151" s="1664">
        <f t="shared" si="16"/>
        <v>0</v>
      </c>
      <c r="G151" s="1664">
        <f t="shared" si="16"/>
        <v>0</v>
      </c>
      <c r="H151" s="1664">
        <f t="shared" si="16"/>
        <v>0</v>
      </c>
      <c r="I151" s="1664">
        <f t="shared" si="16"/>
        <v>0</v>
      </c>
      <c r="J151" s="1664">
        <f t="shared" si="16"/>
        <v>0</v>
      </c>
      <c r="K151" s="1664">
        <f t="shared" si="16"/>
        <v>0</v>
      </c>
      <c r="L151" s="1664">
        <f>SUM(L129,L130,L139,L149,L150)</f>
        <v>0</v>
      </c>
    </row>
    <row r="152" spans="1:14" ht="12.75" customHeight="1" thickTop="1" x14ac:dyDescent="0.2">
      <c r="A152" s="2295" t="s">
        <v>1167</v>
      </c>
      <c r="B152" s="2296"/>
      <c r="C152" s="1665"/>
      <c r="D152" s="1665"/>
      <c r="E152" s="1665"/>
      <c r="F152" s="1665"/>
      <c r="G152" s="1665"/>
      <c r="H152" s="1665"/>
      <c r="I152" s="1665"/>
      <c r="J152" s="1663"/>
      <c r="K152" s="1679">
        <f>'Revenues 9-14'!D268-'Expenditures 15-22'!K151</f>
        <v>0</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80" t="s">
        <v>617</v>
      </c>
      <c r="B154" s="2282"/>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0</v>
      </c>
      <c r="I169" s="1663"/>
      <c r="J169" s="1663"/>
      <c r="K169" s="1662">
        <f>SUM(C169:H169)</f>
        <v>0</v>
      </c>
      <c r="L169" s="1685">
        <v>0</v>
      </c>
    </row>
    <row r="170" spans="1:14" ht="33.75" customHeight="1" x14ac:dyDescent="0.2">
      <c r="A170" s="543" t="s">
        <v>1648</v>
      </c>
      <c r="B170" s="545" t="s">
        <v>31</v>
      </c>
      <c r="C170" s="1663"/>
      <c r="D170" s="1663"/>
      <c r="E170" s="1663"/>
      <c r="F170" s="1663"/>
      <c r="G170" s="1663"/>
      <c r="H170" s="1636">
        <v>0</v>
      </c>
      <c r="I170" s="1663"/>
      <c r="J170" s="1663"/>
      <c r="K170" s="1662">
        <f>SUM(C170:J170)</f>
        <v>0</v>
      </c>
      <c r="L170" s="1636">
        <v>0</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row>
    <row r="172" spans="1:14" ht="12.75" customHeight="1" thickBot="1" x14ac:dyDescent="0.25">
      <c r="A172" s="1373" t="s">
        <v>633</v>
      </c>
      <c r="B172" s="1374" t="s">
        <v>489</v>
      </c>
      <c r="C172" s="1663"/>
      <c r="D172" s="1663"/>
      <c r="E172" s="1671">
        <f>SUM(E168,E169,E170,E171)</f>
        <v>0</v>
      </c>
      <c r="F172" s="1663"/>
      <c r="G172" s="1663"/>
      <c r="H172" s="1671">
        <f>SUM(H168,H169,H170,H171)</f>
        <v>0</v>
      </c>
      <c r="I172" s="1674"/>
      <c r="J172" s="1663"/>
      <c r="K172" s="1671">
        <f>SUM(K168,K169,K170,K171)</f>
        <v>0</v>
      </c>
      <c r="L172" s="1671">
        <f>SUM(L168,L169,L170,L171)</f>
        <v>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0</v>
      </c>
      <c r="I174" s="1674"/>
      <c r="J174" s="1663"/>
      <c r="K174" s="1671">
        <f>SUM(K160,K172,K173)</f>
        <v>0</v>
      </c>
      <c r="L174" s="1671">
        <f>SUM(L160,L172,L173)</f>
        <v>0</v>
      </c>
    </row>
    <row r="175" spans="1:14" ht="13.5" thickTop="1" x14ac:dyDescent="0.2">
      <c r="A175" s="2275" t="s">
        <v>988</v>
      </c>
      <c r="B175" s="2276"/>
      <c r="C175" s="1663"/>
      <c r="D175" s="1663"/>
      <c r="E175" s="1663"/>
      <c r="F175" s="1663"/>
      <c r="G175" s="1663"/>
      <c r="H175" s="1665"/>
      <c r="I175" s="1663"/>
      <c r="J175" s="1663"/>
      <c r="K175" s="1679">
        <f>'Revenues 9-14'!E268-'Expenditures 15-22'!K174</f>
        <v>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0</v>
      </c>
      <c r="D182" s="1565">
        <v>0</v>
      </c>
      <c r="E182" s="1565">
        <v>0</v>
      </c>
      <c r="F182" s="1565">
        <v>0</v>
      </c>
      <c r="G182" s="1565">
        <v>0</v>
      </c>
      <c r="H182" s="1565">
        <v>0</v>
      </c>
      <c r="I182" s="1566">
        <v>0</v>
      </c>
      <c r="J182" s="1566">
        <v>0</v>
      </c>
      <c r="K182" s="1662">
        <f>SUM(C182:J182)</f>
        <v>0</v>
      </c>
      <c r="L182" s="1565">
        <v>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0</v>
      </c>
      <c r="D184" s="1671">
        <f t="shared" ref="D184:J184" si="17">SUM(D180,D182,D183)</f>
        <v>0</v>
      </c>
      <c r="E184" s="1671">
        <f t="shared" si="17"/>
        <v>0</v>
      </c>
      <c r="F184" s="1671">
        <f t="shared" si="17"/>
        <v>0</v>
      </c>
      <c r="G184" s="1671">
        <f t="shared" si="17"/>
        <v>0</v>
      </c>
      <c r="H184" s="1671">
        <f t="shared" si="17"/>
        <v>0</v>
      </c>
      <c r="I184" s="1671">
        <f t="shared" si="17"/>
        <v>0</v>
      </c>
      <c r="J184" s="1671">
        <f t="shared" si="17"/>
        <v>0</v>
      </c>
      <c r="K184" s="1671">
        <f>SUM(K180,K182,K183)</f>
        <v>0</v>
      </c>
      <c r="L184" s="1671">
        <f>SUM(L180, L182:L183)</f>
        <v>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0</v>
      </c>
      <c r="D210" s="1664">
        <f>SUM(D184,D185)</f>
        <v>0</v>
      </c>
      <c r="E210" s="1664">
        <f>SUM(E184,E185,E196)</f>
        <v>0</v>
      </c>
      <c r="F210" s="1664">
        <f>SUM(F184,F185)</f>
        <v>0</v>
      </c>
      <c r="G210" s="1664">
        <f>SUM(G184,G185)</f>
        <v>0</v>
      </c>
      <c r="H210" s="1664">
        <f>SUM(H184,H185,H196,H208,H209)</f>
        <v>0</v>
      </c>
      <c r="I210" s="1664">
        <f>SUM(I184,I185)</f>
        <v>0</v>
      </c>
      <c r="J210" s="1664">
        <f>SUM(J184,J185)</f>
        <v>0</v>
      </c>
      <c r="K210" s="1662">
        <f>SUM(K184,K185,K196,K208,K209)</f>
        <v>0</v>
      </c>
      <c r="L210" s="1664">
        <f>SUM(L184,L185,L196,L208,L209)</f>
        <v>0</v>
      </c>
    </row>
    <row r="211" spans="1:14" ht="13.5" thickTop="1" x14ac:dyDescent="0.2">
      <c r="A211" s="2275" t="s">
        <v>988</v>
      </c>
      <c r="B211" s="2276"/>
      <c r="C211" s="1665"/>
      <c r="D211" s="1665"/>
      <c r="E211" s="1665"/>
      <c r="F211" s="1665"/>
      <c r="G211" s="1665"/>
      <c r="H211" s="1665"/>
      <c r="I211" s="1663"/>
      <c r="J211" s="1663"/>
      <c r="K211" s="1679">
        <f>'Revenues 9-14'!F268-'Expenditures 15-22'!K210</f>
        <v>0</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97" t="s">
        <v>958</v>
      </c>
      <c r="B213" s="2298"/>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0</v>
      </c>
      <c r="E215" s="1663"/>
      <c r="F215" s="1663"/>
      <c r="G215" s="1663"/>
      <c r="H215" s="1663"/>
      <c r="I215" s="1663"/>
      <c r="J215" s="1663"/>
      <c r="K215" s="1662">
        <f>D215</f>
        <v>0</v>
      </c>
      <c r="L215" s="1565">
        <v>0</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0</v>
      </c>
      <c r="E217" s="1663"/>
      <c r="F217" s="1663"/>
      <c r="G217" s="1663"/>
      <c r="H217" s="1663"/>
      <c r="I217" s="1663"/>
      <c r="J217" s="1663"/>
      <c r="K217" s="1662">
        <f t="shared" si="19"/>
        <v>0</v>
      </c>
      <c r="L217" s="1565">
        <v>0</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0</v>
      </c>
      <c r="E223" s="1663"/>
      <c r="F223" s="1663"/>
      <c r="G223" s="1663"/>
      <c r="H223" s="1663"/>
      <c r="I223" s="1663"/>
      <c r="J223" s="1663"/>
      <c r="K223" s="1662">
        <f t="shared" si="19"/>
        <v>0</v>
      </c>
      <c r="L223" s="1565">
        <v>0</v>
      </c>
    </row>
    <row r="224" spans="1:14" x14ac:dyDescent="0.2">
      <c r="A224" s="1267" t="s">
        <v>957</v>
      </c>
      <c r="B224" s="503">
        <v>1600</v>
      </c>
      <c r="C224" s="1663"/>
      <c r="D224" s="1565">
        <v>0</v>
      </c>
      <c r="E224" s="1663"/>
      <c r="F224" s="1663"/>
      <c r="G224" s="1663"/>
      <c r="H224" s="1663"/>
      <c r="I224" s="1663"/>
      <c r="J224" s="1663"/>
      <c r="K224" s="1662">
        <f t="shared" si="19"/>
        <v>0</v>
      </c>
      <c r="L224" s="1565">
        <v>0</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0</v>
      </c>
      <c r="E229" s="1663"/>
      <c r="F229" s="1663"/>
      <c r="G229" s="1663"/>
      <c r="H229" s="1663"/>
      <c r="I229" s="1663"/>
      <c r="J229" s="1663"/>
      <c r="K229" s="1664">
        <f>SUM(K215:K228)</f>
        <v>0</v>
      </c>
      <c r="L229" s="1664">
        <f>SUM(L215:L228)</f>
        <v>0</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0</v>
      </c>
      <c r="E232" s="1663"/>
      <c r="F232" s="1663"/>
      <c r="G232" s="1663"/>
      <c r="H232" s="1663"/>
      <c r="I232" s="1663"/>
      <c r="J232" s="1663"/>
      <c r="K232" s="1662">
        <f t="shared" ref="K232:K237" si="20">D232</f>
        <v>0</v>
      </c>
      <c r="L232" s="1565">
        <v>0</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0</v>
      </c>
      <c r="E234" s="1663"/>
      <c r="F234" s="1663"/>
      <c r="G234" s="1663"/>
      <c r="H234" s="1663"/>
      <c r="I234" s="1663"/>
      <c r="J234" s="1663"/>
      <c r="K234" s="1662">
        <f t="shared" si="20"/>
        <v>0</v>
      </c>
      <c r="L234" s="1565">
        <v>0</v>
      </c>
    </row>
    <row r="235" spans="1:12" x14ac:dyDescent="0.2">
      <c r="A235" s="1267" t="s">
        <v>197</v>
      </c>
      <c r="B235" s="503">
        <v>2140</v>
      </c>
      <c r="C235" s="1663"/>
      <c r="D235" s="1565">
        <v>0</v>
      </c>
      <c r="E235" s="1663"/>
      <c r="F235" s="1663"/>
      <c r="G235" s="1663"/>
      <c r="H235" s="1663"/>
      <c r="I235" s="1663"/>
      <c r="J235" s="1663"/>
      <c r="K235" s="1662">
        <f t="shared" si="20"/>
        <v>0</v>
      </c>
      <c r="L235" s="1565">
        <v>0</v>
      </c>
    </row>
    <row r="236" spans="1:12" x14ac:dyDescent="0.2">
      <c r="A236" s="1267" t="s">
        <v>198</v>
      </c>
      <c r="B236" s="503">
        <v>2150</v>
      </c>
      <c r="C236" s="1663"/>
      <c r="D236" s="1565">
        <v>0</v>
      </c>
      <c r="E236" s="1663"/>
      <c r="F236" s="1663"/>
      <c r="G236" s="1663"/>
      <c r="H236" s="1663"/>
      <c r="I236" s="1663"/>
      <c r="J236" s="1663"/>
      <c r="K236" s="1662">
        <f t="shared" si="20"/>
        <v>0</v>
      </c>
      <c r="L236" s="1565">
        <v>0</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0</v>
      </c>
      <c r="E238" s="1663"/>
      <c r="F238" s="1663"/>
      <c r="G238" s="1663"/>
      <c r="H238" s="1663"/>
      <c r="I238" s="1663"/>
      <c r="J238" s="1663"/>
      <c r="K238" s="1664">
        <f>SUM(K232:K237)</f>
        <v>0</v>
      </c>
      <c r="L238" s="1664">
        <f>SUM(L232:L237)</f>
        <v>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0</v>
      </c>
      <c r="E240" s="1663"/>
      <c r="F240" s="1663"/>
      <c r="G240" s="1663"/>
      <c r="H240" s="1663"/>
      <c r="I240" s="1663"/>
      <c r="J240" s="1663"/>
      <c r="K240" s="1668">
        <f>D240</f>
        <v>0</v>
      </c>
      <c r="L240" s="1577">
        <v>0</v>
      </c>
    </row>
    <row r="241" spans="1:12" x14ac:dyDescent="0.2">
      <c r="A241" s="1267" t="s">
        <v>809</v>
      </c>
      <c r="B241" s="503">
        <v>2220</v>
      </c>
      <c r="C241" s="1663"/>
      <c r="D241" s="1565">
        <v>0</v>
      </c>
      <c r="E241" s="1663"/>
      <c r="F241" s="1663"/>
      <c r="G241" s="1663"/>
      <c r="H241" s="1663"/>
      <c r="I241" s="1663"/>
      <c r="J241" s="1663"/>
      <c r="K241" s="1668">
        <f>D241</f>
        <v>0</v>
      </c>
      <c r="L241" s="1565">
        <v>0</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0</v>
      </c>
      <c r="E243" s="1663"/>
      <c r="F243" s="1663"/>
      <c r="G243" s="1663"/>
      <c r="H243" s="1663"/>
      <c r="I243" s="1663"/>
      <c r="J243" s="1663"/>
      <c r="K243" s="1664">
        <f>SUM(K240:K242)</f>
        <v>0</v>
      </c>
      <c r="L243" s="1664">
        <f>SUM(L240:L242)</f>
        <v>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0</v>
      </c>
      <c r="E246" s="1663"/>
      <c r="F246" s="1663"/>
      <c r="G246" s="1663"/>
      <c r="H246" s="1663"/>
      <c r="I246" s="1663"/>
      <c r="J246" s="1663"/>
      <c r="K246" s="1668">
        <f t="shared" ref="K246:K256" si="21">D246</f>
        <v>0</v>
      </c>
      <c r="L246" s="1565">
        <v>0</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0</v>
      </c>
      <c r="E257" s="1663"/>
      <c r="F257" s="1663"/>
      <c r="G257" s="1663"/>
      <c r="H257" s="1663"/>
      <c r="I257" s="1663"/>
      <c r="J257" s="1663"/>
      <c r="K257" s="1664">
        <f>SUM(K245:K256)</f>
        <v>0</v>
      </c>
      <c r="L257" s="1664">
        <f>SUM(L245:L256)</f>
        <v>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0</v>
      </c>
      <c r="E259" s="1663"/>
      <c r="F259" s="1663"/>
      <c r="G259" s="1663"/>
      <c r="H259" s="1663"/>
      <c r="I259" s="1663"/>
      <c r="J259" s="1663"/>
      <c r="K259" s="1668">
        <f>D259</f>
        <v>0</v>
      </c>
      <c r="L259" s="1577">
        <v>0</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0</v>
      </c>
      <c r="E261" s="1663"/>
      <c r="F261" s="1663"/>
      <c r="G261" s="1663"/>
      <c r="H261" s="1663"/>
      <c r="I261" s="1663"/>
      <c r="J261" s="1663"/>
      <c r="K261" s="1664">
        <f>SUM(K259:K260)</f>
        <v>0</v>
      </c>
      <c r="L261" s="1664">
        <f>SUM(L259:L260)</f>
        <v>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0</v>
      </c>
      <c r="E263" s="1663"/>
      <c r="F263" s="1663"/>
      <c r="G263" s="1663"/>
      <c r="H263" s="1663"/>
      <c r="I263" s="1663"/>
      <c r="J263" s="1663"/>
      <c r="K263" s="1668">
        <f>D263</f>
        <v>0</v>
      </c>
      <c r="L263" s="1577">
        <v>0</v>
      </c>
    </row>
    <row r="264" spans="1:14" x14ac:dyDescent="0.2">
      <c r="A264" s="1267" t="s">
        <v>460</v>
      </c>
      <c r="B264" s="559">
        <v>2520</v>
      </c>
      <c r="C264" s="1663"/>
      <c r="D264" s="1565">
        <v>0</v>
      </c>
      <c r="E264" s="1663"/>
      <c r="F264" s="1663"/>
      <c r="G264" s="1663"/>
      <c r="H264" s="1663"/>
      <c r="I264" s="1663"/>
      <c r="J264" s="1663"/>
      <c r="K264" s="1668">
        <f t="shared" ref="K264:K269" si="22">D264</f>
        <v>0</v>
      </c>
      <c r="L264" s="1565">
        <v>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0</v>
      </c>
      <c r="E266" s="1663"/>
      <c r="F266" s="1663"/>
      <c r="G266" s="1663"/>
      <c r="H266" s="1663"/>
      <c r="I266" s="1663"/>
      <c r="J266" s="1663"/>
      <c r="K266" s="1668">
        <f t="shared" si="22"/>
        <v>0</v>
      </c>
      <c r="L266" s="1565">
        <v>0</v>
      </c>
    </row>
    <row r="267" spans="1:14" x14ac:dyDescent="0.2">
      <c r="A267" s="1267" t="s">
        <v>946</v>
      </c>
      <c r="B267" s="503">
        <v>2550</v>
      </c>
      <c r="C267" s="1663"/>
      <c r="D267" s="1565">
        <v>0</v>
      </c>
      <c r="E267" s="1663"/>
      <c r="F267" s="1663"/>
      <c r="G267" s="1663"/>
      <c r="H267" s="1663"/>
      <c r="I267" s="1663"/>
      <c r="J267" s="1663"/>
      <c r="K267" s="1668">
        <f t="shared" si="22"/>
        <v>0</v>
      </c>
      <c r="L267" s="1565">
        <v>0</v>
      </c>
    </row>
    <row r="268" spans="1:14" x14ac:dyDescent="0.2">
      <c r="A268" s="1267" t="s">
        <v>100</v>
      </c>
      <c r="B268" s="503">
        <v>2560</v>
      </c>
      <c r="C268" s="1663"/>
      <c r="D268" s="1565">
        <v>0</v>
      </c>
      <c r="E268" s="1663"/>
      <c r="F268" s="1663"/>
      <c r="G268" s="1663"/>
      <c r="H268" s="1663"/>
      <c r="I268" s="1663"/>
      <c r="J268" s="1663"/>
      <c r="K268" s="1668">
        <f t="shared" si="22"/>
        <v>0</v>
      </c>
      <c r="L268" s="1565">
        <v>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0</v>
      </c>
      <c r="E270" s="1663"/>
      <c r="F270" s="1663"/>
      <c r="G270" s="1663"/>
      <c r="H270" s="1663"/>
      <c r="I270" s="1663"/>
      <c r="J270" s="1663"/>
      <c r="K270" s="1664">
        <f>SUM(K263:K269)</f>
        <v>0</v>
      </c>
      <c r="L270" s="1664">
        <f>SUM(L263:L269)</f>
        <v>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0</v>
      </c>
      <c r="E279" s="1663"/>
      <c r="F279" s="1663"/>
      <c r="G279" s="1663"/>
      <c r="H279" s="1663"/>
      <c r="I279" s="1663"/>
      <c r="J279" s="1663"/>
      <c r="K279" s="1671">
        <f>SUM(K238,K243,K257,K261,K270,K277,K278)</f>
        <v>0</v>
      </c>
      <c r="L279" s="1671">
        <f>SUM(L238,L243,L257,L261,L270,L277,L278)</f>
        <v>0</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93" t="s">
        <v>502</v>
      </c>
      <c r="B295" s="2294"/>
      <c r="C295" s="1663"/>
      <c r="D295" s="1664">
        <f>SUM(D229,D279,D280,D285)</f>
        <v>0</v>
      </c>
      <c r="E295" s="1663"/>
      <c r="F295" s="1663"/>
      <c r="G295" s="1663"/>
      <c r="H295" s="1664">
        <f>H293</f>
        <v>0</v>
      </c>
      <c r="I295" s="1663"/>
      <c r="J295" s="1663"/>
      <c r="K295" s="1664">
        <f>SUM(K229,K279,K280,K285,K293,K294)</f>
        <v>0</v>
      </c>
      <c r="L295" s="1664">
        <f>SUM(L229,L279,L280,L285,L293,L294)</f>
        <v>0</v>
      </c>
    </row>
    <row r="296" spans="1:14" ht="13.5" thickTop="1" x14ac:dyDescent="0.2">
      <c r="A296" s="2275" t="s">
        <v>988</v>
      </c>
      <c r="B296" s="2276"/>
      <c r="C296" s="1663"/>
      <c r="D296" s="1665"/>
      <c r="E296" s="1663"/>
      <c r="F296" s="1663"/>
      <c r="G296" s="1663"/>
      <c r="H296" s="1697"/>
      <c r="I296" s="1663"/>
      <c r="J296" s="1663"/>
      <c r="K296" s="1679">
        <f>'Revenues 9-14'!G268-'Expenditures 15-22'!K295</f>
        <v>0</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85" t="s">
        <v>142</v>
      </c>
      <c r="B298" s="2279"/>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0</v>
      </c>
      <c r="H301" s="1565">
        <v>0</v>
      </c>
      <c r="I301" s="1566">
        <v>0</v>
      </c>
      <c r="J301" s="1566">
        <v>0</v>
      </c>
      <c r="K301" s="1662">
        <f>SUM(C301:J301)</f>
        <v>0</v>
      </c>
      <c r="L301" s="1566"/>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90" t="s">
        <v>275</v>
      </c>
      <c r="B312" s="2291"/>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539"/>
      <c r="N312" s="539"/>
    </row>
    <row r="313" spans="1:14" ht="13.5" thickTop="1" x14ac:dyDescent="0.2">
      <c r="A313" s="2286" t="s">
        <v>988</v>
      </c>
      <c r="B313" s="2287"/>
      <c r="C313" s="1667"/>
      <c r="D313" s="1667"/>
      <c r="E313" s="1667"/>
      <c r="F313" s="1667"/>
      <c r="G313" s="1667"/>
      <c r="H313" s="1667"/>
      <c r="I313" s="1667"/>
      <c r="J313" s="1667"/>
      <c r="K313" s="1686">
        <f>'Revenues 9-14'!H268-'Expenditures 15-22'!K312</f>
        <v>0</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9" t="s">
        <v>148</v>
      </c>
      <c r="B315" s="2300"/>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301" t="s">
        <v>891</v>
      </c>
      <c r="B317" s="2300"/>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0</v>
      </c>
      <c r="F330" s="1664">
        <f t="shared" si="25"/>
        <v>0</v>
      </c>
      <c r="G330" s="1664">
        <f t="shared" si="25"/>
        <v>0</v>
      </c>
      <c r="H330" s="1664">
        <f t="shared" si="25"/>
        <v>0</v>
      </c>
      <c r="I330" s="1664">
        <f t="shared" si="25"/>
        <v>0</v>
      </c>
      <c r="J330" s="1664">
        <f t="shared" si="25"/>
        <v>0</v>
      </c>
      <c r="K330" s="1664">
        <f>SUM(K319:K329)</f>
        <v>0</v>
      </c>
      <c r="L330" s="1664">
        <f>SUM(L319:L329)</f>
        <v>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0</v>
      </c>
      <c r="F342" s="1664">
        <f>SUM(F330)</f>
        <v>0</v>
      </c>
      <c r="G342" s="1664">
        <f>SUM(G330)</f>
        <v>0</v>
      </c>
      <c r="H342" s="1664">
        <f>SUM(H330,H334,H340)</f>
        <v>0</v>
      </c>
      <c r="I342" s="1664">
        <f>SUM(I330)</f>
        <v>0</v>
      </c>
      <c r="J342" s="1664">
        <f>SUM(J330)</f>
        <v>0</v>
      </c>
      <c r="K342" s="1664">
        <f>SUM(K330,K334,K340)</f>
        <v>0</v>
      </c>
      <c r="L342" s="1671">
        <f>SUM(L330,L334,L340,L341)</f>
        <v>0</v>
      </c>
    </row>
    <row r="343" spans="1:14" ht="12.75" customHeight="1" thickTop="1" x14ac:dyDescent="0.2">
      <c r="A343" s="2288" t="s">
        <v>988</v>
      </c>
      <c r="B343" s="2289"/>
      <c r="C343" s="1663"/>
      <c r="D343" s="1663"/>
      <c r="E343" s="1663"/>
      <c r="F343" s="1663"/>
      <c r="G343" s="1663"/>
      <c r="H343" s="1663"/>
      <c r="I343" s="1663"/>
      <c r="J343" s="1663"/>
      <c r="K343" s="1679">
        <f>'Revenues 9-14'!J268-'Expenditures 15-22'!K342</f>
        <v>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8" t="s">
        <v>959</v>
      </c>
      <c r="B345" s="2279"/>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75" t="s">
        <v>988</v>
      </c>
      <c r="B368" s="2276"/>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elements/1.1/"/>
    <ds:schemaRef ds:uri="http://purl.org/dc/terms/"/>
    <ds:schemaRef ds:uri="http://schemas.microsoft.com/office/infopath/2007/PartnerControls"/>
    <ds:schemaRef ds:uri="http://schemas.microsoft.com/sharepoint/v3"/>
    <ds:schemaRef ds:uri="http://schemas.openxmlformats.org/package/2006/metadata/core-properties"/>
    <ds:schemaRef ds:uri="4d435f69-8686-490b-bd6d-b153bf22ab50"/>
    <ds:schemaRef ds:uri="d21dc803-237d-4c68-8692-8d731fd29118"/>
    <ds:schemaRef ds:uri="6ce3111e-7420-4802-b50a-75d4e9a0b98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2020-08-04T17:27:40Z</cp:lastPrinted>
  <dcterms:created xsi:type="dcterms:W3CDTF">2003-10-29T19:06:34Z</dcterms:created>
  <dcterms:modified xsi:type="dcterms:W3CDTF">2020-10-04T13:39:46Z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