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E63DB463-CC7B-419F-A214-5A5216811FA5}"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87" r:id="rId21"/>
    <sheet name="Opinion, GAS Rept &amp; Notes - PDF" sheetId="129" r:id="rId22"/>
    <sheet name="Activity Funds - Excel" sheetId="186" r:id="rId23"/>
    <sheet name="DeficitAFRSum Calc 37"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a" localSheetId="20">#REF!</definedName>
    <definedName name="a">#REF!</definedName>
    <definedName name="AFAFDAF" localSheetId="20">#REF!</definedName>
    <definedName name="AFAFDAF">#REF!</definedName>
    <definedName name="AFDASFDAFDAFD" localSheetId="20">#REF!</definedName>
    <definedName name="AFDASFDAFDAFD">#REF!</definedName>
    <definedName name="b" localSheetId="20">#REF!</definedName>
    <definedName name="b">#REF!</definedName>
    <definedName name="d" localSheetId="20">#REF!</definedName>
    <definedName name="d">#REF!</definedName>
    <definedName name="dafd" localSheetId="20">#REF!</definedName>
    <definedName name="dafd">#REF!</definedName>
    <definedName name="E" localSheetId="20">#REF!</definedName>
    <definedName name="E">#REF!</definedName>
    <definedName name="FDAFDAFD" localSheetId="20">#REF!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14">#REF!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14">#REF!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14">#REF!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14">#REF!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14">#REF!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F41" i="108" s="1"/>
  <c r="G43" i="108" s="1"/>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N57" i="184"/>
  <c r="N68" i="184" s="1"/>
  <c r="E68" i="184"/>
  <c r="E367" i="29"/>
  <c r="B3635" i="106"/>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77" i="34" l="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F8" i="4" l="1"/>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<sst xmlns="http://schemas.openxmlformats.org/spreadsheetml/2006/main" count="5172" uniqueCount="2109">
  <si>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</si>
  <si>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</si>
  <si>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</si>
  <si>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</si>
  <si>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</si>
  <si>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</si>
  <si>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</si>
  <si>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</si>
  <si>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</si>
  <si>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</si>
  <si>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</si>
  <si>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</si>
  <si>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</si>
  <si>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</si>
  <si>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</si>
  <si>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</si>
  <si>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</si>
  <si>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</si>
  <si>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</si>
  <si>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</si>
  <si>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</si>
  <si>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</si>
  <si>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</si>
  <si>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</si>
  <si>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</si>
  <si>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</si>
  <si>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</si>
  <si>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</si>
  <si>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</si>
  <si>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</si>
  <si>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</si>
  <si>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</si>
  <si>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</si>
  <si>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</si>
  <si>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</si>
  <si>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</si>
  <si>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</si>
  <si>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</si>
  <si>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</si>
  <si>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</si>
  <si>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</si>
  <si>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</si>
  <si>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</si>
  <si>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</si>
  <si>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</si>
  <si>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</si>
  <si>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</si>
  <si>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</si>
  <si>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</si>
  <si>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</si>
  <si>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</si>
  <si>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</si>
  <si>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</si>
  <si>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</si>
  <si>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</si>
  <si>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</si>
  <si>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</si>
  <si>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</si>
  <si>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</si>
  <si>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</si>
  <si>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</si>
  <si>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</si>
  <si>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</si>
  <si>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</si>
  <si>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</si>
  <si>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</si>
  <si>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</si>
  <si>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</si>
  <si>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</si>
  <si>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</si>
  <si>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</si>
  <si>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</si>
  <si>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</si>
  <si>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</si>
  <si>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</si>
  <si>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</si>
  <si>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</si>
  <si>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</si>
  <si>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</si>
  <si>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</si>
  <si>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</si>
  <si>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</si>
  <si>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</si>
  <si>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</si>
  <si>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</si>
  <si>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</si>
  <si>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</si>
  <si>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</si>
  <si>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</si>
  <si>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</si>
  <si>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</si>
  <si>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</si>
  <si>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</si>
  <si>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</si>
  <si>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</si>
  <si>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</si>
  <si>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</si>
  <si>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</si>
  <si>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</si>
  <si>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</si>
  <si>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</si>
  <si>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</si>
  <si>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</si>
  <si>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</si>
  <si>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</si>
  <si>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</si>
  <si>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</si>
  <si>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</si>
  <si>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</si>
  <si>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</si>
  <si>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</si>
  <si>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</si>
  <si>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</si>
  <si>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</si>
  <si>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</si>
  <si>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</si>
  <si>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</si>
  <si>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</si>
  <si>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</si>
  <si>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</si>
  <si>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</si>
  <si>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</si>
  <si>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</si>
  <si>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</si>
  <si>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</si>
  <si>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</si>
  <si>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</si>
  <si>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</si>
  <si>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</si>
  <si>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</si>
  <si>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</si>
  <si>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</si>
  <si>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</si>
  <si>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</si>
  <si>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</si>
  <si>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</si>
  <si>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</si>
  <si>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</si>
  <si>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</si>
  <si>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</si>
  <si>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</si>
  <si>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</si>
  <si>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</si>
  <si>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</si>
  <si>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</si>
  <si>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</si>
  <si>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</si>
  <si>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</si>
  <si>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</si>
  <si>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</si>
  <si>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</si>
  <si>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</si>
  <si>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</si>
  <si>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</si>
  <si>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</si>
  <si>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</si>
  <si>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</si>
  <si>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</si>
  <si>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</si>
  <si>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</si>
  <si>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</si>
  <si>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</si>
  <si>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</si>
  <si>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</si>
  <si>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</si>
  <si>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</si>
  <si>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</si>
  <si>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</si>
  <si>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</si>
  <si>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</si>
  <si>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</si>
  <si>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</si>
  <si>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</si>
  <si>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</si>
  <si>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</si>
  <si>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</si>
  <si>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</si>
  <si>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</si>
  <si>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</si>
  <si>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</si>
  <si>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</si>
  <si>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</si>
  <si>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</si>
  <si>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</si>
  <si>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</si>
  <si>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</si>
  <si>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</si>
  <si>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</si>
  <si>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</si>
  <si>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</si>
  <si>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</si>
  <si>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</si>
  <si>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</si>
  <si>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</si>
  <si>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</si>
  <si>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</si>
  <si>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</si>
  <si>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</si>
  <si>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</si>
  <si>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</si>
  <si>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</si>
  <si>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</si>
  <si>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</si>
  <si>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</si>
  <si>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</si>
  <si>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</si>
  <si>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</si>
  <si>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</si>
  <si>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</si>
  <si>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</si>
  <si>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</si>
  <si>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</si>
  <si>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</si>
  <si>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</si>
  <si>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</si>
  <si>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</si>
  <si>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</si>
  <si>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</si>
  <si>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</si>
  <si>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</si>
  <si>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</si>
  <si>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</si>
  <si>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</si>
  <si>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</si>
  <si>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</si>
  <si>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</si>
  <si>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</si>
  <si>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</si>
  <si>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</si>
  <si>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</si>
  <si>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</si>
  <si>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</si>
  <si>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</si>
  <si>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</si>
  <si>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</si>
  <si>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</si>
  <si>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</si>
  <si>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</si>
  <si>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</si>
  <si>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</si>
  <si>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</si>
  <si>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</si>
  <si>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</si>
  <si>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</si>
  <si>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</si>
  <si>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</si>
  <si>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</si>
  <si>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</si>
  <si>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</si>
  <si>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</si>
  <si>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</si>
  <si>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</si>
  <si>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</si>
  <si>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</si>
  <si>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</si>
  <si>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</si>
  <si>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</si>
  <si>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</si>
  <si>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</si>
  <si>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</si>
  <si>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</si>
  <si>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</si>
  <si>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</si>
  <si>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</si>
  <si>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</si>
  <si>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</si>
  <si>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</si>
  <si>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</si>
  <si>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</si>
  <si>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</si>
  <si>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</si>
  <si>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</si>
  <si>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</si>
  <si>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</si>
  <si>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</si>
  <si>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</si>
  <si>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</si>
  <si>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</si>
  <si>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</si>
  <si>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</si>
  <si>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</si>
  <si>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</si>
  <si>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</si>
  <si>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</si>
  <si>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</si>
  <si>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</si>
  <si>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</si>
  <si>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</si>
  <si>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</si>
  <si>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</si>
  <si>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</si>
  <si>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</si>
  <si>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</si>
  <si>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</si>
  <si>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</si>
  <si>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</si>
  <si>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</si>
  <si>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</si>
  <si>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</si>
  <si>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</si>
  <si>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</si>
  <si>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</si>
  <si>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</si>
  <si>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</si>
  <si>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</si>
  <si>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</si>
  <si>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</si>
  <si>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</si>
  <si>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</si>
  <si>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</si>
  <si>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</si>
  <si>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</si>
  <si>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</si>
  <si>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</si>
  <si>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</si>
  <si>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</si>
  <si>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</si>
  <si>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</si>
  <si>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</si>
  <si>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</si>
  <si>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</si>
  <si>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</si>
  <si>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</si>
  <si>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</si>
  <si>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</si>
  <si>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</si>
  <si>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</si>
  <si>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</si>
  <si>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</si>
  <si>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</si>
  <si>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</si>
  <si>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</si>
  <si>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</si>
  <si>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</si>
  <si>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</si>
  <si>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</si>
  <si>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</si>
  <si>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</si>
  <si>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</si>
  <si>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</si>
  <si>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</si>
  <si>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</si>
  <si>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</si>
  <si>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</si>
  <si>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</si>
  <si>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</si>
  <si>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</si>
  <si>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</si>
  <si>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</si>
  <si>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</si>
  <si>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</si>
  <si>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</si>
  <si>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</si>
  <si>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</si>
  <si>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</si>
  <si>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</si>
  <si>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</si>
  <si>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</si>
  <si>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</si>
  <si>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</si>
  <si>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</si>
  <si>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</si>
  <si>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</si>
  <si>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</si>
  <si>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</si>
  <si>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</si>
  <si>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</si>
  <si>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</si>
  <si>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</si>
  <si>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</si>
  <si>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</si>
  <si>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</si>
  <si>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</si>
  <si>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</si>
  <si>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</si>
  <si>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</si>
  <si>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</si>
  <si>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</si>
  <si>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</si>
  <si>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</si>
  <si>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</si>
  <si>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</si>
  <si>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</si>
  <si>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</si>
  <si>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</si>
  <si>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</si>
  <si>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</si>
  <si>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</si>
  <si>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</si>
  <si>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</si>
  <si>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</si>
  <si>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</si>
  <si>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</si>
  <si>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</si>
  <si>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</si>
  <si>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</si>
  <si>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</si>
  <si>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</si>
  <si>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</si>
  <si>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</si>
  <si>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</si>
  <si>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</si>
  <si>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</si>
  <si>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</si>
  <si>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</si>
  <si>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</si>
  <si>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</si>
  <si>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</si>
  <si>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</si>
  <si>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</si>
  <si>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</si>
  <si>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</si>
  <si>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</si>
  <si>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</si>
  <si>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</si>
  <si>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</si>
  <si>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</si>
  <si>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</si>
  <si>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</si>
  <si>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</si>
  <si>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</si>
  <si>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</si>
  <si>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</si>
  <si>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</si>
  <si>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</si>
  <si>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</si>
  <si>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</si>
  <si>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</si>
  <si>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</si>
  <si>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</si>
  <si>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</si>
  <si>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</si>
  <si>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</si>
  <si>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</si>
  <si>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</si>
  <si>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</si>
  <si>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</si>
  <si>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</si>
  <si>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</si>
  <si>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</si>
  <si>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</si>
  <si>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</si>
  <si>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</si>
  <si>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</si>
  <si>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</si>
  <si>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</si>
  <si>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</si>
  <si>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</si>
  <si>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</si>
  <si>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</si>
  <si>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</si>
  <si>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</si>
  <si>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</si>
  <si>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</si>
  <si>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</si>
  <si>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</si>
  <si>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</si>
  <si>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</si>
  <si>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</si>
  <si>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</si>
  <si>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</si>
  <si>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</si>
  <si>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</si>
  <si>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</si>
  <si>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</si>
  <si>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</si>
  <si>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</si>
  <si>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</si>
  <si>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</si>
  <si>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</si>
  <si>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</si>
  <si>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</si>
  <si>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</si>
  <si>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</si>
  <si>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</si>
  <si>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</si>
  <si>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</si>
  <si>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</si>
  <si>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</si>
  <si>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</si>
  <si>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</si>
  <si>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</si>
  <si>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</si>
  <si>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</si>
  <si>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</si>
  <si>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</si>
  <si>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</si>
  <si>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</si>
  <si>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</si>
  <si>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</si>
  <si>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</si>
  <si>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</si>
  <si>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</si>
  <si>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</si>
  <si>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</si>
  <si>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</si>
  <si>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</si>
  <si>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</si>
  <si>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</si>
  <si>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</si>
  <si>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</si>
  <si>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</si>
  <si>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</si>
  <si>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</si>
  <si>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</si>
  <si>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</si>
  <si>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</si>
  <si>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</si>
  <si>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</si>
  <si>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</si>
  <si>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</si>
  <si>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</si>
  <si>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</si>
  <si>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</si>
  <si>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</si>
  <si>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</si>
  <si>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</si>
  <si>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</si>
  <si>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</si>
  <si>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</si>
  <si>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</si>
  <si>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</si>
  <si>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</si>
  <si>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</si>
  <si>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</si>
  <si>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</si>
  <si>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</si>
  <si>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</si>
  <si>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</si>
  <si>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</si>
  <si>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</si>
  <si>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</si>
  <si>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</si>
  <si>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</si>
  <si>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</si>
  <si>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</si>
  <si>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</si>
  <si>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</si>
  <si>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</si>
  <si>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</si>
  <si>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</si>
  <si>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</si>
  <si>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</si>
  <si>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</si>
  <si>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</si>
  <si>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</si>
  <si>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</si>
  <si>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</si>
  <si>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</si>
  <si>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</si>
  <si>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</si>
  <si>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</si>
  <si>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</si>
  <si>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</si>
  <si>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</si>
  <si>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</si>
  <si>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</si>
  <si>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</si>
  <si>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</si>
  <si>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</si>
  <si>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</si>
  <si>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</si>
  <si>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</si>
  <si>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</si>
  <si>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</si>
  <si>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</si>
  <si>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</si>
  <si>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</si>
  <si>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</si>
  <si>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</si>
  <si>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</si>
  <si>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</si>
  <si>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</si>
  <si>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</si>
  <si>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</si>
  <si>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</si>
  <si>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</si>
  <si>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</si>
  <si>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</si>
  <si>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</si>
  <si>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</si>
  <si>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</si>
  <si>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</si>
  <si>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</si>
  <si>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</si>
  <si>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</si>
  <si>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</si>
  <si>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</si>
  <si>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</si>
  <si>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</si>
  <si>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</si>
  <si>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</si>
  <si>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</si>
  <si>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</si>
  <si>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</si>
  <si>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</si>
  <si>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</si>
  <si>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</si>
  <si>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</si>
  <si>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</si>
  <si>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</si>
  <si>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</si>
  <si>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</si>
  <si>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</si>
  <si>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</si>
  <si>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</si>
  <si>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</si>
  <si>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</si>
  <si>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</si>
  <si>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</si>
  <si>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</si>
  <si>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</si>
  <si>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</si>
  <si>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</si>
  <si>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</si>
  <si>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</si>
  <si>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</si>
  <si>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</si>
  <si>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</si>
  <si>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</si>
  <si>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</si>
  <si>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</si>
  <si>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</si>
  <si>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</si>
  <si>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</si>
  <si>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</si>
  <si>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</si>
  <si>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</si>
  <si>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</si>
  <si>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</si>
  <si>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</si>
  <si>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</si>
  <si>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</si>
  <si>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</si>
  <si>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</si>
  <si>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</si>
  <si>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</si>
  <si>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</si>
  <si>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</si>
  <si>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</si>
  <si>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</si>
  <si>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</si>
  <si>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</si>
  <si>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</si>
  <si>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</si>
  <si>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</si>
  <si>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</si>
  <si>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</si>
  <si>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</si>
  <si>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</si>
  <si>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</si>
  <si>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</si>
  <si>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</si>
  <si>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</si>
  <si>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</si>
  <si>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</si>
  <si>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</si>
  <si>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</si>
  <si>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</si>
  <si>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</si>
  <si>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</si>
  <si>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</si>
  <si>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</si>
  <si>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</si>
  <si>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</si>
  <si>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</si>
  <si>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</si>
  <si>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</si>
  <si>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</si>
  <si>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</si>
  <si>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</si>
  <si>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</si>
  <si>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</si>
  <si>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</si>
  <si>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</si>
  <si>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</si>
  <si>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</si>
  <si>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</si>
  <si>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</si>
  <si>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</si>
  <si>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</si>
  <si>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</si>
  <si>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</si>
  <si>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</si>
  <si>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</si>
  <si>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</si>
  <si>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</si>
  <si>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</si>
  <si>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</si>
  <si>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</si>
  <si>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</si>
  <si>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</si>
  <si>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</si>
  <si>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</si>
  <si>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</si>
  <si>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</si>
  <si>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</si>
  <si>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</si>
  <si>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</si>
  <si>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</si>
  <si>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</si>
  <si>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</si>
  <si>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</si>
  <si>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</si>
  <si>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</si>
  <si>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</si>
  <si>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</si>
  <si>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</si>
  <si>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</si>
  <si>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</si>
  <si>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</si>
  <si>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</si>
  <si>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</si>
  <si>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</si>
  <si>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</si>
  <si>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</si>
  <si>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</si>
  <si>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</si>
  <si>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</si>
  <si>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</si>
  <si>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</si>
  <si>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</si>
  <si>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</si>
  <si>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</si>
  <si>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</si>
  <si>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</si>
  <si>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</si>
  <si>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</si>
  <si>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</si>
  <si>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</si>
  <si>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</si>
  <si>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</si>
  <si>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</si>
  <si>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</si>
  <si>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</si>
  <si>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</si>
  <si>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</si>
  <si>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</si>
  <si>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</si>
  <si>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</si>
  <si>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</si>
  <si>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</si>
  <si>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</si>
  <si>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</si>
  <si>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</si>
  <si>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</si>
  <si>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</si>
  <si>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</si>
  <si>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</si>
  <si>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</si>
  <si>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</si>
  <si>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</si>
  <si>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</si>
  <si>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</si>
  <si>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</si>
  <si>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</si>
  <si>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</si>
  <si>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</si>
  <si>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</si>
  <si>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</si>
  <si>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</si>
  <si>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</si>
  <si>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</si>
  <si>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</si>
  <si>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</si>
  <si>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</si>
  <si>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</si>
  <si>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</si>
  <si>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</si>
  <si>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</si>
  <si>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</si>
  <si>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</si>
  <si>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</si>
  <si>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</si>
  <si>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</si>
  <si>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</si>
  <si>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</si>
  <si>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</si>
  <si>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</si>
  <si>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</si>
  <si>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</si>
  <si>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</si>
  <si>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</si>
  <si>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</si>
  <si>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</si>
  <si>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</si>
  <si>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</si>
  <si>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</si>
  <si>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</si>
  <si>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</si>
  <si>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</si>
  <si>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</si>
  <si>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</si>
  <si>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</si>
  <si>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</si>
  <si>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</si>
  <si>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</si>
  <si>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</si>
  <si>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</si>
  <si>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</si>
  <si>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</si>
  <si>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</si>
  <si>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</si>
  <si>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</si>
  <si>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</si>
  <si>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</si>
  <si>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</si>
  <si>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</si>
  <si>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</si>
  <si>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</si>
  <si>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</si>
  <si>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</si>
  <si>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</si>
  <si>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</si>
  <si>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</si>
  <si>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</si>
  <si>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</si>
  <si>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</si>
  <si>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</si>
  <si>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</si>
  <si>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</si>
  <si>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</si>
  <si>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</si>
  <si>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</si>
  <si>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</si>
  <si>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</si>
  <si>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</si>
  <si>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</si>
  <si>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</si>
  <si>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</si>
  <si>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</si>
  <si>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</si>
  <si>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</si>
  <si>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</si>
  <si>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</si>
  <si>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</si>
  <si>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</si>
  <si>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</si>
  <si>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</si>
  <si>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</si>
  <si>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</si>
  <si>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</si>
  <si>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</si>
  <si>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</si>
  <si>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</si>
  <si>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</si>
  <si>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</si>
  <si>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</si>
  <si>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</si>
  <si>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</si>
  <si>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</si>
  <si>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</si>
  <si>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</si>
  <si>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</si>
  <si>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</si>
  <si>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</si>
  <si>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</si>
  <si>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</si>
  <si>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</si>
  <si>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</si>
  <si>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</si>
  <si>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</si>
  <si>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</si>
  <si>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</si>
  <si>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</si>
  <si>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</si>
  <si>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</si>
  <si>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</si>
  <si>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</si>
  <si>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</si>
  <si>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</si>
  <si>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</si>
  <si>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</si>
  <si>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</si>
  <si>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</si>
  <si>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</si>
  <si>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</si>
  <si>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</si>
  <si>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</si>
  <si>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</si>
  <si>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</si>
  <si>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</si>
  <si>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</si>
  <si>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</si>
  <si>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</si>
  <si>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</si>
  <si>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</si>
  <si>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</si>
  <si>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</si>
  <si>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</si>
  <si>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</si>
  <si>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</si>
  <si>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</si>
  <si>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</si>
  <si>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</si>
  <si>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</si>
  <si>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</si>
  <si>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</si>
  <si>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</si>
  <si>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</si>
  <si>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</si>
  <si>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</si>
  <si>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</si>
  <si>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</si>
  <si>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</si>
  <si>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</si>
  <si>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</si>
  <si>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</si>
  <si>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</si>
  <si>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</si>
  <si>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</si>
  <si>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</si>
  <si>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</si>
  <si>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</si>
  <si>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</si>
  <si>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</si>
  <si>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</si>
  <si>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</si>
  <si>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</si>
  <si>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</si>
  <si>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</si>
  <si>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</si>
  <si>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</si>
  <si>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</si>
  <si>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</si>
  <si>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</si>
  <si>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</si>
  <si>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</si>
  <si>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</si>
  <si>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</si>
  <si>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</si>
  <si>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</si>
  <si>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</si>
  <si>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</si>
  <si>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</si>
  <si>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</si>
  <si>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</si>
  <si>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</si>
  <si>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</si>
  <si>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</si>
  <si>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</si>
  <si>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</si>
  <si>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</si>
  <si>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</si>
  <si>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</si>
  <si>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</si>
  <si>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</si>
  <si>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</si>
  <si>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</si>
  <si>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</si>
  <si>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</si>
  <si>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</si>
  <si>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</si>
  <si>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</si>
  <si>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</si>
  <si>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</si>
  <si>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</si>
  <si>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</si>
  <si>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</si>
  <si>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</si>
  <si>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</si>
  <si>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</si>
  <si>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</si>
  <si>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</si>
  <si>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</si>
  <si>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</si>
  <si>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</si>
  <si>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</si>
  <si>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</si>
  <si>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</si>
  <si>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</si>
  <si>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</si>
  <si>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</si>
  <si>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</si>
  <si>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</si>
  <si>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</si>
  <si>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</si>
  <si>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</si>
  <si>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</si>
  <si>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</si>
  <si>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</si>
  <si>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</si>
  <si>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</si>
  <si>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</si>
  <si>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</si>
  <si>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</si>
  <si>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</si>
  <si>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</si>
  <si>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</si>
  <si>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</si>
  <si>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</si>
  <si>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</si>
  <si>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</si>
  <si>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</si>
  <si>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</si>
  <si>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</si>
  <si>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</si>
  <si>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</si>
  <si>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</si>
  <si>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</si>
  <si>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</si>
  <si>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</si>
  <si>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</si>
  <si>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</si>
  <si>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</si>
  <si>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</si>
  <si>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</si>
  <si>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</si>
  <si>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</si>
  <si>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</si>
  <si>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</si>
  <si>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</si>
  <si>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</si>
  <si>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</si>
  <si>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</si>
  <si>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</si>
  <si>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</si>
  <si>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</si>
  <si>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</si>
  <si>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</si>
  <si>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</si>
  <si>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</si>
  <si>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</si>
  <si>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</si>
  <si>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</si>
  <si>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</si>
  <si>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</si>
  <si>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</si>
  <si>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</si>
  <si>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</si>
  <si>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</si>
  <si>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</si>
  <si>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</si>
  <si>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</si>
  <si>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</si>
  <si>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</si>
  <si>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</si>
  <si>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</si>
  <si>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</si>
  <si>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</si>
  <si>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</si>
  <si>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</si>
  <si>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</si>
  <si>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</si>
  <si>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</si>
  <si>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</si>
  <si>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</si>
  <si>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</si>
  <si>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</si>
  <si>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</si>
  <si>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</si>
  <si>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</si>
  <si>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</si>
  <si>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</si>
  <si>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</si>
  <si>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</si>
  <si>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</si>
  <si>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</si>
  <si>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</si>
  <si>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</si>
  <si>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</si>
  <si>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</si>
  <si>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</si>
  <si>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</si>
  <si>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</si>
  <si>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</si>
  <si>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</si>
  <si>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</si>
  <si>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</si>
  <si>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</si>
  <si>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</si>
  <si>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</si>
  <si>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</si>
  <si>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</si>
  <si>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</si>
  <si>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</si>
  <si>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</si>
  <si>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</si>
  <si>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</si>
  <si>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</si>
  <si>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</si>
  <si>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</si>
  <si>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</si>
  <si>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</si>
  <si>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</si>
  <si>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</si>
  <si>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</si>
  <si>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</si>
  <si>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</si>
  <si>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</si>
  <si>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</si>
  <si>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</si>
  <si>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</si>
  <si>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</si>
  <si>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</si>
  <si>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</si>
  <si>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</si>
  <si>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</si>
  <si>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</si>
  <si>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</si>
  <si>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</si>
  <si>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</si>
  <si>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</si>
  <si>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</si>
  <si>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</si>
  <si>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</si>
  <si>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</si>
  <si>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</si>
  <si>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</si>
  <si>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</si>
  <si>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</si>
  <si>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</si>
  <si>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</si>
  <si>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</si>
  <si>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</si>
  <si>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</si>
  <si>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</si>
  <si>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</si>
  <si>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</si>
  <si>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</si>
  <si>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</si>
  <si>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</si>
  <si>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</si>
  <si>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</si>
  <si>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</si>
  <si>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</si>
  <si>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</si>
  <si>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</si>
  <si>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</si>
  <si>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</si>
  <si>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</si>
  <si>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</si>
  <si>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</si>
  <si>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</si>
  <si>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</si>
  <si>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</si>
  <si>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</si>
  <si>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</si>
  <si>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</si>
  <si>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</si>
  <si>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</si>
  <si>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</si>
  <si>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</si>
  <si>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</si>
  <si>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</si>
  <si>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</si>
  <si>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</si>
  <si>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</si>
  <si>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</si>
  <si>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</si>
  <si>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</si>
  <si>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</si>
  <si>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</si>
  <si>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</si>
  <si>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</si>
  <si>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</si>
  <si>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</si>
  <si>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</si>
  <si>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</si>
  <si>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</si>
  <si>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</si>
  <si>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</si>
  <si>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</si>
  <si>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</si>
  <si>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</si>
  <si>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</si>
  <si>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</si>
  <si>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</si>
  <si>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</si>
  <si>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</si>
  <si>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</si>
  <si>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</si>
  <si>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</si>
  <si>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</si>
  <si>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</si>
  <si>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</si>
  <si>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</si>
  <si>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</si>
  <si>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</si>
  <si>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</si>
  <si>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</si>
  <si>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</si>
  <si>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</si>
  <si>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</si>
  <si>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</si>
  <si>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</si>
  <si>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</si>
  <si>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</si>
  <si>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</si>
  <si>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</si>
  <si>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</si>
  <si>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</si>
  <si>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</si>
  <si>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</si>
  <si>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</si>
  <si>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</si>
  <si>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</si>
  <si>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</si>
  <si>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</si>
  <si>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</si>
  <si>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</si>
  <si>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</si>
  <si>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</si>
  <si>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</si>
  <si>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</si>
  <si>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</si>
  <si>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</si>
  <si>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</si>
  <si>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</si>
  <si>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</si>
  <si>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</si>
  <si>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</si>
  <si>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</si>
  <si>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</si>
  <si>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</si>
  <si>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</si>
  <si>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</si>
  <si>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</si>
  <si>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</si>
  <si>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</si>
  <si>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</si>
  <si>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</si>
  <si>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</si>
  <si>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</si>
  <si>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</si>
  <si>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</si>
  <si>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</si>
  <si>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</si>
  <si>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</si>
  <si>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</si>
  <si>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</si>
  <si>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</si>
  <si>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</si>
  <si>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</si>
  <si>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</si>
  <si>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</si>
  <si>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</si>
  <si>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</si>
  <si>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</si>
  <si>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</si>
  <si>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</si>
  <si>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</si>
  <si>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</si>
  <si>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</si>
  <si>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</si>
  <si>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</si>
  <si>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</si>
  <si>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</si>
  <si>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</si>
  <si>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</si>
  <si>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</si>
  <si>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</si>
  <si>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</si>
  <si>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</si>
  <si>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</si>
  <si>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</si>
  <si>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</si>
  <si>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</si>
  <si>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</si>
  <si>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</si>
  <si>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</si>
  <si>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</si>
  <si>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</si>
  <si>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</si>
  <si>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</si>
  <si>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</si>
  <si>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</si>
  <si>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</si>
  <si>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</si>
  <si>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</si>
  <si>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</si>
  <si>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</si>
  <si>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</si>
  <si>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</si>
  <si>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</si>
  <si>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</si>
  <si>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</si>
  <si>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</si>
  <si>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</si>
  <si>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</si>
  <si>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</si>
  <si>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</si>
  <si>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</si>
  <si>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</si>
  <si>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</si>
  <si>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</si>
  <si>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</si>
  <si>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</si>
  <si>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</si>
  <si>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</si>
  <si>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</si>
  <si>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</si>
  <si>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</si>
  <si>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</si>
  <si>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</si>
  <si>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</si>
  <si>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</si>
  <si>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</si>
  <si>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</si>
  <si>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</si>
  <si>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</si>
  <si>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</si>
  <si>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</si>
  <si>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</si>
  <si>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</si>
  <si>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</si>
  <si>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</si>
  <si>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</si>
  <si>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</si>
  <si>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</si>
  <si>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</si>
  <si>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</si>
  <si>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</si>
  <si>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</si>
  <si>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</si>
  <si>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</si>
  <si>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</si>
  <si>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</si>
  <si>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</si>
  <si>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</si>
  <si>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</si>
  <si>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</si>
  <si>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</si>
  <si>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</si>
  <si>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</si>
  <si>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</si>
  <si>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</si>
  <si>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</si>
  <si>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</si>
  <si>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</si>
  <si>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</si>
  <si>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</si>
  <si>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</si>
  <si>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</si>
  <si>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</si>
  <si>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</si>
  <si>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</si>
  <si>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</si>
  <si>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</si>
  <si>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</si>
  <si>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</si>
  <si>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</si>
  <si>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</si>
  <si>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</si>
  <si>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</si>
  <si>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</si>
  <si>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</si>
  <si>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</si>
  <si>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</si>
  <si>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</si>
  <si>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</si>
  <si>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</si>
  <si>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</si>
  <si>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</si>
  <si>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</si>
  <si>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</si>
  <si>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</si>
  <si>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</si>
  <si>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</si>
  <si>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</si>
  <si>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</si>
  <si>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</si>
  <si>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</si>
  <si>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</si>
  <si>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</si>
  <si>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</si>
  <si>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</si>
  <si>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</si>
  <si>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</si>
  <si>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</si>
  <si>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</si>
  <si>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</si>
  <si>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</si>
  <si>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</si>
  <si>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</si>
  <si>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</si>
  <si>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</si>
  <si>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</si>
  <si>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</si>
  <si>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</si>
  <si>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</si>
  <si>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</si>
  <si>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</si>
  <si>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</si>
  <si>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</si>
  <si>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</si>
  <si>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</si>
  <si>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</si>
  <si>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</si>
  <si>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</si>
  <si>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</si>
  <si>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</si>
  <si>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</si>
  <si>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</si>
  <si>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</si>
  <si>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</si>
  <si>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</si>
  <si>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</si>
  <si>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</si>
  <si>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</si>
  <si>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</si>
  <si>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</si>
  <si>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</si>
  <si>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</si>
  <si>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</si>
  <si>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</si>
  <si>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</si>
  <si>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</si>
  <si>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</si>
  <si>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</si>
  <si>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</si>
  <si>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</si>
  <si>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</si>
  <si>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</si>
  <si>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</si>
  <si>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</si>
  <si>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</si>
  <si>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</si>
  <si>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</si>
  <si>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</si>
  <si>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</si>
  <si>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</si>
  <si>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</si>
  <si>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</si>
  <si>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</si>
  <si>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</si>
  <si>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</si>
  <si>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</si>
  <si>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</si>
  <si>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</si>
  <si>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</si>
  <si>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</si>
  <si>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</si>
  <si>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</si>
  <si>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</si>
  <si>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</si>
  <si>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</si>
  <si>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</si>
  <si>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</si>
  <si>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</si>
  <si>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</si>
  <si>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</si>
  <si>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</si>
  <si>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</si>
  <si>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</si>
  <si>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</si>
  <si>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</si>
  <si>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</si>
  <si>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</si>
  <si>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</si>
  <si>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</si>
  <si>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</si>
  <si>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</si>
  <si>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</si>
  <si>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</si>
  <si>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</si>
  <si>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</si>
  <si>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</si>
  <si>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</si>
  <si>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</si>
  <si>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</si>
  <si>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</si>
  <si>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</si>
  <si>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</si>
  <si>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</si>
  <si>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</si>
  <si>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</si>
  <si>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</si>
  <si>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</si>
  <si>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</si>
  <si>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</si>
  <si>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</si>
  <si>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</si>
  <si>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</si>
  <si>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</si>
  <si>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</si>
  <si>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</si>
  <si>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</si>
  <si>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</si>
  <si>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</si>
  <si>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</si>
  <si>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</si>
  <si>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</si>
  <si>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</si>
  <si>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</si>
  <si>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</si>
  <si>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</si>
  <si>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</si>
  <si>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</si>
  <si>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</si>
  <si>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</si>
  <si>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</si>
  <si>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</si>
  <si>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</si>
  <si>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</si>
  <si>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</si>
  <si>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</si>
  <si>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</si>
  <si>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</si>
  <si>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</si>
  <si>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</si>
  <si>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</si>
  <si>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</si>
  <si>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</si>
  <si>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</si>
  <si>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</si>
  <si>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</si>
  <si>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</si>
  <si>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</si>
  <si>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</si>
  <si>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</si>
  <si>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</si>
  <si>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</si>
  <si>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</si>
  <si>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</si>
  <si>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</si>
  <si>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</si>
  <si>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</si>
  <si>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</si>
  <si>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</si>
  <si>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</si>
  <si>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</si>
  <si>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</si>
  <si>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</si>
  <si>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</si>
  <si>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</si>
  <si>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</si>
  <si>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</si>
  <si>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</si>
  <si>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</si>
  <si>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</si>
  <si>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</si>
  <si>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</si>
  <si>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</si>
  <si>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</si>
  <si>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</si>
  <si>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</si>
  <si>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</si>
  <si>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</si>
  <si>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</si>
  <si>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</si>
  <si>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</si>
  <si>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</si>
  <si>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</si>
  <si>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</si>
  <si>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</si>
  <si>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</si>
  <si>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</si>
  <si>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</si>
  <si>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</si>
  <si>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</si>
  <si>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</si>
  <si>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</si>
  <si>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</si>
  <si>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</si>
  <si>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</si>
  <si>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</si>
  <si>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</si>
  <si>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</si>
  <si>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</si>
  <si>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</si>
  <si>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</si>
  <si>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</si>
  <si>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</si>
  <si>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</si>
  <si>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</si>
  <si>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</si>
  <si>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</si>
  <si>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</si>
  <si>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</si>
  <si>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</si>
  <si>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</si>
  <si>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</si>
  <si>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</si>
  <si>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</si>
  <si>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</si>
  <si>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</si>
  <si>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</si>
  <si>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</si>
  <si>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</si>
  <si>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</si>
  <si>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</si>
  <si>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</si>
  <si>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</si>
  <si>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</si>
  <si>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</si>
  <si>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</si>
  <si>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</si>
  <si>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</si>
  <si>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</si>
  <si>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</si>
  <si>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</si>
  <si>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</si>
  <si>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</si>
  <si>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</si>
  <si>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</si>
  <si>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</si>
  <si>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</si>
  <si>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</si>
  <si>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</si>
  <si>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</si>
  <si>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</si>
  <si>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</si>
  <si>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</si>
  <si>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</si>
  <si>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</si>
  <si>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</si>
  <si>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</si>
  <si>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</si>
  <si>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</si>
  <si>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</si>
  <si>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</si>
  <si>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</si>
  <si>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</si>
  <si>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</si>
  <si>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</si>
  <si>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</si>
  <si>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</si>
  <si>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</si>
  <si>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</si>
  <si>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</si>
  <si>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</si>
  <si>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</si>
  <si>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</si>
  <si>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</si>
  <si>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</si>
  <si>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</si>
  <si>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</si>
  <si>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</si>
  <si>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</si>
  <si>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</si>
  <si>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</si>
  <si>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</si>
  <si>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</si>
  <si>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</si>
  <si>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</si>
  <si>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</si>
  <si>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</si>
  <si>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</si>
  <si>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</si>
  <si>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</si>
  <si>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</si>
  <si>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</si>
  <si>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</si>
  <si>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</si>
  <si>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</si>
  <si>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</si>
  <si>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</si>
  <si>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</si>
  <si>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</si>
  <si>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</si>
  <si>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</si>
  <si>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</si>
  <si>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</si>
  <si>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</si>
  <si>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</si>
  <si>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</si>
  <si>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</si>
  <si>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</si>
  <si>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</si>
  <si>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</si>
  <si>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</si>
  <si>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</si>
  <si>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</si>
  <si>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</si>
  <si>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</si>
  <si>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</si>
  <si>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</si>
  <si>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</si>
  <si>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</si>
  <si>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</si>
  <si>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</si>
  <si>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</si>
  <si>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</si>
  <si>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</si>
  <si>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</si>
  <si>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</si>
  <si>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</si>
  <si>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</si>
  <si>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</si>
  <si>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</si>
  <si>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</si>
  <si>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</si>
  <si>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</si>
  <si>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</si>
  <si>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</si>
  <si>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</si>
  <si>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</si>
  <si>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</si>
  <si>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</si>
  <si>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</si>
  <si>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</si>
  <si>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</si>
  <si>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</si>
  <si>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</si>
  <si>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</si>
  <si>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</si>
  <si>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</si>
  <si>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</si>
  <si>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</si>
  <si>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</si>
  <si>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</si>
  <si>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</si>
  <si>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</si>
  <si>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</si>
  <si>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</si>
  <si>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</si>
  <si>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</si>
  <si>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</si>
  <si>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</si>
  <si>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</si>
  <si>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</si>
  <si>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</si>
  <si>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</si>
  <si>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</si>
  <si>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</si>
  <si>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</si>
  <si>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</si>
  <si>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</si>
  <si>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</si>
  <si>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</si>
  <si>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</si>
  <si>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</si>
  <si>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</si>
  <si>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</si>
  <si>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</si>
  <si>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</si>
  <si>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</si>
  <si>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</si>
  <si>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</si>
  <si>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</si>
  <si>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</si>
  <si>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</si>
  <si>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</si>
  <si>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</si>
  <si>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</si>
  <si>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</si>
  <si>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</si>
  <si>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</si>
  <si>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</si>
  <si>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</si>
  <si>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</si>
  <si>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</si>
  <si>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</si>
  <si>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</si>
  <si>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</si>
  <si>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</si>
  <si>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</si>
  <si>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</si>
  <si>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</si>
  <si>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</si>
  <si>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</si>
  <si>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</si>
  <si>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</si>
  <si>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</si>
  <si>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</si>
  <si>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</si>
  <si>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</si>
  <si>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</si>
  <si>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</si>
  <si>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</si>
  <si>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</si>
  <si>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</si>
  <si>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</si>
  <si>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</si>
  <si>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</si>
  <si>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</si>
  <si>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</si>
  <si>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</si>
  <si>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</si>
  <si>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</si>
  <si>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</si>
  <si>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</si>
  <si>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</si>
  <si>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</si>
  <si>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</si>
  <si>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</si>
  <si>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</si>
  <si>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</si>
  <si>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</si>
  <si>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</si>
  <si>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</si>
  <si>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</si>
  <si>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</si>
  <si>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</si>
  <si>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</si>
  <si>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</si>
  <si>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</si>
  <si>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</si>
  <si>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</si>
  <si>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</si>
  <si>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</si>
  <si>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</si>
  <si>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</si>
  <si>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</si>
  <si>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</si>
  <si>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</si>
  <si>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</si>
  <si>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</si>
  <si>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</si>
  <si>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</si>
  <si>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</si>
  <si>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</si>
  <si>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</si>
  <si>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</si>
  <si>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</si>
  <si>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</si>
  <si>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</si>
  <si>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</si>
  <si>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</si>
  <si>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</si>
  <si>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</si>
  <si>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</si>
  <si>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</si>
  <si>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</si>
  <si>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</si>
  <si>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</si>
  <si>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</si>
  <si>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</si>
  <si>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</si>
  <si>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</si>
  <si>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</si>
  <si>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</si>
  <si>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</si>
  <si>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</si>
  <si>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</si>
  <si>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</si>
  <si>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</si>
  <si>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</si>
  <si>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</si>
  <si>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</si>
  <si>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</si>
  <si>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</si>
  <si>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</si>
  <si>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</si>
  <si>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</si>
  <si>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</si>
  <si>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</si>
  <si>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</si>
  <si>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</si>
  <si>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</si>
  <si>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</si>
  <si>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</si>
  <si>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</si>
  <si>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</si>
  <si>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</si>
  <si>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</si>
  <si>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</si>
  <si>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</si>
  <si>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</si>
  <si>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</si>
  <si>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</si>
  <si>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</si>
  <si>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</si>
  <si>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</si>
  <si>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</si>
  <si>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</si>
  <si>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</si>
  <si>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</si>
  <si>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</si>
  <si>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</si>
  <si>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</si>
  <si>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</si>
  <si>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</si>
  <si>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</si>
  <si>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</si>
  <si>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</si>
  <si>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</si>
  <si>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</si>
  <si>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</si>
  <si>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</si>
  <si>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</si>
  <si>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</si>
  <si>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</si>
  <si>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</si>
  <si>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</si>
  <si>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</si>
  <si>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</si>
  <si>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</si>
  <si>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</si>
  <si>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</si>
  <si>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</si>
  <si>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</si>
  <si>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</si>
  <si>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</si>
  <si>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</si>
  <si>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</si>
  <si>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</si>
  <si>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</si>
  <si>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</si>
  <si>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</si>
  <si>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</si>
  <si>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</si>
  <si>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</si>
  <si>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</si>
  <si>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</si>
  <si>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</si>
  <si>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</si>
  <si>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</si>
  <si>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</si>
  <si>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</si>
  <si>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</si>
  <si>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</si>
  <si>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</si>
  <si>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</si>
  <si>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</si>
  <si>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</si>
  <si>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</si>
  <si>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</si>
  <si>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</si>
  <si>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</si>
  <si>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</si>
  <si>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</si>
  <si>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</si>
  <si>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</si>
  <si>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</si>
  <si>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</si>
  <si>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</si>
  <si>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</si>
  <si>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</si>
  <si>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</si>
  <si>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</si>
  <si>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</si>
  <si>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</si>
  <si>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</si>
  <si>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</si>
  <si>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</si>
  <si>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</si>
  <si>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</si>
  <si>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</si>
  <si>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</si>
  <si>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</si>
  <si>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</si>
  <si>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</si>
  <si>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</si>
  <si>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</si>
  <si>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</si>
  <si>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</si>
  <si>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</si>
  <si>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</si>
  <si>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</si>
  <si>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</si>
  <si>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</si>
  <si>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</si>
  <si>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</si>
  <si>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</si>
  <si>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</si>
  <si>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</si>
  <si>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</si>
  <si>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</si>
  <si>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</si>
  <si>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</si>
  <si>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</si>
  <si>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</si>
  <si>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</si>
  <si>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</si>
  <si>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</si>
  <si>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</si>
  <si>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</si>
  <si>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</si>
  <si>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</si>
  <si>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</si>
  <si>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</si>
  <si>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</si>
  <si>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</si>
  <si>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</si>
  <si>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</si>
  <si>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</si>
  <si>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</si>
  <si>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</si>
  <si>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</si>
  <si>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</si>
  <si>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</si>
  <si>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</si>
  <si>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</si>
  <si>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</si>
  <si>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</si>
  <si>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</si>
  <si>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</si>
  <si>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</si>
  <si>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</si>
  <si>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</si>
  <si>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</si>
  <si>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</si>
  <si>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</si>
  <si>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</si>
  <si>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</si>
  <si>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</si>
  <si>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</si>
  <si>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</si>
  <si>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</si>
  <si>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</si>
  <si>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</si>
  <si>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</si>
  <si>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</si>
  <si>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</si>
  <si>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</si>
  <si>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</si>
  <si>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</si>
  <si>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</si>
  <si>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</si>
  <si>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</si>
  <si>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</si>
  <si>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</si>
  <si>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</si>
  <si>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</si>
  <si>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</si>
  <si>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</si>
  <si>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</si>
  <si>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</si>
  <si>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</si>
  <si>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</si>
  <si>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</si>
  <si>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</si>
  <si>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</si>
  <si>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</si>
  <si>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</si>
  <si>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</si>
  <si>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</si>
  <si>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</si>
  <si>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</si>
  <si>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</si>
  <si>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</si>
  <si>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</si>
  <si>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</si>
  <si>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</si>
  <si>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</si>
  <si>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</si>
  <si>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</si>
  <si>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</si>
  <si>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</si>
  <si>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</si>
  <si>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</si>
  <si>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</si>
  <si>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</si>
  <si>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</si>
  <si>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</si>
  <si>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</si>
  <si>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</si>
  <si>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</si>
  <si>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</si>
  <si>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</si>
  <si>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</si>
  <si>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</si>
  <si>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</si>
  <si>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</si>
  <si>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</si>
  <si>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</si>
  <si>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</si>
  <si>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</si>
  <si>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</si>
  <si>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</si>
  <si>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</si>
  <si>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</si>
  <si>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</si>
  <si>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</si>
  <si>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</si>
  <si>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</si>
  <si>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</si>
  <si>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</si>
  <si>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</si>
  <si>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</si>
  <si>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</si>
  <si>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</si>
  <si>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Christian</t>
  </si>
  <si>
    <t>NPT Special Education Cooperative</t>
  </si>
  <si>
    <t>815 Springfield Road, Suite B</t>
  </si>
  <si>
    <t>ksuey@tcusd3.org</t>
  </si>
  <si>
    <t>217-824-7790</t>
  </si>
  <si>
    <t>217-824-5157</t>
  </si>
  <si>
    <t>Kelly Suey, Executive Director</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</si>
  <si>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</si>
  <si>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</si>
  <si>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</si>
  <si>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</si>
  <si>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</si>
  <si>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</si>
  <si>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</si>
  <si>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</si>
  <si>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</si>
  <si>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</si>
  <si>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</si>
  <si>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</si>
  <si>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</si>
  <si>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</si>
  <si>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</si>
  <si>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</si>
  <si>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</si>
  <si>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</si>
  <si>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</si>
  <si>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Estimated Indirect Cost Data</t>
  </si>
  <si>
    <t>Other Schedules and Itemizations:</t>
  </si>
  <si>
    <t>Itemization Schedule</t>
  </si>
  <si>
    <t>Reference Page</t>
  </si>
  <si>
    <t>Auditor's Questionnaire</t>
  </si>
  <si>
    <t>Current Year Payment on Contracts for Indirect Cost Rate Computation</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</si>
  <si>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</si>
  <si>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</si>
  <si>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</si>
  <si>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</si>
  <si>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</si>
  <si>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</si>
  <si>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NPT SPECIAL EDUCATION COOPERATIVE</t>
  </si>
  <si>
    <t>FISCAL YEAR ENDED JUNE 30, 2020</t>
  </si>
  <si>
    <t>24-30</t>
  </si>
  <si>
    <t>34-35</t>
  </si>
  <si>
    <t>Not applicable</t>
  </si>
  <si>
    <t>Supplementary Schedule:</t>
  </si>
  <si>
    <t>Page 14 - Acct # 4998 - Educational Fund - $71,575 represents STEP Performance federal grant proceeds.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</si>
</sst>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4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46" fillId="0" borderId="0" xfId="3" applyFont="1"/>
    <xf numFmtId="0" fontId="145" fillId="0" borderId="0" xfId="3" applyFont="1" applyAlignment="1">
      <alignment horizontal="center"/>
    </xf>
    <xf numFmtId="0" fontId="144" fillId="0" borderId="0" xfId="3" applyFont="1" applyAlignment="1">
      <alignment horizontal="center"/>
    </xf>
    <xf numFmtId="0" fontId="146" fillId="0" borderId="0" xfId="3" applyFont="1" applyAlignment="1">
      <alignment horizontal="center"/>
    </xf>
    <xf numFmtId="16" fontId="147" fillId="0" borderId="0" xfId="3" applyNumberFormat="1" applyFont="1" applyAlignment="1">
      <alignment horizontal="center"/>
    </xf>
    <xf numFmtId="0" fontId="148" fillId="0" borderId="0" xfId="3" applyFont="1" applyAlignment="1">
      <alignment horizontal="left"/>
    </xf>
    <xf numFmtId="16" fontId="148" fillId="0" borderId="0" xfId="3" quotePrefix="1" applyNumberFormat="1" applyFont="1" applyAlignment="1">
      <alignment horizontal="center"/>
    </xf>
    <xf numFmtId="0" fontId="148" fillId="0" borderId="0" xfId="3" applyFont="1"/>
    <xf numFmtId="0" fontId="147" fillId="0" borderId="0" xfId="3" applyFont="1" applyAlignment="1">
      <alignment horizontal="left"/>
    </xf>
    <xf numFmtId="0" fontId="148" fillId="0" borderId="0" xfId="3" quotePrefix="1" applyFont="1"/>
    <xf numFmtId="0" fontId="148" fillId="0" borderId="0" xfId="3" applyFont="1" applyAlignment="1">
      <alignment horizontal="center"/>
    </xf>
    <xf numFmtId="0" fontId="148" fillId="0" borderId="0" xfId="3" quotePrefix="1" applyFont="1" applyAlignment="1">
      <alignment horizontal="center"/>
    </xf>
    <xf numFmtId="0" fontId="149" fillId="0" borderId="0" xfId="3" applyFont="1"/>
    <xf numFmtId="0" fontId="149" fillId="0" borderId="0" xfId="3" applyFont="1" applyAlignment="1">
      <alignment horizontal="center"/>
    </xf>
    <xf numFmtId="0" fontId="150" fillId="0" borderId="0" xfId="3" applyFont="1"/>
    <xf numFmtId="0" fontId="150" fillId="0" borderId="0" xfId="3" applyFont="1" applyAlignment="1">
      <alignment horizontal="center"/>
    </xf>
    <xf numFmtId="0" fontId="151" fillId="0" borderId="0" xfId="3" applyFont="1"/>
    <xf numFmtId="0" fontId="46" fillId="0" borderId="0" xfId="3" applyFont="1" applyAlignment="1">
      <alignment horizontal="center"/>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quotePrefix="1"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144" fillId="0" borderId="0" xfId="3" applyFont="1" applyAlignment="1">
      <alignment horizontal="center"/>
    </xf>
    <xf numFmtId="0" fontId="145" fillId="0" borderId="0" xfId="3" applyFont="1" applyAlignment="1">
      <alignment horizont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115" zoomScaleNormal="115"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402</v>
      </c>
      <c r="J1" s="2135"/>
      <c r="K1" s="2135"/>
      <c r="L1" s="2135"/>
      <c r="M1" s="2135"/>
      <c r="N1" s="2135"/>
      <c r="O1" s="2135"/>
      <c r="P1" s="2135"/>
      <c r="Q1" s="2135"/>
      <c r="R1" s="2135"/>
      <c r="S1" s="2135"/>
    </row>
    <row r="2" spans="1:32" ht="12" customHeight="1" x14ac:dyDescent="0.2">
      <c r="A2" s="1831" t="str">
        <f>"Due to ISBE on "</f>
        <v xml:space="preserve">Due to ISBE on </v>
      </c>
      <c r="B2" s="2057">
        <f>+'AFR20'!F4</f>
        <v>44151</v>
      </c>
      <c r="C2" s="2057"/>
      <c r="D2" s="2058"/>
      <c r="I2" s="2136" t="s">
        <v>2003</v>
      </c>
      <c r="J2" s="2135"/>
      <c r="K2" s="2135"/>
      <c r="L2" s="2135"/>
      <c r="M2" s="2135"/>
      <c r="N2" s="2135"/>
      <c r="O2" s="2135"/>
      <c r="P2" s="2135"/>
      <c r="Q2" s="2135"/>
      <c r="R2" s="2135"/>
      <c r="S2" s="2135"/>
    </row>
    <row r="3" spans="1:32" ht="12" customHeight="1" x14ac:dyDescent="0.2">
      <c r="A3" s="1834" t="str">
        <f>"SD/JA"&amp;MID('AFR20'!E2,3,2)</f>
        <v>SD/JA20</v>
      </c>
      <c r="B3" s="151"/>
      <c r="C3" s="151"/>
      <c r="D3" s="152"/>
      <c r="I3" s="2136" t="s">
        <v>52</v>
      </c>
      <c r="J3" s="2135"/>
      <c r="K3" s="2135"/>
      <c r="L3" s="2135"/>
      <c r="M3" s="2135"/>
      <c r="N3" s="2135"/>
      <c r="O3" s="2135"/>
      <c r="P3" s="2135"/>
      <c r="Q3" s="2135"/>
      <c r="R3" s="2135"/>
      <c r="S3" s="2135"/>
    </row>
    <row r="4" spans="1:32" ht="12" customHeight="1" x14ac:dyDescent="0.2">
      <c r="A4" s="37"/>
      <c r="I4" s="2136" t="s">
        <v>521</v>
      </c>
      <c r="J4" s="2135"/>
      <c r="K4" s="2135"/>
      <c r="L4" s="2135"/>
      <c r="M4" s="2135"/>
      <c r="N4" s="2135"/>
      <c r="O4" s="2135"/>
      <c r="P4" s="2135"/>
      <c r="Q4" s="2135"/>
      <c r="R4" s="2135"/>
      <c r="S4" s="2135"/>
    </row>
    <row r="5" spans="1:32" ht="14.1" customHeight="1" x14ac:dyDescent="0.2">
      <c r="B5" s="101"/>
      <c r="C5" s="26" t="s">
        <v>904</v>
      </c>
      <c r="D5" s="81"/>
      <c r="E5" s="81"/>
      <c r="H5" s="38"/>
      <c r="I5" s="2143" t="s">
        <v>675</v>
      </c>
      <c r="J5" s="2088"/>
      <c r="K5" s="2088"/>
      <c r="L5" s="2088"/>
      <c r="M5" s="2088"/>
      <c r="N5" s="2088"/>
      <c r="O5" s="2088"/>
      <c r="P5" s="2088"/>
      <c r="Q5" s="2088"/>
      <c r="R5" s="2088"/>
      <c r="S5" s="2088"/>
      <c r="AF5" s="1827"/>
    </row>
    <row r="6" spans="1:32" ht="14.1" customHeight="1" x14ac:dyDescent="0.2">
      <c r="B6" s="101" t="s">
        <v>2061</v>
      </c>
      <c r="C6" s="26" t="s">
        <v>905</v>
      </c>
      <c r="D6" s="81"/>
      <c r="E6" s="81"/>
      <c r="I6" s="2142" t="s">
        <v>877</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669</v>
      </c>
      <c r="J9" s="2140"/>
      <c r="K9" s="2140"/>
      <c r="L9" s="2140"/>
      <c r="M9" s="2140"/>
      <c r="N9" s="2140"/>
      <c r="O9" s="2140"/>
      <c r="P9" s="2140"/>
      <c r="Q9" s="2140"/>
      <c r="R9" s="2140"/>
      <c r="S9" s="2141"/>
      <c r="T9" s="2084" t="s">
        <v>530</v>
      </c>
      <c r="U9" s="2085"/>
      <c r="V9" s="2085"/>
      <c r="W9" s="2085"/>
      <c r="X9" s="2085"/>
      <c r="Y9" s="2085"/>
      <c r="Z9" s="2085"/>
      <c r="AA9" s="2086"/>
    </row>
    <row r="10" spans="1:32" ht="13.5" customHeight="1" x14ac:dyDescent="0.2">
      <c r="A10" s="2093" t="s">
        <v>670</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949</v>
      </c>
      <c r="B11" s="2097"/>
      <c r="C11" s="2097"/>
      <c r="D11" s="2097"/>
      <c r="E11" s="2097"/>
      <c r="F11" s="2097"/>
      <c r="G11" s="2097"/>
      <c r="H11" s="2098"/>
      <c r="I11" s="27"/>
      <c r="J11" s="71"/>
      <c r="K11" s="27"/>
      <c r="O11" s="144" t="s">
        <v>2061</v>
      </c>
      <c r="P11" s="97" t="s">
        <v>199</v>
      </c>
      <c r="Q11" s="30"/>
      <c r="R11" s="28"/>
      <c r="S11" s="27"/>
      <c r="T11" s="2090"/>
      <c r="U11" s="2091"/>
      <c r="V11" s="2091"/>
      <c r="W11" s="2091"/>
      <c r="X11" s="2091"/>
      <c r="Y11" s="2091"/>
      <c r="Z11" s="2091"/>
      <c r="AA11" s="209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3011003061</v>
      </c>
      <c r="B13" s="2105"/>
      <c r="C13" s="2105"/>
      <c r="D13" s="2105"/>
      <c r="E13" s="2105"/>
      <c r="F13" s="2105"/>
      <c r="G13" s="2105"/>
      <c r="H13" s="2106"/>
      <c r="I13" s="31"/>
      <c r="J13" s="30"/>
      <c r="K13" s="28"/>
      <c r="L13" s="30"/>
      <c r="M13" s="30"/>
      <c r="N13" s="30"/>
      <c r="O13" s="30"/>
      <c r="P13" s="30"/>
      <c r="Q13" s="30"/>
      <c r="R13" s="30"/>
      <c r="S13" s="30"/>
      <c r="T13" s="2109" t="s">
        <v>2051</v>
      </c>
      <c r="U13" s="2110"/>
      <c r="V13" s="2110"/>
      <c r="W13" s="2110"/>
      <c r="X13" s="2110"/>
      <c r="Y13" s="2111"/>
      <c r="Z13" s="2111"/>
      <c r="AA13" s="211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2064</v>
      </c>
      <c r="B15" s="2107"/>
      <c r="C15" s="2107"/>
      <c r="D15" s="2107"/>
      <c r="E15" s="2107"/>
      <c r="F15" s="2107"/>
      <c r="G15" s="2107"/>
      <c r="H15" s="2108"/>
      <c r="T15" s="2070" t="s">
        <v>2052</v>
      </c>
      <c r="U15" s="2071"/>
      <c r="V15" s="2071"/>
      <c r="W15" s="2071"/>
      <c r="X15" s="2071"/>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2" t="s">
        <v>2065</v>
      </c>
      <c r="B17" s="2132"/>
      <c r="C17" s="2132"/>
      <c r="D17" s="2132"/>
      <c r="E17" s="2132"/>
      <c r="F17" s="2132"/>
      <c r="G17" s="2132"/>
      <c r="H17" s="2133"/>
      <c r="T17" s="2119" t="s">
        <v>2053</v>
      </c>
      <c r="U17" s="2120"/>
      <c r="V17" s="2120"/>
      <c r="W17" s="2120"/>
      <c r="X17" s="2120"/>
      <c r="Y17" s="2120"/>
      <c r="Z17" s="2120"/>
      <c r="AA17" s="2121"/>
    </row>
    <row r="18" spans="1:27" ht="13.5" customHeight="1" x14ac:dyDescent="0.2">
      <c r="A18" s="82" t="s">
        <v>527</v>
      </c>
      <c r="B18" s="73"/>
      <c r="C18" s="69"/>
      <c r="D18" s="73"/>
      <c r="E18" s="73"/>
      <c r="F18" s="73"/>
      <c r="G18" s="73"/>
      <c r="H18" s="53"/>
      <c r="I18" s="2129" t="s">
        <v>671</v>
      </c>
      <c r="J18" s="2130"/>
      <c r="K18" s="2130"/>
      <c r="L18" s="2130"/>
      <c r="M18" s="2130"/>
      <c r="N18" s="2130"/>
      <c r="O18" s="2130"/>
      <c r="P18" s="2130"/>
      <c r="Q18" s="2130"/>
      <c r="R18" s="2130"/>
      <c r="S18" s="2131"/>
      <c r="T18" s="82" t="s">
        <v>706</v>
      </c>
      <c r="U18" s="48"/>
      <c r="V18" s="69"/>
      <c r="W18" s="47"/>
      <c r="X18" s="82" t="s">
        <v>264</v>
      </c>
      <c r="Y18" s="78"/>
      <c r="Z18" s="154" t="s">
        <v>672</v>
      </c>
      <c r="AA18" s="44"/>
    </row>
    <row r="19" spans="1:27" ht="13.5" customHeight="1" x14ac:dyDescent="0.2">
      <c r="A19" s="2102" t="s">
        <v>2066</v>
      </c>
      <c r="B19" s="2103"/>
      <c r="C19" s="2103"/>
      <c r="D19" s="2103"/>
      <c r="E19" s="2103"/>
      <c r="F19" s="2103"/>
      <c r="G19" s="2103"/>
      <c r="H19" s="2101"/>
      <c r="I19" s="30"/>
      <c r="J19" s="96"/>
      <c r="K19" s="40"/>
      <c r="L19" s="38"/>
      <c r="M19" s="109" t="s">
        <v>312</v>
      </c>
      <c r="P19" s="27"/>
      <c r="Q19" s="27"/>
      <c r="R19" s="27"/>
      <c r="S19" s="31"/>
      <c r="T19" s="2102" t="s">
        <v>2054</v>
      </c>
      <c r="U19" s="2100"/>
      <c r="V19" s="2100"/>
      <c r="W19" s="2101"/>
      <c r="X19" s="2117" t="s">
        <v>2055</v>
      </c>
      <c r="Y19" s="2118"/>
      <c r="Z19" s="2115">
        <v>62568</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9" t="s">
        <v>2054</v>
      </c>
      <c r="B21" s="2100"/>
      <c r="C21" s="2100"/>
      <c r="D21" s="2100"/>
      <c r="E21" s="2100"/>
      <c r="F21" s="2100"/>
      <c r="G21" s="2100"/>
      <c r="H21" s="2101"/>
      <c r="I21" s="2125" t="s">
        <v>673</v>
      </c>
      <c r="J21" s="2088"/>
      <c r="K21" s="2088"/>
      <c r="L21" s="2088"/>
      <c r="M21" s="2088"/>
      <c r="N21" s="2088"/>
      <c r="O21" s="2088"/>
      <c r="P21" s="2088"/>
      <c r="Q21" s="2088"/>
      <c r="R21" s="2088"/>
      <c r="S21" s="2089"/>
      <c r="T21" s="2067" t="s">
        <v>2056</v>
      </c>
      <c r="U21" s="2068"/>
      <c r="V21" s="2068"/>
      <c r="W21" s="2068"/>
      <c r="X21" s="2081" t="s">
        <v>2057</v>
      </c>
      <c r="Y21" s="2082"/>
      <c r="Z21" s="2082"/>
      <c r="AA21" s="2083"/>
    </row>
    <row r="22" spans="1:27" ht="13.5" customHeight="1" x14ac:dyDescent="0.2">
      <c r="A22" s="84" t="s">
        <v>528</v>
      </c>
      <c r="B22" s="56"/>
      <c r="C22" s="56"/>
      <c r="D22" s="56"/>
      <c r="E22" s="56"/>
      <c r="F22" s="56"/>
      <c r="G22" s="56"/>
      <c r="H22" s="57"/>
      <c r="I22" s="2126" t="s">
        <v>1412</v>
      </c>
      <c r="J22" s="2127"/>
      <c r="K22" s="2127"/>
      <c r="L22" s="2127"/>
      <c r="M22" s="2127"/>
      <c r="N22" s="2127"/>
      <c r="O22" s="2127"/>
      <c r="P22" s="2127"/>
      <c r="Q22" s="2127"/>
      <c r="R22" s="2127"/>
      <c r="S22" s="2128"/>
      <c r="T22" s="82" t="s">
        <v>1499</v>
      </c>
      <c r="U22" s="48"/>
      <c r="V22" s="69"/>
      <c r="W22" s="48"/>
      <c r="X22" s="155" t="s">
        <v>1307</v>
      </c>
      <c r="Z22" s="43"/>
      <c r="AA22" s="44"/>
    </row>
    <row r="23" spans="1:27" ht="13.5" customHeight="1" x14ac:dyDescent="0.2">
      <c r="A23" s="2122" t="s">
        <v>2067</v>
      </c>
      <c r="B23" s="2123"/>
      <c r="C23" s="2123"/>
      <c r="D23" s="2123"/>
      <c r="E23" s="2123"/>
      <c r="F23" s="2123"/>
      <c r="G23" s="2123"/>
      <c r="H23" s="2124"/>
      <c r="T23" s="2062" t="s">
        <v>2058</v>
      </c>
      <c r="U23" s="2063"/>
      <c r="V23" s="2063"/>
      <c r="W23" s="2063"/>
      <c r="X23" s="2078" t="s">
        <v>2059</v>
      </c>
      <c r="Y23" s="2079"/>
      <c r="Z23" s="2079"/>
      <c r="AA23" s="2080"/>
    </row>
    <row r="24" spans="1:27" ht="14.1" customHeight="1" x14ac:dyDescent="0.2">
      <c r="A24" s="85" t="s">
        <v>672</v>
      </c>
      <c r="B24" s="46"/>
      <c r="C24" s="46"/>
      <c r="D24" s="46"/>
      <c r="E24" s="46"/>
      <c r="F24" s="46"/>
      <c r="G24" s="46"/>
      <c r="H24" s="58"/>
      <c r="J24" s="2164" t="str">
        <f>IF(B5="x",IF(AUDITCHECK!D29="AFR form Incomplete.","",IF(AUDITCHECK!D29="Deficit reduction plan is required.","School District must complete a deficit reduction plan in the 2020-2021 Budget",)),"")</f>
        <v/>
      </c>
      <c r="K24" s="2164"/>
      <c r="L24" s="2164"/>
      <c r="M24" s="2164"/>
      <c r="N24" s="2164"/>
      <c r="O24" s="2164"/>
      <c r="P24" s="2164"/>
      <c r="Q24" s="2164"/>
      <c r="R24" s="2164"/>
      <c r="S24" s="2165"/>
      <c r="T24" s="102" t="s">
        <v>528</v>
      </c>
      <c r="U24" s="103"/>
      <c r="V24" s="103"/>
      <c r="W24" s="103"/>
      <c r="X24" s="104"/>
      <c r="Y24" s="104"/>
      <c r="Z24" s="104"/>
      <c r="AA24" s="105"/>
    </row>
    <row r="25" spans="1:27" ht="14.1" customHeight="1" x14ac:dyDescent="0.2">
      <c r="A25" s="2099">
        <v>62568</v>
      </c>
      <c r="B25" s="2100"/>
      <c r="C25" s="2100"/>
      <c r="D25" s="2100"/>
      <c r="E25" s="2100"/>
      <c r="F25" s="2100"/>
      <c r="G25" s="2100"/>
      <c r="H25" s="2101"/>
      <c r="I25" s="110"/>
      <c r="J25" s="2166"/>
      <c r="K25" s="2166"/>
      <c r="L25" s="2166"/>
      <c r="M25" s="2166"/>
      <c r="N25" s="2166"/>
      <c r="O25" s="2166"/>
      <c r="P25" s="2166"/>
      <c r="Q25" s="2166"/>
      <c r="R25" s="2166"/>
      <c r="S25" s="2167"/>
      <c r="T25" s="2059" t="s">
        <v>2060</v>
      </c>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7" t="s">
        <v>1494</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2" t="s">
        <v>2070</v>
      </c>
      <c r="B38" s="2132"/>
      <c r="C38" s="2132"/>
      <c r="D38" s="2132"/>
      <c r="E38" s="2132"/>
      <c r="F38" s="2100"/>
      <c r="G38" s="2100"/>
      <c r="H38" s="2101"/>
      <c r="I38" s="2151"/>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528</v>
      </c>
      <c r="B39" s="2156"/>
      <c r="C39" s="69"/>
      <c r="D39" s="66"/>
      <c r="E39" s="66"/>
      <c r="F39" s="76"/>
      <c r="G39" s="66"/>
      <c r="H39" s="53"/>
      <c r="I39" s="2155" t="s">
        <v>528</v>
      </c>
      <c r="J39" s="2156"/>
      <c r="K39" s="2156"/>
      <c r="L39" s="2156"/>
      <c r="M39" s="2156"/>
      <c r="N39" s="64"/>
      <c r="O39" s="69"/>
      <c r="P39" s="69"/>
      <c r="Q39" s="75"/>
      <c r="R39" s="69"/>
      <c r="S39" s="53"/>
      <c r="T39" s="69" t="s">
        <v>528</v>
      </c>
      <c r="U39" s="48"/>
      <c r="V39" s="69"/>
      <c r="W39" s="47"/>
      <c r="X39" s="75"/>
      <c r="Y39" s="43"/>
      <c r="Z39" s="43"/>
      <c r="AA39" s="44"/>
    </row>
    <row r="40" spans="1:27" ht="13.5" customHeight="1" x14ac:dyDescent="0.2">
      <c r="A40" s="2158" t="s">
        <v>2067</v>
      </c>
      <c r="B40" s="2159"/>
      <c r="C40" s="2160"/>
      <c r="D40" s="2160"/>
      <c r="E40" s="2160"/>
      <c r="F40" s="2161"/>
      <c r="G40" s="2161"/>
      <c r="H40" s="2162"/>
      <c r="I40" s="2074"/>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8" t="s">
        <v>2068</v>
      </c>
      <c r="B42" s="2149"/>
      <c r="C42" s="2150"/>
      <c r="D42" s="2163" t="s">
        <v>2069</v>
      </c>
      <c r="E42" s="2149"/>
      <c r="F42" s="2149"/>
      <c r="G42" s="2149"/>
      <c r="H42" s="2150"/>
      <c r="I42" s="2069"/>
      <c r="J42" s="2065"/>
      <c r="K42" s="2065"/>
      <c r="L42" s="2065"/>
      <c r="M42" s="2065"/>
      <c r="N42" s="2065"/>
      <c r="O42" s="2066"/>
      <c r="P42" s="2064"/>
      <c r="Q42" s="2065"/>
      <c r="R42" s="2065"/>
      <c r="S42" s="2066"/>
      <c r="T42" s="2069"/>
      <c r="U42" s="2065"/>
      <c r="V42" s="2065"/>
      <c r="W42" s="2066"/>
      <c r="X42" s="2064"/>
      <c r="Y42" s="2065"/>
      <c r="Z42" s="2065"/>
      <c r="AA42" s="206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7"/>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0.5" right="0.5" top="1.25" bottom="0.75" header="1" footer="0.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3"/>
      <c r="C1" s="585"/>
    </row>
    <row r="2" spans="1:7" ht="33.75" x14ac:dyDescent="0.2">
      <c r="A2" s="2321" t="s">
        <v>1779</v>
      </c>
      <c r="B2" s="232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1104</v>
      </c>
      <c r="B3" s="2326"/>
      <c r="C3" s="2314"/>
      <c r="D3" s="2315"/>
      <c r="E3" s="2315"/>
      <c r="F3" s="2316"/>
    </row>
    <row r="4" spans="1:7" ht="12.75" customHeight="1" thickBot="1" x14ac:dyDescent="0.25">
      <c r="A4" s="2323" t="s">
        <v>626</v>
      </c>
      <c r="B4" s="2324"/>
      <c r="C4" s="1656"/>
      <c r="D4" s="1656"/>
      <c r="E4" s="1656"/>
      <c r="F4" s="1732">
        <f>SUM(C4+D4)-E4</f>
        <v>0</v>
      </c>
    </row>
    <row r="5" spans="1:7" ht="15.75" customHeight="1" thickTop="1" x14ac:dyDescent="0.2">
      <c r="A5" s="2308" t="s">
        <v>1101</v>
      </c>
      <c r="B5" s="2309"/>
      <c r="C5" s="2317"/>
      <c r="D5" s="2318"/>
      <c r="E5" s="2318"/>
      <c r="F5" s="231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0" t="s">
        <v>627</v>
      </c>
      <c r="B15" s="2311"/>
      <c r="C15" s="1732">
        <f>SUM(C6:C14)</f>
        <v>0</v>
      </c>
      <c r="D15" s="1732">
        <f>SUM(D6:D14)</f>
        <v>0</v>
      </c>
      <c r="E15" s="1732">
        <f>SUM(E6:E14)</f>
        <v>0</v>
      </c>
      <c r="F15" s="1732">
        <f>SUM(F6:F14)</f>
        <v>0</v>
      </c>
      <c r="G15" s="473"/>
    </row>
    <row r="16" spans="1:7" s="197" customFormat="1" ht="15.75" customHeight="1" thickTop="1" x14ac:dyDescent="0.2">
      <c r="A16" s="2320" t="s">
        <v>1102</v>
      </c>
      <c r="B16" s="2309"/>
      <c r="C16" s="2317"/>
      <c r="D16" s="2318"/>
      <c r="E16" s="2318"/>
      <c r="F16" s="2319"/>
    </row>
    <row r="17" spans="1:11" ht="12.75" customHeight="1" thickBot="1" x14ac:dyDescent="0.25">
      <c r="A17" s="2333" t="s">
        <v>64</v>
      </c>
      <c r="B17" s="2334"/>
      <c r="C17" s="1733"/>
      <c r="D17" s="1664"/>
      <c r="E17" s="1733"/>
      <c r="F17" s="1732">
        <f>SUM(C17+D17)-E17</f>
        <v>0</v>
      </c>
    </row>
    <row r="18" spans="1:11" ht="12.75" customHeight="1" thickTop="1" thickBot="1" x14ac:dyDescent="0.25">
      <c r="A18" s="2333" t="s">
        <v>6</v>
      </c>
      <c r="B18" s="2334"/>
      <c r="C18" s="1733"/>
      <c r="D18" s="1664"/>
      <c r="E18" s="1733"/>
      <c r="F18" s="1732">
        <f>SUM(C18+D18)-E18</f>
        <v>0</v>
      </c>
    </row>
    <row r="19" spans="1:11" ht="12.75" customHeight="1" thickTop="1" thickBot="1" x14ac:dyDescent="0.25">
      <c r="A19" s="2333" t="s">
        <v>385</v>
      </c>
      <c r="B19" s="2334"/>
      <c r="C19" s="1733"/>
      <c r="D19" s="1664"/>
      <c r="E19" s="1733"/>
      <c r="F19" s="1732">
        <f>SUM(C19+D19)-E19</f>
        <v>0</v>
      </c>
    </row>
    <row r="20" spans="1:11" ht="12.75" customHeight="1" thickTop="1" thickBot="1" x14ac:dyDescent="0.25">
      <c r="A20" s="2333" t="s">
        <v>445</v>
      </c>
      <c r="B20" s="2334"/>
      <c r="C20" s="1733"/>
      <c r="D20" s="1664"/>
      <c r="E20" s="1733"/>
      <c r="F20" s="1732">
        <f>SUM(C20+D20)-E20</f>
        <v>0</v>
      </c>
    </row>
    <row r="21" spans="1:11" ht="14.25" thickTop="1" thickBot="1" x14ac:dyDescent="0.25">
      <c r="A21" s="2310" t="s">
        <v>628</v>
      </c>
      <c r="B21" s="2311"/>
      <c r="C21" s="1732">
        <f>SUM(C17:C20)</f>
        <v>0</v>
      </c>
      <c r="D21" s="1732">
        <f>SUM(D17:D20)</f>
        <v>0</v>
      </c>
      <c r="E21" s="1732">
        <f>SUM(E17:E20)</f>
        <v>0</v>
      </c>
      <c r="F21" s="1732">
        <f>SUM(F17:F20)</f>
        <v>0</v>
      </c>
      <c r="G21" s="473"/>
    </row>
    <row r="22" spans="1:11" ht="15.75" customHeight="1" thickTop="1" x14ac:dyDescent="0.2">
      <c r="A22" s="2335" t="s">
        <v>1103</v>
      </c>
      <c r="B22" s="2309"/>
      <c r="C22" s="2317"/>
      <c r="D22" s="2318"/>
      <c r="E22" s="2318"/>
      <c r="F22" s="2319"/>
    </row>
    <row r="23" spans="1:11" ht="13.5" thickBot="1" x14ac:dyDescent="0.25">
      <c r="A23" s="2323" t="s">
        <v>629</v>
      </c>
      <c r="B23" s="2324"/>
      <c r="C23" s="1656"/>
      <c r="D23" s="1656"/>
      <c r="E23" s="1656"/>
      <c r="F23" s="1732">
        <f>SUM(C23+D23)-E23</f>
        <v>0</v>
      </c>
      <c r="G23" s="473"/>
    </row>
    <row r="24" spans="1:11" ht="15.75" customHeight="1" thickTop="1" x14ac:dyDescent="0.2">
      <c r="A24" s="2335" t="s">
        <v>2006</v>
      </c>
      <c r="B24" s="2309"/>
      <c r="C24" s="2317"/>
      <c r="D24" s="2318"/>
      <c r="E24" s="2318"/>
      <c r="F24" s="2319"/>
    </row>
    <row r="25" spans="1:11" ht="13.5" thickBot="1" x14ac:dyDescent="0.25">
      <c r="A25" s="2323" t="s">
        <v>2007</v>
      </c>
      <c r="B25" s="2324"/>
      <c r="C25" s="1656"/>
      <c r="D25" s="1656"/>
      <c r="E25" s="1656"/>
      <c r="F25" s="1732">
        <f>SUM(C25+D25)-E25</f>
        <v>0</v>
      </c>
      <c r="G25" s="473"/>
    </row>
    <row r="26" spans="1:11" ht="15.75" customHeight="1" thickTop="1" x14ac:dyDescent="0.2">
      <c r="A26" s="2308" t="s">
        <v>652</v>
      </c>
      <c r="B26" s="2309"/>
      <c r="C26" s="589"/>
      <c r="D26" s="589"/>
      <c r="E26" s="589"/>
      <c r="F26" s="590"/>
    </row>
    <row r="27" spans="1:11" ht="13.5" thickBot="1" x14ac:dyDescent="0.25">
      <c r="A27" s="2310" t="s">
        <v>1061</v>
      </c>
      <c r="B27" s="2311"/>
      <c r="C27" s="1664"/>
      <c r="D27" s="1664"/>
      <c r="E27" s="1664"/>
      <c r="F27" s="1732">
        <f>SUM(C27+D27)-E27</f>
        <v>0</v>
      </c>
      <c r="G27" s="473"/>
    </row>
    <row r="28" spans="1:11" ht="7.5" customHeight="1" thickTop="1" x14ac:dyDescent="0.2">
      <c r="A28" s="489"/>
    </row>
    <row r="29" spans="1:11" ht="23.25" customHeight="1" x14ac:dyDescent="0.2">
      <c r="A29" s="2336" t="s">
        <v>578</v>
      </c>
      <c r="B29" s="231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7" t="s">
        <v>580</v>
      </c>
      <c r="C52" s="2328"/>
      <c r="D52" s="2328"/>
      <c r="E52" s="603" t="s">
        <v>840</v>
      </c>
      <c r="F52" s="2329"/>
      <c r="G52" s="2330"/>
      <c r="H52" s="596"/>
      <c r="I52" s="596"/>
      <c r="J52" s="600"/>
    </row>
    <row r="53" spans="1:11" ht="11.25" customHeight="1" x14ac:dyDescent="0.2">
      <c r="A53" s="604" t="s">
        <v>907</v>
      </c>
      <c r="B53" s="605" t="s">
        <v>945</v>
      </c>
      <c r="C53" s="600"/>
      <c r="D53" s="597"/>
      <c r="E53" s="603" t="s">
        <v>494</v>
      </c>
      <c r="F53" s="2331"/>
      <c r="G53" s="2332"/>
      <c r="H53" s="596"/>
      <c r="I53" s="596"/>
      <c r="J53" s="600"/>
    </row>
    <row r="54" spans="1:11" ht="11.25" customHeight="1" x14ac:dyDescent="0.2">
      <c r="A54" s="606" t="s">
        <v>908</v>
      </c>
      <c r="B54" s="601" t="s">
        <v>946</v>
      </c>
      <c r="C54" s="600"/>
      <c r="D54" s="597"/>
      <c r="E54" s="603" t="s">
        <v>495</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5"/>
  <pageSetup scale="69" firstPageNumber="24" fitToHeight="0"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7"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851</v>
      </c>
      <c r="B1" s="2364"/>
      <c r="C1" s="2364"/>
      <c r="D1" s="2364"/>
      <c r="E1" s="2364"/>
      <c r="F1" s="2364"/>
      <c r="G1" s="2365"/>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328"/>
      <c r="F4" s="620"/>
      <c r="G4" s="1746"/>
      <c r="H4" s="1747"/>
      <c r="I4" s="1746"/>
      <c r="J4" s="1748"/>
      <c r="K4" s="1748"/>
    </row>
    <row r="5" spans="1:11" x14ac:dyDescent="0.2">
      <c r="A5" s="2366" t="s">
        <v>1060</v>
      </c>
      <c r="B5" s="2337"/>
      <c r="C5" s="2337"/>
      <c r="D5" s="2337"/>
      <c r="E5" s="236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66" t="s">
        <v>1790</v>
      </c>
      <c r="B10" s="2337"/>
      <c r="C10" s="2337"/>
      <c r="D10" s="2337"/>
      <c r="E10" s="2368"/>
      <c r="F10" s="633" t="s">
        <v>857</v>
      </c>
      <c r="G10" s="1753"/>
      <c r="H10" s="1754"/>
      <c r="I10" s="1744"/>
      <c r="J10" s="1745"/>
      <c r="K10" s="1745"/>
    </row>
    <row r="11" spans="1:11" x14ac:dyDescent="0.2">
      <c r="A11" s="2366" t="s">
        <v>159</v>
      </c>
      <c r="B11" s="2337"/>
      <c r="C11" s="2337"/>
      <c r="D11" s="2337"/>
      <c r="E11" s="2367"/>
      <c r="F11" s="622" t="s">
        <v>847</v>
      </c>
      <c r="G11" s="1749"/>
      <c r="H11" s="1744"/>
      <c r="I11" s="1744"/>
      <c r="J11" s="1745"/>
      <c r="K11" s="1751"/>
    </row>
    <row r="12" spans="1:11" ht="13.5" thickBot="1" x14ac:dyDescent="0.25">
      <c r="A12" s="2354" t="s">
        <v>899</v>
      </c>
      <c r="B12" s="2355"/>
      <c r="C12" s="2355"/>
      <c r="D12" s="2355"/>
      <c r="E12" s="2356"/>
      <c r="F12" s="1433"/>
      <c r="G12" s="1755">
        <f>SUM(G5:G11)</f>
        <v>0</v>
      </c>
      <c r="H12" s="1755">
        <f>SUM(H5:H11)</f>
        <v>0</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72" t="s">
        <v>453</v>
      </c>
      <c r="B14" s="2372"/>
      <c r="C14" s="2372"/>
      <c r="D14" s="2372"/>
      <c r="E14" s="2373"/>
      <c r="F14" s="635" t="s">
        <v>849</v>
      </c>
      <c r="G14" s="1753"/>
      <c r="H14" s="1744"/>
      <c r="I14" s="1749"/>
      <c r="J14" s="1751"/>
      <c r="K14" s="1745"/>
    </row>
    <row r="15" spans="1:11" x14ac:dyDescent="0.2">
      <c r="A15" s="2337" t="s">
        <v>4</v>
      </c>
      <c r="B15" s="2337"/>
      <c r="C15" s="2337"/>
      <c r="D15" s="2337"/>
      <c r="E15" s="2367"/>
      <c r="F15" s="635" t="s">
        <v>850</v>
      </c>
      <c r="G15" s="1749"/>
      <c r="H15" s="1744"/>
      <c r="I15" s="1744"/>
      <c r="J15" s="1745"/>
      <c r="K15" s="1745"/>
    </row>
    <row r="16" spans="1:11" x14ac:dyDescent="0.2">
      <c r="A16" s="2337" t="s">
        <v>295</v>
      </c>
      <c r="B16" s="2337"/>
      <c r="C16" s="2337"/>
      <c r="D16" s="2337"/>
      <c r="E16" s="2367"/>
      <c r="F16" s="635" t="s">
        <v>917</v>
      </c>
      <c r="G16" s="1750"/>
      <c r="H16" s="1746"/>
      <c r="I16" s="1746"/>
      <c r="J16" s="1748"/>
      <c r="K16" s="1748"/>
    </row>
    <row r="17" spans="1:15" x14ac:dyDescent="0.2">
      <c r="A17" s="2361" t="s">
        <v>929</v>
      </c>
      <c r="B17" s="2361"/>
      <c r="C17" s="2361"/>
      <c r="D17" s="2361"/>
      <c r="E17" s="2362"/>
      <c r="F17" s="636"/>
      <c r="G17" s="1759"/>
      <c r="H17" s="1760"/>
      <c r="I17" s="1760"/>
      <c r="J17" s="1761"/>
      <c r="K17" s="1762"/>
    </row>
    <row r="18" spans="1:15" x14ac:dyDescent="0.2">
      <c r="A18" s="2351" t="s">
        <v>365</v>
      </c>
      <c r="B18" s="2352"/>
      <c r="C18" s="2352"/>
      <c r="D18" s="2352"/>
      <c r="E18" s="2353"/>
      <c r="F18" s="635" t="s">
        <v>926</v>
      </c>
      <c r="G18" s="1753"/>
      <c r="H18" s="1753"/>
      <c r="I18" s="1753"/>
      <c r="J18" s="1745"/>
      <c r="K18" s="1763"/>
    </row>
    <row r="19" spans="1:15" ht="21.75" customHeight="1" x14ac:dyDescent="0.2">
      <c r="A19" s="2374" t="s">
        <v>1786</v>
      </c>
      <c r="B19" s="2374"/>
      <c r="C19" s="2374"/>
      <c r="D19" s="2374"/>
      <c r="E19" s="2375"/>
      <c r="F19" s="635" t="s">
        <v>927</v>
      </c>
      <c r="G19" s="1753"/>
      <c r="H19" s="1753"/>
      <c r="I19" s="1753"/>
      <c r="J19" s="1745"/>
      <c r="K19" s="1763"/>
    </row>
    <row r="20" spans="1:15" x14ac:dyDescent="0.2">
      <c r="A20" s="2351" t="s">
        <v>1791</v>
      </c>
      <c r="B20" s="2352"/>
      <c r="C20" s="2352"/>
      <c r="D20" s="2352"/>
      <c r="E20" s="2353"/>
      <c r="F20" s="635" t="s">
        <v>928</v>
      </c>
      <c r="G20" s="1753"/>
      <c r="H20" s="1753"/>
      <c r="I20" s="1753"/>
      <c r="J20" s="1745"/>
      <c r="K20" s="1763"/>
    </row>
    <row r="21" spans="1:15" ht="13.5" thickBot="1" x14ac:dyDescent="0.25">
      <c r="A21" s="2357" t="s">
        <v>633</v>
      </c>
      <c r="B21" s="2357"/>
      <c r="C21" s="2357"/>
      <c r="D21" s="2357"/>
      <c r="E21" s="2357"/>
      <c r="F21" s="1434"/>
      <c r="G21" s="1760"/>
      <c r="H21" s="1764"/>
      <c r="I21" s="1764"/>
      <c r="J21" s="1765">
        <f>SUM(J18:J20)</f>
        <v>0</v>
      </c>
      <c r="K21" s="1761"/>
    </row>
    <row r="22" spans="1:15" ht="13.5" thickTop="1" x14ac:dyDescent="0.2">
      <c r="A22" s="2337" t="s">
        <v>1792</v>
      </c>
      <c r="B22" s="2337"/>
      <c r="C22" s="2337"/>
      <c r="D22" s="2337"/>
      <c r="E22" s="2367"/>
      <c r="F22" s="635" t="s">
        <v>857</v>
      </c>
      <c r="G22" s="1753"/>
      <c r="H22" s="1744"/>
      <c r="I22" s="1744"/>
      <c r="J22" s="1766"/>
      <c r="K22" s="1745"/>
    </row>
    <row r="23" spans="1:15" ht="13.5" thickBot="1" x14ac:dyDescent="0.25">
      <c r="A23" s="2358" t="s">
        <v>900</v>
      </c>
      <c r="B23" s="2357"/>
      <c r="C23" s="2357"/>
      <c r="D23" s="2357"/>
      <c r="E23" s="235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9" t="str">
        <f>"Ending Cash Basis Fund Balance as of June 30, "&amp;'AFR20'!E2</f>
        <v>Ending Cash Basis Fund Balance as of June 30, 2020</v>
      </c>
      <c r="B24" s="2360"/>
      <c r="C24" s="2360"/>
      <c r="D24" s="2360"/>
      <c r="E24" s="236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9"/>
      <c r="I31" s="2370"/>
      <c r="J31" s="2370"/>
      <c r="K31" s="2370"/>
    </row>
    <row r="32" spans="1:15" x14ac:dyDescent="0.2">
      <c r="A32" s="649"/>
      <c r="B32" s="232"/>
      <c r="C32" s="232"/>
      <c r="D32" s="232"/>
      <c r="E32" s="645"/>
      <c r="F32" s="651" t="s">
        <v>537</v>
      </c>
      <c r="G32" s="618"/>
      <c r="H32" s="2371"/>
      <c r="I32" s="2370"/>
      <c r="J32" s="2370"/>
      <c r="K32" s="2370"/>
    </row>
    <row r="33" spans="1:11" ht="1.5" customHeight="1" x14ac:dyDescent="0.2">
      <c r="A33" s="652" t="s">
        <v>1159</v>
      </c>
      <c r="B33" s="341"/>
      <c r="C33" s="341"/>
      <c r="D33" s="341"/>
      <c r="E33" s="341"/>
      <c r="F33" s="341"/>
      <c r="G33" s="653"/>
      <c r="H33" s="2371"/>
      <c r="I33" s="2370"/>
      <c r="J33" s="2370"/>
      <c r="K33" s="237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7"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orizontalCentered="1" headings="1"/>
  <pageMargins left="0.5" right="0.5" top="1.35" bottom="0.8" header="1" footer="0.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1875</v>
      </c>
      <c r="B1" s="2379"/>
      <c r="C1" s="2380"/>
      <c r="D1" s="666"/>
      <c r="E1" s="667"/>
      <c r="F1" s="667"/>
      <c r="G1" s="668"/>
      <c r="H1" s="669"/>
      <c r="I1" s="670"/>
      <c r="J1" s="2376"/>
      <c r="K1" s="2377"/>
      <c r="L1" s="237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0</v>
      </c>
      <c r="D16" s="1765">
        <f>SUM(D3,D5:D6,D8:D10,D12:D15)</f>
        <v>0</v>
      </c>
      <c r="E16" s="1765">
        <f>SUM(E3,E5:E6,E8:E10,E12:E15)</f>
        <v>0</v>
      </c>
      <c r="F16" s="1765">
        <f>SUM(F3,F5:F6,F8:F10,F12:F15)</f>
        <v>0</v>
      </c>
      <c r="G16" s="681"/>
      <c r="H16" s="1435">
        <f>SUM(H3,H6,H8:H10,H12:H14,)</f>
        <v>0</v>
      </c>
      <c r="I16" s="1435">
        <f>SUM(I3,I6,I8:I10,I12:I14,)</f>
        <v>0</v>
      </c>
      <c r="J16" s="1435">
        <f>SUM(J3,J6,J8:J10,J12:J14,)</f>
        <v>0</v>
      </c>
      <c r="K16" s="1435">
        <f>(H16+I16)-J16</f>
        <v>0</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headings="1"/>
  <pageMargins left="0.5" right="0.5" top="1.25" bottom="0.75" header="1" footer="0.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99" colorId="8" zoomScale="110" zoomScaleNormal="110" workbookViewId="0">
      <selection activeCell="D99" sqref="D9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474</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0"/>
      <c r="B5" s="2391"/>
      <c r="C5" s="2391"/>
      <c r="D5" s="2391"/>
      <c r="E5" s="2391"/>
      <c r="F5" s="2391"/>
    </row>
    <row r="6" spans="1:9" ht="13.5" customHeight="1" thickBot="1" x14ac:dyDescent="0.25">
      <c r="A6" s="2381" t="s">
        <v>1095</v>
      </c>
      <c r="B6" s="2382"/>
      <c r="C6" s="2382"/>
      <c r="D6" s="2382"/>
      <c r="E6" s="2382"/>
      <c r="F6" s="238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1634911</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1634911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445000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445000</v>
      </c>
      <c r="G77" s="701"/>
    </row>
    <row r="78" spans="1:9" s="728" customFormat="1" ht="12" customHeight="1" thickTop="1" thickBot="1" x14ac:dyDescent="0.25">
      <c r="A78" s="1450"/>
      <c r="B78" s="1448"/>
      <c r="C78" s="1445"/>
      <c r="D78" s="1449" t="s">
        <v>2012</v>
      </c>
      <c r="E78" s="1447"/>
      <c r="F78" s="1788">
        <f>(F14-F77)</f>
        <v>1189911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81" t="s">
        <v>1096</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71575</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71575</v>
      </c>
    </row>
    <row r="176" spans="1:7" ht="12" customHeight="1" x14ac:dyDescent="0.2">
      <c r="A176" s="1443"/>
      <c r="B176" s="1453"/>
      <c r="C176" s="1454"/>
      <c r="D176" s="1455" t="s">
        <v>2014</v>
      </c>
      <c r="E176" s="1456"/>
      <c r="F176" s="1793">
        <f>'PCTC-OEPP 27-28'!F78-F175</f>
        <v>1118336</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1118336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headings="1"/>
  <pageMargins left="0.75" right="0.25" top="0.75" bottom="0.75" header="0.5" footer="0.5"/>
  <pageSetup scale="68" firstPageNumber="27" fitToHeight="2" orientation="portrait" useFirstPageNumber="1" r:id="rId2"/>
  <headerFooter alignWithMargins="0">
    <oddHeader>&amp;L&amp;8Page &amp;P&amp;C &amp;R&amp;8Page &amp;P</oddHeader>
    <oddFooter>&amp;L&amp;8Print Date: &amp;D
&amp;F&amp;CReference should be made to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4"/>
  <sheetViews>
    <sheetView showGridLines="0" topLeftCell="A14" zoomScaleNormal="100" workbookViewId="0">
      <selection activeCell="C36" sqref="C36"/>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95" t="s">
        <v>1795</v>
      </c>
      <c r="B4" s="2396"/>
      <c r="C4" s="2396"/>
      <c r="D4" s="2396"/>
      <c r="E4" s="2396"/>
      <c r="F4" s="2397"/>
    </row>
    <row r="5" spans="1:6" x14ac:dyDescent="0.25">
      <c r="A5" s="2398"/>
      <c r="B5" s="2399"/>
      <c r="C5" s="2399"/>
      <c r="D5" s="2399"/>
      <c r="E5" s="2399"/>
      <c r="F5" s="2400"/>
    </row>
    <row r="6" spans="1:6" ht="18.75" x14ac:dyDescent="0.25">
      <c r="A6" s="1867" t="s">
        <v>1796</v>
      </c>
      <c r="B6" s="1868"/>
      <c r="C6" s="1869"/>
      <c r="D6" s="1869"/>
      <c r="E6" s="1869"/>
      <c r="F6" s="1870"/>
    </row>
    <row r="7" spans="1:6" ht="47.25" customHeight="1" x14ac:dyDescent="0.25">
      <c r="A7" s="2401" t="s">
        <v>1985</v>
      </c>
      <c r="B7" s="2402"/>
      <c r="C7" s="2402"/>
      <c r="D7" s="2402"/>
      <c r="E7" s="2402"/>
      <c r="F7" s="2403"/>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404" t="s">
        <v>1981</v>
      </c>
      <c r="B10" s="2405"/>
      <c r="C10" s="2405"/>
      <c r="D10" s="2405"/>
      <c r="E10" s="2405"/>
      <c r="F10" s="2406"/>
    </row>
    <row r="11" spans="1:6" ht="33" customHeight="1" x14ac:dyDescent="0.25">
      <c r="A11" s="2401" t="s">
        <v>1986</v>
      </c>
      <c r="B11" s="2402"/>
      <c r="C11" s="2402"/>
      <c r="D11" s="2402"/>
      <c r="E11" s="2402"/>
      <c r="F11" s="2403"/>
    </row>
    <row r="12" spans="1:6" ht="15" customHeight="1" x14ac:dyDescent="0.25">
      <c r="A12" s="1873" t="s">
        <v>1982</v>
      </c>
      <c r="B12" s="1874"/>
      <c r="C12" s="1875"/>
      <c r="D12" s="1875"/>
      <c r="E12" s="1875"/>
      <c r="F12" s="1876"/>
    </row>
    <row r="13" spans="1:6" ht="17.25" customHeight="1" x14ac:dyDescent="0.25">
      <c r="A13" s="2401" t="s">
        <v>1983</v>
      </c>
      <c r="B13" s="2402"/>
      <c r="C13" s="2402"/>
      <c r="D13" s="2402"/>
      <c r="E13" s="2402"/>
      <c r="F13" s="2403"/>
    </row>
    <row r="14" spans="1:6" ht="15" customHeight="1" x14ac:dyDescent="0.25">
      <c r="A14" s="1873" t="s">
        <v>1800</v>
      </c>
      <c r="B14" s="1874"/>
      <c r="C14" s="1875"/>
      <c r="D14" s="1875"/>
      <c r="E14" s="1875"/>
      <c r="F14" s="1876"/>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1913"/>
      <c r="B18" s="1907"/>
      <c r="C18" s="1914"/>
      <c r="D18" s="1885"/>
      <c r="E18" s="1905">
        <f t="shared" ref="E18:E25" si="0">IF(D18&lt;25000,D18,"25,000")</f>
        <v>0</v>
      </c>
      <c r="F18" s="1905" t="str">
        <f t="shared" ref="F18:F25" si="1">IF(D18&gt;=25000,(D18-E18),"0")</f>
        <v>0</v>
      </c>
      <c r="G18" s="1886"/>
    </row>
    <row r="19" spans="1:7" x14ac:dyDescent="0.25">
      <c r="A19" s="2054" t="s">
        <v>2106</v>
      </c>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8"/>
      <c r="C23" s="1888"/>
      <c r="D23" s="1885"/>
      <c r="E23" s="1905">
        <f t="shared" si="0"/>
        <v>0</v>
      </c>
      <c r="F23" s="1905" t="str">
        <f t="shared" si="1"/>
        <v>0</v>
      </c>
    </row>
    <row r="24" spans="1:7" x14ac:dyDescent="0.25">
      <c r="A24" s="1887"/>
      <c r="B24" s="1908"/>
      <c r="C24" s="1888"/>
      <c r="D24" s="1885"/>
      <c r="E24" s="1905">
        <f t="shared" si="0"/>
        <v>0</v>
      </c>
      <c r="F24" s="1905" t="str">
        <f t="shared" si="1"/>
        <v>0</v>
      </c>
    </row>
    <row r="25" spans="1:7" x14ac:dyDescent="0.25">
      <c r="A25" s="1887"/>
      <c r="B25" s="1908"/>
      <c r="C25" s="1888"/>
      <c r="D25" s="1885"/>
      <c r="E25" s="1905">
        <f t="shared" si="0"/>
        <v>0</v>
      </c>
      <c r="F25" s="1905" t="str">
        <f t="shared" si="1"/>
        <v>0</v>
      </c>
    </row>
    <row r="26" spans="1:7" x14ac:dyDescent="0.25">
      <c r="A26" s="1887"/>
      <c r="B26" s="1908"/>
      <c r="C26" s="1888"/>
      <c r="D26" s="1885"/>
      <c r="E26" s="1905">
        <f t="shared" ref="E26:E33" si="2">IF(D26&lt;25000,D26,"25,000")</f>
        <v>0</v>
      </c>
      <c r="F26" s="1905" t="str">
        <f t="shared" ref="F26:F33" si="3">IF(D26&gt;=25000,(D26-E26),"0")</f>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0</v>
      </c>
      <c r="E34" s="1892">
        <f>SUM(E18:E33)</f>
        <v>0</v>
      </c>
      <c r="F34" s="1893">
        <f>SUM(F18:F33)</f>
        <v>0</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7" header="1" footer="0.25"/>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B21" sqref="B2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7" t="s">
        <v>1660</v>
      </c>
      <c r="B5" s="2408"/>
      <c r="C5" s="2408"/>
      <c r="D5" s="2408"/>
      <c r="E5" s="2408"/>
      <c r="F5" s="2408"/>
      <c r="G5" s="240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142910</v>
      </c>
      <c r="F19" s="1802"/>
      <c r="G19" s="1804">
        <f>'Expenditures 15-22'!K33-SUM('Expenditures 15-22'!G33,'Expenditures 15-22'!I33)+'Expenditures 15-22'!D229</f>
        <v>142910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878451</v>
      </c>
      <c r="F21" s="1805"/>
      <c r="G21" s="1808">
        <f>'Expenditures 15-22'!K42-SUM('Expenditures 15-22'!G42,'Expenditures 15-22'!I42)+'Expenditures 15-22'!K120-SUM('Expenditures 15-22'!G120,'Expenditures 15-22'!I120)+'Expenditures 15-22'!K180-SUM('Expenditures 15-22'!G180,'Expenditures 15-22'!I180)+'Expenditures 15-22'!D238</f>
        <v>878451</v>
      </c>
      <c r="H21" s="817"/>
      <c r="I21" s="157"/>
    </row>
    <row r="22" spans="1:9" s="542" customFormat="1" ht="12" customHeight="1" x14ac:dyDescent="0.2">
      <c r="A22" s="824" t="s">
        <v>560</v>
      </c>
      <c r="B22" s="825"/>
      <c r="C22" s="823">
        <v>2200</v>
      </c>
      <c r="D22" s="1805"/>
      <c r="E22" s="1807">
        <f>'Expenditures 15-22'!K47-SUM('Expenditures 15-22'!G47,'Expenditures 15-22'!I47)+'Expenditures 15-22'!D243</f>
        <v>20138</v>
      </c>
      <c r="F22" s="1805"/>
      <c r="G22" s="1808">
        <f>'Expenditures 15-22'!K47-SUM('Expenditures 15-22'!G47,'Expenditures 15-22'!I47)+'Expenditures 15-22'!D243</f>
        <v>20138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133612</v>
      </c>
      <c r="F23" s="1805"/>
      <c r="G23" s="1807">
        <f>'Expenditures 15-22'!K53-SUM('Expenditures 15-22'!G53,'Expenditures 15-22'!I53)+'Expenditures 15-22'!D257+'Expenditures 15-22'!K330-SUM('Expenditures 15-22'!G330,'Expenditures 15-22'!I330)</f>
        <v>133612</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1048</v>
      </c>
      <c r="E27" s="1807">
        <f>E8</f>
        <v>0</v>
      </c>
      <c r="F27" s="1807">
        <f>'Expenditures 15-22'!K60-SUM('Expenditures 15-22'!G60,'Expenditures 15-22'!I60)+'Expenditures 15-22'!D264-E8</f>
        <v>1048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13752</v>
      </c>
      <c r="E37" s="1807">
        <f>E14</f>
        <v>0</v>
      </c>
      <c r="F37" s="1807">
        <f>'Expenditures 15-22'!K71-SUM('Expenditures 15-22'!G71,'Expenditures 15-22'!I71)+'Expenditures 15-22'!D276-E14</f>
        <v>13752</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29'!F34</f>
        <v>0</v>
      </c>
      <c r="F40" s="1805"/>
      <c r="G40" s="1809">
        <f>-'Contracts Paid in CY 29'!F34</f>
        <v>0</v>
      </c>
    </row>
    <row r="41" spans="1:7" ht="12" customHeight="1" x14ac:dyDescent="0.2">
      <c r="A41" s="828" t="s">
        <v>155</v>
      </c>
      <c r="B41" s="829"/>
      <c r="C41" s="830"/>
      <c r="D41" s="1809">
        <f>SUM(D19:D39)</f>
        <v>14800</v>
      </c>
      <c r="E41" s="1809">
        <f>SUM(E19:E40)</f>
        <v>1175111</v>
      </c>
      <c r="F41" s="1809">
        <f>SUM(F19:F39)</f>
        <v>14800</v>
      </c>
      <c r="G41" s="1809">
        <f>SUM(G19:G40)</f>
        <v>1175111</v>
      </c>
    </row>
    <row r="42" spans="1:7" x14ac:dyDescent="0.2">
      <c r="A42" s="817"/>
      <c r="B42" s="157"/>
      <c r="C42" s="831"/>
      <c r="D42" s="2410" t="s">
        <v>519</v>
      </c>
      <c r="E42" s="2411"/>
      <c r="F42" s="832" t="s">
        <v>520</v>
      </c>
      <c r="G42" s="833"/>
    </row>
    <row r="43" spans="1:7" ht="12" customHeight="1" x14ac:dyDescent="0.2">
      <c r="A43" s="817"/>
      <c r="B43" s="157"/>
      <c r="C43" s="831"/>
      <c r="D43" s="1458" t="s">
        <v>470</v>
      </c>
      <c r="E43" s="1810">
        <f>D41</f>
        <v>14800</v>
      </c>
      <c r="F43" s="1458" t="s">
        <v>470</v>
      </c>
      <c r="G43" s="1810">
        <f>F41</f>
        <v>14800</v>
      </c>
    </row>
    <row r="44" spans="1:7" ht="12" customHeight="1" x14ac:dyDescent="0.2">
      <c r="A44" s="817"/>
      <c r="B44" s="157"/>
      <c r="C44" s="831"/>
      <c r="D44" s="1458" t="s">
        <v>471</v>
      </c>
      <c r="E44" s="1810">
        <f>E41</f>
        <v>1175111</v>
      </c>
      <c r="F44" s="1458" t="s">
        <v>471</v>
      </c>
      <c r="G44" s="1810">
        <f>G41</f>
        <v>1175111</v>
      </c>
    </row>
    <row r="45" spans="1:7" ht="12" customHeight="1" x14ac:dyDescent="0.2">
      <c r="A45" s="817"/>
      <c r="B45" s="157"/>
      <c r="C45" s="157"/>
      <c r="D45" s="1459" t="s">
        <v>999</v>
      </c>
      <c r="E45" s="1811">
        <f>(E43/E44)</f>
        <v>1.2594554897367142E-2</v>
      </c>
      <c r="F45" s="1459" t="s">
        <v>999</v>
      </c>
      <c r="G45" s="1811">
        <f>(G43/G44)</f>
        <v>1.2594554897367142E-2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8" header="1" footer="0.5"/>
  <pageSetup scale="73"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12" sqref="C1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8" t="s">
        <v>1363</v>
      </c>
      <c r="B1" s="2418"/>
      <c r="C1" s="2418"/>
      <c r="D1" s="2418"/>
      <c r="E1" s="2418"/>
      <c r="F1" s="241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9" t="s">
        <v>1529</v>
      </c>
      <c r="B5" s="2420"/>
      <c r="C5" s="2421"/>
      <c r="D5" s="2421"/>
      <c r="E5" s="2421"/>
      <c r="F5" s="2421"/>
      <c r="G5" s="1507"/>
      <c r="L5" s="1507"/>
      <c r="M5" s="1855"/>
      <c r="N5" s="1855"/>
      <c r="O5" s="1855"/>
    </row>
    <row r="6" spans="1:15" ht="12" customHeight="1" x14ac:dyDescent="0.25">
      <c r="A6" s="1480"/>
      <c r="B6" s="1481"/>
      <c r="C6" s="2422" t="str">
        <f>COVER!A17</f>
        <v>NPT Special Education Cooperative</v>
      </c>
      <c r="D6" s="2422"/>
      <c r="E6" s="2422"/>
      <c r="F6" s="1482"/>
      <c r="G6" s="1507"/>
      <c r="L6" s="1507"/>
      <c r="M6" s="1855"/>
      <c r="N6" s="1855"/>
      <c r="O6" s="1855"/>
    </row>
    <row r="7" spans="1:15" ht="11.25" customHeight="1" thickBot="1" x14ac:dyDescent="0.3">
      <c r="A7" s="1480"/>
      <c r="B7" s="1481"/>
      <c r="C7" s="2423">
        <f>COVER!A13</f>
        <v>3011003061</v>
      </c>
      <c r="D7" s="2423"/>
      <c r="E7" s="2423"/>
      <c r="F7" s="1482"/>
      <c r="G7" s="1507"/>
      <c r="L7" s="1507"/>
      <c r="M7" s="1855"/>
      <c r="N7" s="1855"/>
      <c r="O7" s="1855"/>
    </row>
    <row r="8" spans="1:15" ht="25.5" customHeight="1" thickBot="1" x14ac:dyDescent="0.25">
      <c r="A8" s="1519" t="s">
        <v>1874</v>
      </c>
      <c r="B8" s="1483" t="s">
        <v>2061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502"/>
      <c r="B39" s="1502"/>
      <c r="C39" s="1502"/>
      <c r="D39" s="1502"/>
      <c r="E39" s="1502"/>
      <c r="F39" s="1502"/>
    </row>
    <row r="40" spans="1:15" s="1499" customFormat="1" ht="12" customHeight="1" x14ac:dyDescent="0.25">
      <c r="A40" s="1503" t="s">
        <v>1375</v>
      </c>
      <c r="B40" s="1504"/>
      <c r="C40" s="2432"/>
      <c r="D40" s="2432"/>
      <c r="E40" s="2432"/>
      <c r="F40" s="2433"/>
      <c r="H40" s="1508"/>
      <c r="I40" s="1508"/>
      <c r="J40" s="1508"/>
      <c r="K40" s="1508"/>
    </row>
    <row r="41" spans="1:15" s="1499" customFormat="1" ht="12" customHeight="1" x14ac:dyDescent="0.25">
      <c r="A41" s="2434"/>
      <c r="B41" s="2435"/>
      <c r="C41" s="2435"/>
      <c r="D41" s="2435"/>
      <c r="E41" s="2435"/>
      <c r="F41" s="2436"/>
      <c r="H41" s="1508"/>
      <c r="I41" s="1508"/>
      <c r="J41" s="1508"/>
      <c r="K41" s="1508"/>
    </row>
    <row r="42" spans="1:15" s="1499" customFormat="1" ht="12" customHeight="1" x14ac:dyDescent="0.25">
      <c r="A42" s="2434"/>
      <c r="B42" s="2435"/>
      <c r="C42" s="2435"/>
      <c r="D42" s="2435"/>
      <c r="E42" s="2435"/>
      <c r="F42" s="2436"/>
      <c r="H42" s="1508"/>
      <c r="I42" s="1508"/>
      <c r="J42" s="1508"/>
      <c r="K42" s="1508"/>
    </row>
    <row r="43" spans="1:15" s="1499" customFormat="1" ht="15" x14ac:dyDescent="0.25">
      <c r="A43" s="2426"/>
      <c r="B43" s="2427"/>
      <c r="C43" s="2427"/>
      <c r="D43" s="2427"/>
      <c r="E43" s="2427"/>
      <c r="F43" s="2428"/>
      <c r="H43" s="1508"/>
      <c r="I43" s="1508"/>
      <c r="J43" s="1508"/>
      <c r="K43" s="1508"/>
    </row>
    <row r="44" spans="1:15" s="1499" customFormat="1" ht="12" hidden="1" customHeight="1" x14ac:dyDescent="0.25">
      <c r="A44" s="2426"/>
      <c r="B44" s="2427"/>
      <c r="C44" s="2427"/>
      <c r="D44" s="2427"/>
      <c r="E44" s="2427"/>
      <c r="F44" s="242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 bottom="0.75" header="1" footer="0.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election activeCell="C82" sqref="C82"/>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NPT Special Education Cooperative</v>
      </c>
      <c r="K6" s="2438"/>
      <c r="L6" s="2439"/>
      <c r="M6" s="838"/>
      <c r="N6" s="1999"/>
    </row>
    <row r="7" spans="1:14" x14ac:dyDescent="0.2">
      <c r="A7" s="2440" t="s">
        <v>864</v>
      </c>
      <c r="B7" s="2441"/>
      <c r="C7" s="2441"/>
      <c r="D7" s="2441"/>
      <c r="E7" s="2442"/>
      <c r="F7" s="839"/>
      <c r="G7" s="838"/>
      <c r="H7" s="838"/>
      <c r="I7" s="1925" t="s">
        <v>369</v>
      </c>
      <c r="J7" s="2443">
        <f>COVER!A13</f>
        <v>3011003061</v>
      </c>
      <c r="K7" s="2443"/>
      <c r="L7" s="2443"/>
      <c r="M7" s="838"/>
      <c r="N7" s="1999"/>
    </row>
    <row r="8" spans="1:14" x14ac:dyDescent="0.2">
      <c r="A8" s="2001"/>
      <c r="B8" s="1926"/>
      <c r="C8" s="1926"/>
      <c r="D8" s="1926"/>
      <c r="E8" s="1927"/>
      <c r="F8" s="1928"/>
      <c r="G8" s="1911"/>
      <c r="H8" s="1911"/>
      <c r="I8" s="1911"/>
      <c r="J8" s="1911"/>
      <c r="K8" s="1911"/>
      <c r="L8" s="1911"/>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44" t="s">
        <v>478</v>
      </c>
      <c r="B11" s="2445"/>
      <c r="C11" s="2446"/>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133612</v>
      </c>
      <c r="F12" s="1943"/>
      <c r="G12" s="1969">
        <f>G68</f>
        <v>0</v>
      </c>
      <c r="H12" s="1945">
        <f t="shared" ref="H12:H18" si="0">SUM(E12:G12)</f>
        <v>133612</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47" t="s">
        <v>7</v>
      </c>
      <c r="C18" s="2448"/>
      <c r="D18" s="2449"/>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133612</v>
      </c>
      <c r="F19" s="1951">
        <f t="shared" si="2"/>
        <v>0</v>
      </c>
      <c r="G19" s="1951">
        <f t="shared" ref="G19" si="3">SUM(G12:G17)-G18</f>
        <v>0</v>
      </c>
      <c r="H19" s="1951">
        <f t="shared" si="2"/>
        <v>133612</v>
      </c>
      <c r="I19" s="1951">
        <f t="shared" si="2"/>
        <v>0</v>
      </c>
      <c r="J19" s="1951">
        <f t="shared" si="2"/>
        <v>0</v>
      </c>
      <c r="K19" s="1951">
        <f t="shared" si="2"/>
        <v>0</v>
      </c>
      <c r="L19" s="1951">
        <f t="shared" si="2"/>
        <v>0</v>
      </c>
      <c r="M19" s="838"/>
      <c r="N19" s="1999"/>
    </row>
    <row r="20" spans="1:14" ht="13.5" thickTop="1" x14ac:dyDescent="0.2">
      <c r="A20" s="2004">
        <v>9</v>
      </c>
      <c r="B20" s="2450" t="s">
        <v>2021</v>
      </c>
      <c r="C20" s="2450"/>
      <c r="D20" s="2451"/>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52"/>
      <c r="D27" s="2452"/>
      <c r="E27" s="843"/>
      <c r="F27" s="2453"/>
      <c r="G27" s="2453"/>
      <c r="H27" s="2453"/>
      <c r="I27" s="838"/>
      <c r="J27" s="838"/>
      <c r="K27" s="838"/>
      <c r="L27" s="838"/>
      <c r="M27" s="838"/>
      <c r="N27" s="1999"/>
    </row>
    <row r="28" spans="1:14" x14ac:dyDescent="0.2">
      <c r="A28" s="1998"/>
      <c r="B28" s="2008"/>
      <c r="C28" s="1958" t="s">
        <v>1026</v>
      </c>
      <c r="D28" s="844"/>
      <c r="E28" s="1959"/>
      <c r="F28" s="2454" t="s">
        <v>1492</v>
      </c>
      <c r="G28" s="2454"/>
      <c r="H28" s="2454"/>
      <c r="I28" s="838"/>
      <c r="J28" s="838"/>
      <c r="K28" s="838"/>
      <c r="L28" s="838"/>
      <c r="M28" s="838"/>
      <c r="N28" s="1999"/>
    </row>
    <row r="29" spans="1:14" x14ac:dyDescent="0.2">
      <c r="A29" s="1998"/>
      <c r="B29" s="2008"/>
      <c r="C29" s="2455"/>
      <c r="D29" s="2455"/>
      <c r="E29" s="845"/>
      <c r="F29" s="2455"/>
      <c r="G29" s="2455"/>
      <c r="H29" s="2455"/>
      <c r="I29" s="838"/>
      <c r="J29" s="838"/>
      <c r="K29" s="838"/>
      <c r="L29" s="838"/>
      <c r="M29" s="838"/>
      <c r="N29" s="1999"/>
    </row>
    <row r="30" spans="1:14" x14ac:dyDescent="0.2">
      <c r="A30" s="1998"/>
      <c r="B30" s="2008"/>
      <c r="C30" s="1961" t="s">
        <v>1544</v>
      </c>
      <c r="D30" s="838"/>
      <c r="E30" s="1960"/>
      <c r="F30" s="2437" t="s">
        <v>1493</v>
      </c>
      <c r="G30" s="2437"/>
      <c r="H30" s="2437"/>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58" t="s">
        <v>2024</v>
      </c>
      <c r="D34" s="2459"/>
      <c r="E34" s="2459"/>
      <c r="F34" s="2459"/>
      <c r="G34" s="2459"/>
      <c r="H34" s="2459"/>
      <c r="I34" s="2459"/>
      <c r="J34" s="2459"/>
      <c r="K34" s="2017"/>
      <c r="L34" s="838"/>
      <c r="M34" s="838"/>
      <c r="N34" s="1999"/>
    </row>
    <row r="35" spans="1:14" x14ac:dyDescent="0.2">
      <c r="A35" s="1998"/>
      <c r="B35" s="838"/>
      <c r="C35" s="2459"/>
      <c r="D35" s="2459"/>
      <c r="E35" s="2459"/>
      <c r="F35" s="2459"/>
      <c r="G35" s="2459"/>
      <c r="H35" s="2459"/>
      <c r="I35" s="2459"/>
      <c r="J35" s="245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58" t="s">
        <v>2025</v>
      </c>
      <c r="D37" s="2459"/>
      <c r="E37" s="2459"/>
      <c r="F37" s="2459"/>
      <c r="G37" s="2459"/>
      <c r="H37" s="2459"/>
      <c r="I37" s="2459"/>
      <c r="J37" s="2459"/>
      <c r="K37" s="2017"/>
      <c r="L37" s="2019"/>
      <c r="M37" s="838"/>
      <c r="N37" s="1999"/>
    </row>
    <row r="38" spans="1:14" x14ac:dyDescent="0.2">
      <c r="A38" s="1998"/>
      <c r="B38" s="838"/>
      <c r="C38" s="2459"/>
      <c r="D38" s="2459"/>
      <c r="E38" s="2459"/>
      <c r="F38" s="2459"/>
      <c r="G38" s="2459"/>
      <c r="H38" s="2459"/>
      <c r="I38" s="2459"/>
      <c r="J38" s="245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60" t="s">
        <v>2026</v>
      </c>
      <c r="D40" s="2461"/>
      <c r="E40" s="2461"/>
      <c r="F40" s="2461"/>
      <c r="G40" s="2461"/>
      <c r="H40" s="2461"/>
      <c r="I40" s="2461"/>
      <c r="J40" s="246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62" t="s">
        <v>2027</v>
      </c>
      <c r="B43" s="2463"/>
      <c r="C43" s="2463"/>
      <c r="D43" s="2463"/>
      <c r="E43" s="2463"/>
      <c r="F43" s="2463"/>
      <c r="G43" s="2463"/>
      <c r="H43" s="2463"/>
      <c r="I43" s="2463"/>
      <c r="J43" s="2463"/>
      <c r="K43" s="2463"/>
      <c r="L43" s="2463"/>
      <c r="M43" s="2463"/>
      <c r="N43" s="246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65" t="s">
        <v>2029</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NPT Special Education Cooperative</v>
      </c>
      <c r="M52" s="2438"/>
      <c r="N52" s="2468"/>
    </row>
    <row r="53" spans="1:14" x14ac:dyDescent="0.2">
      <c r="A53" s="1983"/>
      <c r="B53" s="1984"/>
      <c r="C53" s="1984"/>
      <c r="D53" s="1984"/>
      <c r="E53" s="1984"/>
      <c r="F53" s="1984"/>
      <c r="G53" s="1984"/>
      <c r="H53" s="1984"/>
      <c r="I53" s="1984"/>
      <c r="J53" s="1984"/>
      <c r="K53" s="1925" t="s">
        <v>369</v>
      </c>
      <c r="L53" s="2443">
        <f>J7</f>
        <v>3011003061</v>
      </c>
      <c r="M53" s="2443"/>
      <c r="N53" s="2469"/>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70"/>
      <c r="B55" s="2471"/>
      <c r="C55" s="2471"/>
      <c r="D55" s="1971"/>
      <c r="E55" s="1971"/>
      <c r="F55" s="1971"/>
      <c r="G55" s="2472" t="s">
        <v>2030</v>
      </c>
      <c r="H55" s="2472"/>
      <c r="I55" s="2472"/>
      <c r="J55" s="2472"/>
      <c r="K55" s="2472"/>
      <c r="L55" s="2472"/>
      <c r="M55" s="2472"/>
      <c r="N55" s="2473"/>
    </row>
    <row r="56" spans="1:14" ht="63.75" x14ac:dyDescent="0.2">
      <c r="A56" s="2474" t="s">
        <v>2031</v>
      </c>
      <c r="B56" s="2475"/>
      <c r="C56" s="2476"/>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77" t="s">
        <v>296</v>
      </c>
      <c r="B57" s="2478"/>
      <c r="C57" s="2478"/>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56" t="s">
        <v>2041</v>
      </c>
      <c r="B58" s="2457"/>
      <c r="C58" s="245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79" t="s">
        <v>297</v>
      </c>
      <c r="B59" s="2480"/>
      <c r="C59" s="248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79" t="s">
        <v>236</v>
      </c>
      <c r="B60" s="2480"/>
      <c r="C60" s="248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79" t="s">
        <v>697</v>
      </c>
      <c r="B61" s="2480"/>
      <c r="C61" s="2480"/>
      <c r="D61" s="1968">
        <v>2365</v>
      </c>
      <c r="E61" s="1978">
        <f>'Expenditures 15-22'!K323</f>
        <v>0</v>
      </c>
      <c r="F61" s="1973"/>
      <c r="G61" s="2032"/>
      <c r="H61" s="2033"/>
      <c r="I61" s="2033"/>
      <c r="J61" s="2033"/>
      <c r="K61" s="2033"/>
      <c r="L61" s="2033"/>
      <c r="M61" s="2033"/>
      <c r="N61" s="1976">
        <f t="shared" si="4"/>
        <v>0</v>
      </c>
    </row>
    <row r="62" spans="1:14" ht="24" customHeight="1" x14ac:dyDescent="0.2">
      <c r="A62" s="2479" t="s">
        <v>237</v>
      </c>
      <c r="B62" s="2480"/>
      <c r="C62" s="2480"/>
      <c r="D62" s="1968">
        <v>2366</v>
      </c>
      <c r="E62" s="1978">
        <f>'Expenditures 15-22'!K324</f>
        <v>0</v>
      </c>
      <c r="F62" s="1973"/>
      <c r="G62" s="2032"/>
      <c r="H62" s="2033"/>
      <c r="I62" s="2033"/>
      <c r="J62" s="2033"/>
      <c r="K62" s="2033"/>
      <c r="L62" s="2033"/>
      <c r="M62" s="2033"/>
      <c r="N62" s="1976">
        <f t="shared" si="4"/>
        <v>0</v>
      </c>
    </row>
    <row r="63" spans="1:14" ht="24" customHeight="1" x14ac:dyDescent="0.2">
      <c r="A63" s="2456" t="s">
        <v>1022</v>
      </c>
      <c r="B63" s="2457"/>
      <c r="C63" s="2457"/>
      <c r="D63" s="1968">
        <v>2367</v>
      </c>
      <c r="E63" s="1978">
        <f>'Expenditures 15-22'!K325</f>
        <v>0</v>
      </c>
      <c r="F63" s="1973"/>
      <c r="G63" s="2032"/>
      <c r="H63" s="2033"/>
      <c r="I63" s="2033"/>
      <c r="J63" s="2033"/>
      <c r="K63" s="2033"/>
      <c r="L63" s="2033"/>
      <c r="M63" s="2033"/>
      <c r="N63" s="1976">
        <f t="shared" si="4"/>
        <v>0</v>
      </c>
    </row>
    <row r="64" spans="1:14" ht="24" customHeight="1" x14ac:dyDescent="0.2">
      <c r="A64" s="2479" t="s">
        <v>1023</v>
      </c>
      <c r="B64" s="2480"/>
      <c r="C64" s="2480"/>
      <c r="D64" s="1968">
        <v>2368</v>
      </c>
      <c r="E64" s="1978">
        <f>'Expenditures 15-22'!K326</f>
        <v>0</v>
      </c>
      <c r="F64" s="1973"/>
      <c r="G64" s="2032"/>
      <c r="H64" s="2033"/>
      <c r="I64" s="2033"/>
      <c r="J64" s="2033"/>
      <c r="K64" s="2033"/>
      <c r="L64" s="2033"/>
      <c r="M64" s="2033"/>
      <c r="N64" s="1976">
        <f t="shared" si="4"/>
        <v>0</v>
      </c>
    </row>
    <row r="65" spans="1:14" ht="24" customHeight="1" x14ac:dyDescent="0.2">
      <c r="A65" s="2479" t="s">
        <v>965</v>
      </c>
      <c r="B65" s="2480"/>
      <c r="C65" s="2480"/>
      <c r="D65" s="1968">
        <v>2369</v>
      </c>
      <c r="E65" s="1978">
        <f>'Expenditures 15-22'!K327</f>
        <v>0</v>
      </c>
      <c r="F65" s="1973"/>
      <c r="G65" s="2032"/>
      <c r="H65" s="2033"/>
      <c r="I65" s="2033"/>
      <c r="J65" s="2033"/>
      <c r="K65" s="2033"/>
      <c r="L65" s="2033"/>
      <c r="M65" s="2033"/>
      <c r="N65" s="1976">
        <f t="shared" si="4"/>
        <v>0</v>
      </c>
    </row>
    <row r="66" spans="1:14" ht="24" customHeight="1" x14ac:dyDescent="0.2">
      <c r="A66" s="2479" t="s">
        <v>469</v>
      </c>
      <c r="B66" s="2480"/>
      <c r="C66" s="2480"/>
      <c r="D66" s="1968">
        <v>2371</v>
      </c>
      <c r="E66" s="1978">
        <f>'Expenditures 15-22'!K328</f>
        <v>0</v>
      </c>
      <c r="F66" s="1973"/>
      <c r="G66" s="2032"/>
      <c r="H66" s="2033"/>
      <c r="I66" s="2033"/>
      <c r="J66" s="2033"/>
      <c r="K66" s="2033"/>
      <c r="L66" s="2033"/>
      <c r="M66" s="2033"/>
      <c r="N66" s="1976">
        <f t="shared" si="4"/>
        <v>0</v>
      </c>
    </row>
    <row r="67" spans="1:14" ht="24.75" customHeight="1" x14ac:dyDescent="0.2">
      <c r="A67" s="2481" t="s">
        <v>2042</v>
      </c>
      <c r="B67" s="2482"/>
      <c r="C67" s="2482"/>
      <c r="D67" s="1970">
        <v>2372</v>
      </c>
      <c r="E67" s="1979">
        <f>'Expenditures 15-22'!K329</f>
        <v>0</v>
      </c>
      <c r="F67" s="1973"/>
      <c r="G67" s="2034"/>
      <c r="H67" s="2035"/>
      <c r="I67" s="2035"/>
      <c r="J67" s="2035"/>
      <c r="K67" s="2035"/>
      <c r="L67" s="2035"/>
      <c r="M67" s="2035"/>
      <c r="N67" s="1976">
        <f t="shared" si="4"/>
        <v>0</v>
      </c>
    </row>
    <row r="68" spans="1:14" x14ac:dyDescent="0.2">
      <c r="A68" s="2483" t="s">
        <v>1151</v>
      </c>
      <c r="B68" s="2484"/>
      <c r="C68" s="248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rintOptions horizontalCentered="1"/>
  <pageMargins left="0.5" right="0.5" top="1" bottom="0.75" header="0.9" footer="0.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848" t="s">
        <v>2108</v>
      </c>
    </row>
    <row r="6" spans="1:2" x14ac:dyDescent="0.2">
      <c r="A6" s="847"/>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t="s">
        <v>2063</v>
      </c>
    </row>
    <row r="24" spans="1:1" x14ac:dyDescent="0.2">
      <c r="A24" s="848" t="s">
        <v>2062</v>
      </c>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NPT Special Education Cooperative</v>
      </c>
    </row>
    <row r="65" spans="2:2" x14ac:dyDescent="0.2">
      <c r="B65" s="849">
        <f>COVER!A13</f>
        <v>3011003061</v>
      </c>
    </row>
  </sheetData>
  <phoneticPr fontId="16" type="noConversion"/>
  <printOptions horizontalCentered="1"/>
  <pageMargins left="1" right="0.75" top="0.75" bottom="0.75" header="0.65" footer="0.5"/>
  <pageSetup scale="75" firstPageNumber="34" orientation="portrait" useFirstPageNumber="1" r:id="rId1"/>
  <headerFooter alignWithMargins="0">
    <oddHeader>&amp;C &amp;R&amp;8Page &amp;P</oddHeader>
    <oddFooter>&amp;CReference should be made to auditor's report regarding this information.
32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1" t="s">
        <v>1056</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686</v>
      </c>
      <c r="B40" s="2168"/>
      <c r="C40" s="2168"/>
      <c r="D40" s="2168"/>
      <c r="E40" s="2168"/>
    </row>
    <row r="41" spans="1:5" x14ac:dyDescent="0.2">
      <c r="A41" s="2169" t="s">
        <v>1591</v>
      </c>
      <c r="B41" s="2169"/>
      <c r="C41" s="2169"/>
      <c r="D41" s="2169"/>
      <c r="E41" s="2169"/>
    </row>
    <row r="42" spans="1:5" ht="12.75" customHeight="1" x14ac:dyDescent="0.2">
      <c r="A42" s="2170" t="s">
        <v>1015</v>
      </c>
      <c r="B42" s="2170"/>
      <c r="C42" s="2170"/>
      <c r="D42" s="2170"/>
      <c r="E42" s="217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rintOptions horizontalCentered="1"/>
  <pageMargins left="1" right="0.75" top="0.75" bottom="0.75" header="0.5" footer="0.5"/>
  <pageSetup scale="70" firstPageNumber="35" orientation="portrait" useFirstPageNumber="1" r:id="rId1"/>
  <headerFooter alignWithMargins="0">
    <oddHeader>&amp;R&amp;8Page &amp;P</oddHeader>
    <oddFooter>&amp;CReference should be made to auditor's report regarding this information.
33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EB4F2-AD43-4AFC-8968-3F7B99F26829}">
  <sheetPr>
    <pageSetUpPr fitToPage="1"/>
  </sheetPr>
  <dimension ref="A1:C51"/>
  <sheetViews>
    <sheetView topLeftCell="A34" zoomScaleNormal="100" workbookViewId="0">
      <selection activeCell="A36" sqref="A36"/>
    </sheetView>
  </sheetViews>
  <sheetFormatPr defaultColWidth="9.140625" defaultRowHeight="12.75" x14ac:dyDescent="0.2"/>
  <cols>
    <col min="1" max="1" width="78.42578125" style="2036" customWidth="1"/>
    <col min="2" max="2" width="7.42578125" style="2036" customWidth="1"/>
    <col min="3" max="3" width="15.28515625" style="2053" customWidth="1"/>
    <col min="4" max="244" width="9.140625" style="2036"/>
    <col min="245" max="245" width="78.42578125" style="2036" customWidth="1"/>
    <col min="246" max="246" width="7.42578125" style="2036" customWidth="1"/>
    <col min="247" max="247" width="15.28515625" style="2036" customWidth="1"/>
    <col min="248" max="500" width="9.140625" style="2036"/>
    <col min="501" max="501" width="78.42578125" style="2036" customWidth="1"/>
    <col min="502" max="502" width="7.42578125" style="2036" customWidth="1"/>
    <col min="503" max="503" width="15.28515625" style="2036" customWidth="1"/>
    <col min="504" max="756" width="9.140625" style="2036"/>
    <col min="757" max="757" width="78.42578125" style="2036" customWidth="1"/>
    <col min="758" max="758" width="7.42578125" style="2036" customWidth="1"/>
    <col min="759" max="759" width="15.28515625" style="2036" customWidth="1"/>
    <col min="760" max="1012" width="9.140625" style="2036"/>
    <col min="1013" max="1013" width="78.42578125" style="2036" customWidth="1"/>
    <col min="1014" max="1014" width="7.42578125" style="2036" customWidth="1"/>
    <col min="1015" max="1015" width="15.28515625" style="2036" customWidth="1"/>
    <col min="1016" max="1268" width="9.140625" style="2036"/>
    <col min="1269" max="1269" width="78.42578125" style="2036" customWidth="1"/>
    <col min="1270" max="1270" width="7.42578125" style="2036" customWidth="1"/>
    <col min="1271" max="1271" width="15.28515625" style="2036" customWidth="1"/>
    <col min="1272" max="1524" width="9.140625" style="2036"/>
    <col min="1525" max="1525" width="78.42578125" style="2036" customWidth="1"/>
    <col min="1526" max="1526" width="7.42578125" style="2036" customWidth="1"/>
    <col min="1527" max="1527" width="15.28515625" style="2036" customWidth="1"/>
    <col min="1528" max="1780" width="9.140625" style="2036"/>
    <col min="1781" max="1781" width="78.42578125" style="2036" customWidth="1"/>
    <col min="1782" max="1782" width="7.42578125" style="2036" customWidth="1"/>
    <col min="1783" max="1783" width="15.28515625" style="2036" customWidth="1"/>
    <col min="1784" max="2036" width="9.140625" style="2036"/>
    <col min="2037" max="2037" width="78.42578125" style="2036" customWidth="1"/>
    <col min="2038" max="2038" width="7.42578125" style="2036" customWidth="1"/>
    <col min="2039" max="2039" width="15.28515625" style="2036" customWidth="1"/>
    <col min="2040" max="2292" width="9.140625" style="2036"/>
    <col min="2293" max="2293" width="78.42578125" style="2036" customWidth="1"/>
    <col min="2294" max="2294" width="7.42578125" style="2036" customWidth="1"/>
    <col min="2295" max="2295" width="15.28515625" style="2036" customWidth="1"/>
    <col min="2296" max="2548" width="9.140625" style="2036"/>
    <col min="2549" max="2549" width="78.42578125" style="2036" customWidth="1"/>
    <col min="2550" max="2550" width="7.42578125" style="2036" customWidth="1"/>
    <col min="2551" max="2551" width="15.28515625" style="2036" customWidth="1"/>
    <col min="2552" max="2804" width="9.140625" style="2036"/>
    <col min="2805" max="2805" width="78.42578125" style="2036" customWidth="1"/>
    <col min="2806" max="2806" width="7.42578125" style="2036" customWidth="1"/>
    <col min="2807" max="2807" width="15.28515625" style="2036" customWidth="1"/>
    <col min="2808" max="3060" width="9.140625" style="2036"/>
    <col min="3061" max="3061" width="78.42578125" style="2036" customWidth="1"/>
    <col min="3062" max="3062" width="7.42578125" style="2036" customWidth="1"/>
    <col min="3063" max="3063" width="15.28515625" style="2036" customWidth="1"/>
    <col min="3064" max="3316" width="9.140625" style="2036"/>
    <col min="3317" max="3317" width="78.42578125" style="2036" customWidth="1"/>
    <col min="3318" max="3318" width="7.42578125" style="2036" customWidth="1"/>
    <col min="3319" max="3319" width="15.28515625" style="2036" customWidth="1"/>
    <col min="3320" max="3572" width="9.140625" style="2036"/>
    <col min="3573" max="3573" width="78.42578125" style="2036" customWidth="1"/>
    <col min="3574" max="3574" width="7.42578125" style="2036" customWidth="1"/>
    <col min="3575" max="3575" width="15.28515625" style="2036" customWidth="1"/>
    <col min="3576" max="3828" width="9.140625" style="2036"/>
    <col min="3829" max="3829" width="78.42578125" style="2036" customWidth="1"/>
    <col min="3830" max="3830" width="7.42578125" style="2036" customWidth="1"/>
    <col min="3831" max="3831" width="15.28515625" style="2036" customWidth="1"/>
    <col min="3832" max="4084" width="9.140625" style="2036"/>
    <col min="4085" max="4085" width="78.42578125" style="2036" customWidth="1"/>
    <col min="4086" max="4086" width="7.42578125" style="2036" customWidth="1"/>
    <col min="4087" max="4087" width="15.28515625" style="2036" customWidth="1"/>
    <col min="4088" max="4340" width="9.140625" style="2036"/>
    <col min="4341" max="4341" width="78.42578125" style="2036" customWidth="1"/>
    <col min="4342" max="4342" width="7.42578125" style="2036" customWidth="1"/>
    <col min="4343" max="4343" width="15.28515625" style="2036" customWidth="1"/>
    <col min="4344" max="4596" width="9.140625" style="2036"/>
    <col min="4597" max="4597" width="78.42578125" style="2036" customWidth="1"/>
    <col min="4598" max="4598" width="7.42578125" style="2036" customWidth="1"/>
    <col min="4599" max="4599" width="15.28515625" style="2036" customWidth="1"/>
    <col min="4600" max="4852" width="9.140625" style="2036"/>
    <col min="4853" max="4853" width="78.42578125" style="2036" customWidth="1"/>
    <col min="4854" max="4854" width="7.42578125" style="2036" customWidth="1"/>
    <col min="4855" max="4855" width="15.28515625" style="2036" customWidth="1"/>
    <col min="4856" max="5108" width="9.140625" style="2036"/>
    <col min="5109" max="5109" width="78.42578125" style="2036" customWidth="1"/>
    <col min="5110" max="5110" width="7.42578125" style="2036" customWidth="1"/>
    <col min="5111" max="5111" width="15.28515625" style="2036" customWidth="1"/>
    <col min="5112" max="5364" width="9.140625" style="2036"/>
    <col min="5365" max="5365" width="78.42578125" style="2036" customWidth="1"/>
    <col min="5366" max="5366" width="7.42578125" style="2036" customWidth="1"/>
    <col min="5367" max="5367" width="15.28515625" style="2036" customWidth="1"/>
    <col min="5368" max="5620" width="9.140625" style="2036"/>
    <col min="5621" max="5621" width="78.42578125" style="2036" customWidth="1"/>
    <col min="5622" max="5622" width="7.42578125" style="2036" customWidth="1"/>
    <col min="5623" max="5623" width="15.28515625" style="2036" customWidth="1"/>
    <col min="5624" max="5876" width="9.140625" style="2036"/>
    <col min="5877" max="5877" width="78.42578125" style="2036" customWidth="1"/>
    <col min="5878" max="5878" width="7.42578125" style="2036" customWidth="1"/>
    <col min="5879" max="5879" width="15.28515625" style="2036" customWidth="1"/>
    <col min="5880" max="6132" width="9.140625" style="2036"/>
    <col min="6133" max="6133" width="78.42578125" style="2036" customWidth="1"/>
    <col min="6134" max="6134" width="7.42578125" style="2036" customWidth="1"/>
    <col min="6135" max="6135" width="15.28515625" style="2036" customWidth="1"/>
    <col min="6136" max="6388" width="9.140625" style="2036"/>
    <col min="6389" max="6389" width="78.42578125" style="2036" customWidth="1"/>
    <col min="6390" max="6390" width="7.42578125" style="2036" customWidth="1"/>
    <col min="6391" max="6391" width="15.28515625" style="2036" customWidth="1"/>
    <col min="6392" max="6644" width="9.140625" style="2036"/>
    <col min="6645" max="6645" width="78.42578125" style="2036" customWidth="1"/>
    <col min="6646" max="6646" width="7.42578125" style="2036" customWidth="1"/>
    <col min="6647" max="6647" width="15.28515625" style="2036" customWidth="1"/>
    <col min="6648" max="6900" width="9.140625" style="2036"/>
    <col min="6901" max="6901" width="78.42578125" style="2036" customWidth="1"/>
    <col min="6902" max="6902" width="7.42578125" style="2036" customWidth="1"/>
    <col min="6903" max="6903" width="15.28515625" style="2036" customWidth="1"/>
    <col min="6904" max="7156" width="9.140625" style="2036"/>
    <col min="7157" max="7157" width="78.42578125" style="2036" customWidth="1"/>
    <col min="7158" max="7158" width="7.42578125" style="2036" customWidth="1"/>
    <col min="7159" max="7159" width="15.28515625" style="2036" customWidth="1"/>
    <col min="7160" max="7412" width="9.140625" style="2036"/>
    <col min="7413" max="7413" width="78.42578125" style="2036" customWidth="1"/>
    <col min="7414" max="7414" width="7.42578125" style="2036" customWidth="1"/>
    <col min="7415" max="7415" width="15.28515625" style="2036" customWidth="1"/>
    <col min="7416" max="7668" width="9.140625" style="2036"/>
    <col min="7669" max="7669" width="78.42578125" style="2036" customWidth="1"/>
    <col min="7670" max="7670" width="7.42578125" style="2036" customWidth="1"/>
    <col min="7671" max="7671" width="15.28515625" style="2036" customWidth="1"/>
    <col min="7672" max="7924" width="9.140625" style="2036"/>
    <col min="7925" max="7925" width="78.42578125" style="2036" customWidth="1"/>
    <col min="7926" max="7926" width="7.42578125" style="2036" customWidth="1"/>
    <col min="7927" max="7927" width="15.28515625" style="2036" customWidth="1"/>
    <col min="7928" max="8180" width="9.140625" style="2036"/>
    <col min="8181" max="8181" width="78.42578125" style="2036" customWidth="1"/>
    <col min="8182" max="8182" width="7.42578125" style="2036" customWidth="1"/>
    <col min="8183" max="8183" width="15.28515625" style="2036" customWidth="1"/>
    <col min="8184" max="8436" width="9.140625" style="2036"/>
    <col min="8437" max="8437" width="78.42578125" style="2036" customWidth="1"/>
    <col min="8438" max="8438" width="7.42578125" style="2036" customWidth="1"/>
    <col min="8439" max="8439" width="15.28515625" style="2036" customWidth="1"/>
    <col min="8440" max="8692" width="9.140625" style="2036"/>
    <col min="8693" max="8693" width="78.42578125" style="2036" customWidth="1"/>
    <col min="8694" max="8694" width="7.42578125" style="2036" customWidth="1"/>
    <col min="8695" max="8695" width="15.28515625" style="2036" customWidth="1"/>
    <col min="8696" max="8948" width="9.140625" style="2036"/>
    <col min="8949" max="8949" width="78.42578125" style="2036" customWidth="1"/>
    <col min="8950" max="8950" width="7.42578125" style="2036" customWidth="1"/>
    <col min="8951" max="8951" width="15.28515625" style="2036" customWidth="1"/>
    <col min="8952" max="9204" width="9.140625" style="2036"/>
    <col min="9205" max="9205" width="78.42578125" style="2036" customWidth="1"/>
    <col min="9206" max="9206" width="7.42578125" style="2036" customWidth="1"/>
    <col min="9207" max="9207" width="15.28515625" style="2036" customWidth="1"/>
    <col min="9208" max="9460" width="9.140625" style="2036"/>
    <col min="9461" max="9461" width="78.42578125" style="2036" customWidth="1"/>
    <col min="9462" max="9462" width="7.42578125" style="2036" customWidth="1"/>
    <col min="9463" max="9463" width="15.28515625" style="2036" customWidth="1"/>
    <col min="9464" max="9716" width="9.140625" style="2036"/>
    <col min="9717" max="9717" width="78.42578125" style="2036" customWidth="1"/>
    <col min="9718" max="9718" width="7.42578125" style="2036" customWidth="1"/>
    <col min="9719" max="9719" width="15.28515625" style="2036" customWidth="1"/>
    <col min="9720" max="9972" width="9.140625" style="2036"/>
    <col min="9973" max="9973" width="78.42578125" style="2036" customWidth="1"/>
    <col min="9974" max="9974" width="7.42578125" style="2036" customWidth="1"/>
    <col min="9975" max="9975" width="15.28515625" style="2036" customWidth="1"/>
    <col min="9976" max="10228" width="9.140625" style="2036"/>
    <col min="10229" max="10229" width="78.42578125" style="2036" customWidth="1"/>
    <col min="10230" max="10230" width="7.42578125" style="2036" customWidth="1"/>
    <col min="10231" max="10231" width="15.28515625" style="2036" customWidth="1"/>
    <col min="10232" max="10484" width="9.140625" style="2036"/>
    <col min="10485" max="10485" width="78.42578125" style="2036" customWidth="1"/>
    <col min="10486" max="10486" width="7.42578125" style="2036" customWidth="1"/>
    <col min="10487" max="10487" width="15.28515625" style="2036" customWidth="1"/>
    <col min="10488" max="10740" width="9.140625" style="2036"/>
    <col min="10741" max="10741" width="78.42578125" style="2036" customWidth="1"/>
    <col min="10742" max="10742" width="7.42578125" style="2036" customWidth="1"/>
    <col min="10743" max="10743" width="15.28515625" style="2036" customWidth="1"/>
    <col min="10744" max="10996" width="9.140625" style="2036"/>
    <col min="10997" max="10997" width="78.42578125" style="2036" customWidth="1"/>
    <col min="10998" max="10998" width="7.42578125" style="2036" customWidth="1"/>
    <col min="10999" max="10999" width="15.28515625" style="2036" customWidth="1"/>
    <col min="11000" max="11252" width="9.140625" style="2036"/>
    <col min="11253" max="11253" width="78.42578125" style="2036" customWidth="1"/>
    <col min="11254" max="11254" width="7.42578125" style="2036" customWidth="1"/>
    <col min="11255" max="11255" width="15.28515625" style="2036" customWidth="1"/>
    <col min="11256" max="11508" width="9.140625" style="2036"/>
    <col min="11509" max="11509" width="78.42578125" style="2036" customWidth="1"/>
    <col min="11510" max="11510" width="7.42578125" style="2036" customWidth="1"/>
    <col min="11511" max="11511" width="15.28515625" style="2036" customWidth="1"/>
    <col min="11512" max="11764" width="9.140625" style="2036"/>
    <col min="11765" max="11765" width="78.42578125" style="2036" customWidth="1"/>
    <col min="11766" max="11766" width="7.42578125" style="2036" customWidth="1"/>
    <col min="11767" max="11767" width="15.28515625" style="2036" customWidth="1"/>
    <col min="11768" max="12020" width="9.140625" style="2036"/>
    <col min="12021" max="12021" width="78.42578125" style="2036" customWidth="1"/>
    <col min="12022" max="12022" width="7.42578125" style="2036" customWidth="1"/>
    <col min="12023" max="12023" width="15.28515625" style="2036" customWidth="1"/>
    <col min="12024" max="12276" width="9.140625" style="2036"/>
    <col min="12277" max="12277" width="78.42578125" style="2036" customWidth="1"/>
    <col min="12278" max="12278" width="7.42578125" style="2036" customWidth="1"/>
    <col min="12279" max="12279" width="15.28515625" style="2036" customWidth="1"/>
    <col min="12280" max="12532" width="9.140625" style="2036"/>
    <col min="12533" max="12533" width="78.42578125" style="2036" customWidth="1"/>
    <col min="12534" max="12534" width="7.42578125" style="2036" customWidth="1"/>
    <col min="12535" max="12535" width="15.28515625" style="2036" customWidth="1"/>
    <col min="12536" max="12788" width="9.140625" style="2036"/>
    <col min="12789" max="12789" width="78.42578125" style="2036" customWidth="1"/>
    <col min="12790" max="12790" width="7.42578125" style="2036" customWidth="1"/>
    <col min="12791" max="12791" width="15.28515625" style="2036" customWidth="1"/>
    <col min="12792" max="13044" width="9.140625" style="2036"/>
    <col min="13045" max="13045" width="78.42578125" style="2036" customWidth="1"/>
    <col min="13046" max="13046" width="7.42578125" style="2036" customWidth="1"/>
    <col min="13047" max="13047" width="15.28515625" style="2036" customWidth="1"/>
    <col min="13048" max="13300" width="9.140625" style="2036"/>
    <col min="13301" max="13301" width="78.42578125" style="2036" customWidth="1"/>
    <col min="13302" max="13302" width="7.42578125" style="2036" customWidth="1"/>
    <col min="13303" max="13303" width="15.28515625" style="2036" customWidth="1"/>
    <col min="13304" max="13556" width="9.140625" style="2036"/>
    <col min="13557" max="13557" width="78.42578125" style="2036" customWidth="1"/>
    <col min="13558" max="13558" width="7.42578125" style="2036" customWidth="1"/>
    <col min="13559" max="13559" width="15.28515625" style="2036" customWidth="1"/>
    <col min="13560" max="13812" width="9.140625" style="2036"/>
    <col min="13813" max="13813" width="78.42578125" style="2036" customWidth="1"/>
    <col min="13814" max="13814" width="7.42578125" style="2036" customWidth="1"/>
    <col min="13815" max="13815" width="15.28515625" style="2036" customWidth="1"/>
    <col min="13816" max="14068" width="9.140625" style="2036"/>
    <col min="14069" max="14069" width="78.42578125" style="2036" customWidth="1"/>
    <col min="14070" max="14070" width="7.42578125" style="2036" customWidth="1"/>
    <col min="14071" max="14071" width="15.28515625" style="2036" customWidth="1"/>
    <col min="14072" max="14324" width="9.140625" style="2036"/>
    <col min="14325" max="14325" width="78.42578125" style="2036" customWidth="1"/>
    <col min="14326" max="14326" width="7.42578125" style="2036" customWidth="1"/>
    <col min="14327" max="14327" width="15.28515625" style="2036" customWidth="1"/>
    <col min="14328" max="14580" width="9.140625" style="2036"/>
    <col min="14581" max="14581" width="78.42578125" style="2036" customWidth="1"/>
    <col min="14582" max="14582" width="7.42578125" style="2036" customWidth="1"/>
    <col min="14583" max="14583" width="15.28515625" style="2036" customWidth="1"/>
    <col min="14584" max="14836" width="9.140625" style="2036"/>
    <col min="14837" max="14837" width="78.42578125" style="2036" customWidth="1"/>
    <col min="14838" max="14838" width="7.42578125" style="2036" customWidth="1"/>
    <col min="14839" max="14839" width="15.28515625" style="2036" customWidth="1"/>
    <col min="14840" max="15092" width="9.140625" style="2036"/>
    <col min="15093" max="15093" width="78.42578125" style="2036" customWidth="1"/>
    <col min="15094" max="15094" width="7.42578125" style="2036" customWidth="1"/>
    <col min="15095" max="15095" width="15.28515625" style="2036" customWidth="1"/>
    <col min="15096" max="15348" width="9.140625" style="2036"/>
    <col min="15349" max="15349" width="78.42578125" style="2036" customWidth="1"/>
    <col min="15350" max="15350" width="7.42578125" style="2036" customWidth="1"/>
    <col min="15351" max="15351" width="15.28515625" style="2036" customWidth="1"/>
    <col min="15352" max="15604" width="9.140625" style="2036"/>
    <col min="15605" max="15605" width="78.42578125" style="2036" customWidth="1"/>
    <col min="15606" max="15606" width="7.42578125" style="2036" customWidth="1"/>
    <col min="15607" max="15607" width="15.28515625" style="2036" customWidth="1"/>
    <col min="15608" max="15860" width="9.140625" style="2036"/>
    <col min="15861" max="15861" width="78.42578125" style="2036" customWidth="1"/>
    <col min="15862" max="15862" width="7.42578125" style="2036" customWidth="1"/>
    <col min="15863" max="15863" width="15.28515625" style="2036" customWidth="1"/>
    <col min="15864" max="16116" width="9.140625" style="2036"/>
    <col min="16117" max="16117" width="78.42578125" style="2036" customWidth="1"/>
    <col min="16118" max="16118" width="7.42578125" style="2036" customWidth="1"/>
    <col min="16119" max="16119" width="15.28515625" style="2036" customWidth="1"/>
    <col min="16120" max="16384" width="9.140625" style="2036"/>
  </cols>
  <sheetData>
    <row r="1" spans="1:3" ht="15.75" x14ac:dyDescent="0.25">
      <c r="A1" s="2485" t="s">
        <v>2102</v>
      </c>
      <c r="B1" s="2485"/>
      <c r="C1" s="2485"/>
    </row>
    <row r="2" spans="1:3" ht="15.75" x14ac:dyDescent="0.25">
      <c r="A2" s="2485" t="s">
        <v>1057</v>
      </c>
      <c r="B2" s="2485"/>
      <c r="C2" s="2485"/>
    </row>
    <row r="3" spans="1:3" ht="15.75" x14ac:dyDescent="0.25">
      <c r="A3" s="2486" t="s">
        <v>2103</v>
      </c>
      <c r="B3" s="2486"/>
      <c r="C3" s="2486"/>
    </row>
    <row r="4" spans="1:3" ht="15.75" x14ac:dyDescent="0.25">
      <c r="A4" s="2037"/>
      <c r="B4" s="2037"/>
      <c r="C4" s="2037"/>
    </row>
    <row r="5" spans="1:3" ht="15.75" x14ac:dyDescent="0.25">
      <c r="A5" s="2038"/>
      <c r="B5" s="2038"/>
      <c r="C5" s="2038"/>
    </row>
    <row r="6" spans="1:3" ht="15.75" x14ac:dyDescent="0.25">
      <c r="A6" s="2038"/>
      <c r="B6" s="2038"/>
      <c r="C6" s="2038"/>
    </row>
    <row r="7" spans="1:3" ht="16.5" x14ac:dyDescent="0.25">
      <c r="A7" s="2039"/>
      <c r="B7" s="2039"/>
      <c r="C7" s="2040" t="s">
        <v>2071</v>
      </c>
    </row>
    <row r="8" spans="1:3" ht="16.5" x14ac:dyDescent="0.25">
      <c r="A8" s="2039"/>
      <c r="B8" s="2039"/>
      <c r="C8" s="2040"/>
    </row>
    <row r="9" spans="1:3" ht="16.5" x14ac:dyDescent="0.25">
      <c r="A9" s="2041" t="s">
        <v>2072</v>
      </c>
      <c r="B9" s="2039"/>
      <c r="C9" s="2042" t="s">
        <v>2073</v>
      </c>
    </row>
    <row r="10" spans="1:3" ht="16.5" x14ac:dyDescent="0.25">
      <c r="A10" s="2041"/>
      <c r="B10" s="2039"/>
      <c r="C10" s="2042"/>
    </row>
    <row r="11" spans="1:3" ht="16.5" x14ac:dyDescent="0.25">
      <c r="A11" s="2041" t="s">
        <v>2074</v>
      </c>
      <c r="B11" s="2043"/>
      <c r="C11" s="2042"/>
    </row>
    <row r="12" spans="1:3" ht="16.5" x14ac:dyDescent="0.25">
      <c r="A12" s="2041" t="s">
        <v>2075</v>
      </c>
      <c r="B12" s="2043"/>
      <c r="C12" s="2042"/>
    </row>
    <row r="13" spans="1:3" ht="16.5" x14ac:dyDescent="0.25">
      <c r="A13" s="2041" t="s">
        <v>2076</v>
      </c>
      <c r="B13" s="2043"/>
      <c r="C13" s="2042" t="s">
        <v>2077</v>
      </c>
    </row>
    <row r="14" spans="1:3" ht="16.5" x14ac:dyDescent="0.25">
      <c r="A14" s="2041"/>
      <c r="B14" s="2043"/>
      <c r="C14" s="2042"/>
    </row>
    <row r="15" spans="1:3" ht="16.5" x14ac:dyDescent="0.25">
      <c r="A15" s="2044" t="s">
        <v>2078</v>
      </c>
      <c r="B15" s="2043"/>
      <c r="C15" s="2042"/>
    </row>
    <row r="16" spans="1:3" ht="16.5" x14ac:dyDescent="0.25">
      <c r="A16" s="2041"/>
      <c r="B16" s="2043"/>
      <c r="C16" s="2042"/>
    </row>
    <row r="17" spans="1:3" ht="16.5" x14ac:dyDescent="0.25">
      <c r="A17" s="2041" t="s">
        <v>2079</v>
      </c>
      <c r="B17" s="2043"/>
      <c r="C17" s="2042"/>
    </row>
    <row r="18" spans="1:3" ht="16.5" x14ac:dyDescent="0.25">
      <c r="A18" s="2041" t="s">
        <v>2080</v>
      </c>
      <c r="B18" s="2043"/>
      <c r="C18" s="2042" t="s">
        <v>2081</v>
      </c>
    </row>
    <row r="19" spans="1:3" ht="16.5" x14ac:dyDescent="0.25">
      <c r="A19" s="2041"/>
      <c r="B19" s="2043"/>
      <c r="C19" s="2042"/>
    </row>
    <row r="20" spans="1:3" ht="16.5" x14ac:dyDescent="0.25">
      <c r="A20" s="2041" t="s">
        <v>2082</v>
      </c>
      <c r="B20" s="2043"/>
      <c r="C20" s="2042"/>
    </row>
    <row r="21" spans="1:3" ht="16.5" x14ac:dyDescent="0.25">
      <c r="A21" s="2041" t="s">
        <v>2083</v>
      </c>
      <c r="B21" s="2043"/>
      <c r="C21" s="2042" t="s">
        <v>2084</v>
      </c>
    </row>
    <row r="22" spans="1:3" ht="16.5" x14ac:dyDescent="0.25">
      <c r="A22" s="2041"/>
      <c r="B22" s="2043"/>
      <c r="C22" s="2042"/>
    </row>
    <row r="23" spans="1:3" ht="16.5" x14ac:dyDescent="0.25">
      <c r="A23" s="2041" t="s">
        <v>2085</v>
      </c>
      <c r="B23" s="2043"/>
      <c r="C23" s="2042" t="s">
        <v>2086</v>
      </c>
    </row>
    <row r="24" spans="1:3" ht="16.5" x14ac:dyDescent="0.25">
      <c r="A24" s="2041"/>
      <c r="B24" s="2043"/>
      <c r="C24" s="2042"/>
    </row>
    <row r="25" spans="1:3" ht="16.5" x14ac:dyDescent="0.25">
      <c r="A25" s="2041" t="s">
        <v>2087</v>
      </c>
      <c r="B25" s="2043"/>
      <c r="C25" s="2042" t="s">
        <v>2088</v>
      </c>
    </row>
    <row r="26" spans="1:3" ht="16.5" x14ac:dyDescent="0.25">
      <c r="A26" s="2041"/>
      <c r="B26" s="2043"/>
      <c r="C26" s="2042"/>
    </row>
    <row r="27" spans="1:3" ht="16.5" x14ac:dyDescent="0.25">
      <c r="A27" s="2041" t="s">
        <v>2089</v>
      </c>
      <c r="B27" s="2043"/>
      <c r="C27" s="2042" t="s">
        <v>2104</v>
      </c>
    </row>
    <row r="28" spans="1:3" ht="16.5" x14ac:dyDescent="0.25">
      <c r="A28" s="2041"/>
      <c r="B28" s="2043"/>
      <c r="C28" s="2042"/>
    </row>
    <row r="29" spans="1:3" ht="16.5" x14ac:dyDescent="0.25">
      <c r="A29" s="2044" t="s">
        <v>2107</v>
      </c>
      <c r="B29" s="2043"/>
      <c r="C29" s="2042"/>
    </row>
    <row r="30" spans="1:3" ht="16.5" x14ac:dyDescent="0.25">
      <c r="A30" s="2041"/>
      <c r="B30" s="2043"/>
      <c r="C30" s="2042"/>
    </row>
    <row r="31" spans="1:3" ht="16.5" x14ac:dyDescent="0.25">
      <c r="A31" s="2041" t="s">
        <v>2090</v>
      </c>
      <c r="B31" s="2045"/>
      <c r="C31" s="2042" t="s">
        <v>954</v>
      </c>
    </row>
    <row r="32" spans="1:3" ht="16.5" x14ac:dyDescent="0.25">
      <c r="A32" s="2041"/>
      <c r="B32" s="2045"/>
      <c r="C32" s="2042"/>
    </row>
    <row r="33" spans="1:3" ht="16.5" x14ac:dyDescent="0.25">
      <c r="A33" s="2044" t="s">
        <v>2091</v>
      </c>
      <c r="B33" s="2043"/>
      <c r="C33" s="2046"/>
    </row>
    <row r="34" spans="1:3" ht="16.5" x14ac:dyDescent="0.25">
      <c r="A34" s="2041"/>
      <c r="B34" s="2043"/>
      <c r="C34" s="2046"/>
    </row>
    <row r="35" spans="1:3" ht="16.5" x14ac:dyDescent="0.25">
      <c r="A35" s="2041" t="s">
        <v>2092</v>
      </c>
      <c r="B35" s="2043"/>
      <c r="C35" s="2047">
        <v>32</v>
      </c>
    </row>
    <row r="36" spans="1:3" ht="16.5" x14ac:dyDescent="0.25">
      <c r="A36" s="2041"/>
      <c r="B36" s="2043"/>
      <c r="C36" s="2047"/>
    </row>
    <row r="37" spans="1:3" ht="16.5" x14ac:dyDescent="0.25">
      <c r="A37" s="2041" t="s">
        <v>2093</v>
      </c>
      <c r="B37" s="2043"/>
      <c r="C37" s="2047">
        <v>33</v>
      </c>
    </row>
    <row r="38" spans="1:3" ht="16.5" x14ac:dyDescent="0.25">
      <c r="A38" s="2041"/>
      <c r="B38" s="2043"/>
      <c r="C38" s="2047"/>
    </row>
    <row r="39" spans="1:3" ht="16.5" x14ac:dyDescent="0.25">
      <c r="A39" s="2041" t="s">
        <v>2094</v>
      </c>
      <c r="B39" s="2043"/>
      <c r="C39" s="2047" t="s">
        <v>2105</v>
      </c>
    </row>
    <row r="40" spans="1:3" ht="16.5" x14ac:dyDescent="0.25">
      <c r="A40" s="2041"/>
      <c r="B40" s="2043"/>
      <c r="C40" s="2046"/>
    </row>
    <row r="41" spans="1:3" ht="16.5" x14ac:dyDescent="0.25">
      <c r="A41" s="2041" t="s">
        <v>2095</v>
      </c>
      <c r="B41" s="2043"/>
      <c r="C41" s="2047">
        <v>36</v>
      </c>
    </row>
    <row r="42" spans="1:3" ht="16.5" x14ac:dyDescent="0.25">
      <c r="A42" s="2041"/>
      <c r="B42" s="2043"/>
      <c r="C42" s="2047"/>
    </row>
    <row r="43" spans="1:3" ht="16.5" x14ac:dyDescent="0.25">
      <c r="A43" s="2041" t="s">
        <v>2096</v>
      </c>
      <c r="B43" s="2043"/>
      <c r="C43" s="2047">
        <v>37</v>
      </c>
    </row>
    <row r="44" spans="1:3" ht="16.5" x14ac:dyDescent="0.25">
      <c r="A44" s="2041"/>
      <c r="B44" s="2043"/>
      <c r="C44" s="2046"/>
    </row>
    <row r="45" spans="1:3" ht="15.75" x14ac:dyDescent="0.25">
      <c r="A45" s="2048"/>
      <c r="B45" s="2048"/>
      <c r="C45" s="2049"/>
    </row>
    <row r="46" spans="1:3" ht="15" x14ac:dyDescent="0.25">
      <c r="A46" s="2050"/>
      <c r="B46" s="2050"/>
      <c r="C46" s="2051"/>
    </row>
    <row r="47" spans="1:3" ht="15" x14ac:dyDescent="0.25">
      <c r="A47" s="2052" t="s">
        <v>2097</v>
      </c>
    </row>
    <row r="48" spans="1:3" ht="15" x14ac:dyDescent="0.25">
      <c r="A48" s="2050" t="s">
        <v>2098</v>
      </c>
    </row>
    <row r="49" spans="1:1" ht="15" x14ac:dyDescent="0.25">
      <c r="A49" s="2050" t="s">
        <v>2099</v>
      </c>
    </row>
    <row r="50" spans="1:1" ht="15" x14ac:dyDescent="0.25">
      <c r="A50" s="2050" t="s">
        <v>2100</v>
      </c>
    </row>
    <row r="51" spans="1:1" ht="15" x14ac:dyDescent="0.25">
      <c r="A51" s="2050" t="s">
        <v>2101</v>
      </c>
    </row>
  </sheetData>
  <mergeCells count="3">
    <mergeCell ref="A1:C1"/>
    <mergeCell ref="A2:C2"/>
    <mergeCell ref="A3:C3"/>
  </mergeCells>
  <printOptions horizontalCentered="1"/>
  <pageMargins left="1" right="0.75" top="0.75" bottom="0.5" header="0.5" footer="0.5"/>
  <pageSetup scale="86" fitToHeight="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3:F30"/>
  <sheetViews>
    <sheetView showGridLines="0" zoomScale="110" zoomScaleNormal="110" workbookViewId="0">
      <selection activeCell="B21" sqref="B21"/>
    </sheetView>
  </sheetViews>
  <sheetFormatPr defaultColWidth="9.140625" defaultRowHeight="12.75" x14ac:dyDescent="0.2"/>
  <cols>
    <col min="1" max="1" width="1.85546875" style="307" customWidth="1"/>
    <col min="2" max="2" width="59.7109375" style="307" customWidth="1"/>
    <col min="3" max="16384" width="9.140625" style="307"/>
  </cols>
  <sheetData>
    <row r="23" spans="1:6" x14ac:dyDescent="0.2">
      <c r="B23" s="850"/>
      <c r="C23" s="850"/>
      <c r="D23" s="850"/>
      <c r="E23" s="850"/>
      <c r="F23" s="850"/>
    </row>
    <row r="25" spans="1:6" x14ac:dyDescent="0.2">
      <c r="A25" s="851" t="s">
        <v>1476</v>
      </c>
    </row>
    <row r="27" spans="1:6" x14ac:dyDescent="0.2">
      <c r="A27" s="366" t="s">
        <v>852</v>
      </c>
    </row>
    <row r="28" spans="1:6" s="850" customFormat="1" ht="45" customHeight="1" x14ac:dyDescent="0.2">
      <c r="A28" s="852"/>
      <c r="B28" s="852" t="s">
        <v>1973</v>
      </c>
    </row>
    <row r="29" spans="1:6" ht="6" customHeight="1" x14ac:dyDescent="0.2"/>
    <row r="30" spans="1:6" ht="24.75" customHeight="1" x14ac:dyDescent="0.2">
      <c r="A30" s="2487" t="s">
        <v>1665</v>
      </c>
      <c r="B30" s="2487"/>
    </row>
  </sheetData>
  <sheetProtection selectLockedCells="1"/>
  <mergeCells count="1">
    <mergeCell ref="A30:B30"/>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0</xdr:colOff>
                <xdr:row>11</xdr:row>
                <xdr:rowOff>0</xdr:rowOff>
              </from>
              <to>
                <xdr:col>1</xdr:col>
                <xdr:colOff>914400</xdr:colOff>
                <xdr:row>15</xdr:row>
                <xdr:rowOff>38100</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0</xdr:colOff>
                <xdr:row>16</xdr:row>
                <xdr:rowOff>0</xdr:rowOff>
              </from>
              <to>
                <xdr:col>1</xdr:col>
                <xdr:colOff>914400</xdr:colOff>
                <xdr:row>20</xdr:row>
                <xdr:rowOff>38100</xdr:rowOff>
              </to>
            </anchor>
          </objectPr>
        </oleObject>
      </mc:Choice>
      <mc:Fallback>
        <oleObject progId="Acrobat Document" dvAspect="DVASPECT_ICON" shapeId="43013"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7632-228C-466A-9254-C30ED106C5F9}">
  <dimension ref="A1"/>
  <sheetViews>
    <sheetView workbookViewId="0">
      <selection activeCell="H19" sqref="H19"/>
    </sheetView>
  </sheetViews>
  <sheetFormatPr defaultRowHeight="12.75" x14ac:dyDescent="0.2"/>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8" t="s">
        <v>1669</v>
      </c>
      <c r="B1" s="2489"/>
      <c r="C1" s="2489"/>
      <c r="D1" s="2489"/>
      <c r="E1" s="2489"/>
      <c r="F1" s="2490"/>
    </row>
    <row r="2" spans="1:8" ht="45" customHeight="1" x14ac:dyDescent="0.2">
      <c r="A2" s="249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9"/>
      <c r="C2" s="2499"/>
      <c r="D2" s="2499"/>
      <c r="E2" s="2499"/>
      <c r="F2" s="2500"/>
      <c r="G2" s="853"/>
      <c r="H2" s="853"/>
    </row>
    <row r="3" spans="1:8" ht="57" customHeight="1" x14ac:dyDescent="0.2">
      <c r="A3" s="2501" t="s">
        <v>1972</v>
      </c>
      <c r="B3" s="2502"/>
      <c r="C3" s="2502"/>
      <c r="D3" s="2502"/>
      <c r="E3" s="2502"/>
      <c r="F3" s="2503"/>
      <c r="G3" s="853"/>
      <c r="H3" s="853"/>
    </row>
    <row r="4" spans="1:8" ht="14.25" customHeight="1" x14ac:dyDescent="0.2">
      <c r="A4" s="250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8"/>
      <c r="C4" s="2508"/>
      <c r="D4" s="2508"/>
      <c r="E4" s="2508"/>
      <c r="F4" s="2509"/>
      <c r="G4" s="853"/>
      <c r="H4" s="853"/>
    </row>
    <row r="5" spans="1:8" ht="14.25" customHeight="1" x14ac:dyDescent="0.2">
      <c r="A5" s="251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1"/>
      <c r="C5" s="2511"/>
      <c r="D5" s="2511"/>
      <c r="E5" s="2511"/>
      <c r="F5" s="2512"/>
      <c r="G5" s="853"/>
      <c r="H5" s="853"/>
    </row>
    <row r="6" spans="1:8" s="854" customFormat="1" ht="41.25" customHeight="1" x14ac:dyDescent="0.2">
      <c r="A6" s="2504" t="s">
        <v>1670</v>
      </c>
      <c r="B6" s="2505"/>
      <c r="C6" s="2505"/>
      <c r="D6" s="2505"/>
      <c r="E6" s="2505"/>
      <c r="F6" s="250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1821662</v>
      </c>
      <c r="C8" s="1813">
        <f>'Acct Summary 7-8'!D8</f>
        <v>0</v>
      </c>
      <c r="D8" s="1813">
        <f>'Acct Summary 7-8'!F8</f>
        <v>0</v>
      </c>
      <c r="E8" s="1813">
        <f>'Acct Summary 7-8'!I8</f>
        <v>0</v>
      </c>
      <c r="F8" s="1813">
        <f>SUM(B8:E8)</f>
        <v>1821662</v>
      </c>
    </row>
    <row r="9" spans="1:8" s="858" customFormat="1" ht="14.25" customHeight="1" thickBot="1" x14ac:dyDescent="0.25">
      <c r="A9" s="857" t="s">
        <v>1353</v>
      </c>
      <c r="B9" s="1814">
        <f>'Acct Summary 7-8'!C17</f>
        <v>1634911</v>
      </c>
      <c r="C9" s="1814">
        <f>'Acct Summary 7-8'!D17</f>
        <v>0</v>
      </c>
      <c r="D9" s="1814">
        <f>'Acct Summary 7-8'!F17</f>
        <v>0</v>
      </c>
      <c r="E9" s="1813"/>
      <c r="F9" s="1813">
        <f>SUM(B9:E9)</f>
        <v>1634911</v>
      </c>
    </row>
    <row r="10" spans="1:8" s="858" customFormat="1" ht="14.25" thickTop="1" thickBot="1" x14ac:dyDescent="0.25">
      <c r="A10" s="859" t="s">
        <v>1354</v>
      </c>
      <c r="B10" s="1815">
        <f>(B8-B9)</f>
        <v>186751</v>
      </c>
      <c r="C10" s="1815">
        <f>(C8-C9)</f>
        <v>0</v>
      </c>
      <c r="D10" s="1815">
        <f>(D8-D9)</f>
        <v>0</v>
      </c>
      <c r="E10" s="1814">
        <f>(E8-E9)</f>
        <v>0</v>
      </c>
      <c r="F10" s="1816">
        <f>SUM(F8-F9)</f>
        <v>186751</v>
      </c>
    </row>
    <row r="11" spans="1:8" s="858" customFormat="1" ht="14.25" thickTop="1" thickBot="1" x14ac:dyDescent="0.25">
      <c r="A11" s="860" t="s">
        <v>1903</v>
      </c>
      <c r="B11" s="1817">
        <f>'Acct Summary 7-8'!C81</f>
        <v>186751</v>
      </c>
      <c r="C11" s="1817">
        <f>'Acct Summary 7-8'!D81</f>
        <v>0</v>
      </c>
      <c r="D11" s="1817">
        <f>'Acct Summary 7-8'!F81</f>
        <v>0</v>
      </c>
      <c r="E11" s="1817">
        <f>'Acct Summary 7-8'!I81</f>
        <v>0</v>
      </c>
      <c r="F11" s="1818">
        <f>SUM(B11:E11)</f>
        <v>186751</v>
      </c>
    </row>
    <row r="12" spans="1:8" ht="16.5" customHeight="1" thickTop="1" x14ac:dyDescent="0.2">
      <c r="A12" s="861"/>
      <c r="B12" s="862"/>
      <c r="C12" s="2492" t="str">
        <f>IF(AND(F10&lt;0,F11&gt;=0,ABS(F10*3)&gt;ABS(F11)),A16,IF(AND(F10&lt;0,F11&gt;0,ABS(F10*3)&lt;=ABS(F11)),A17,IF(AND(F10&lt;0,F11&lt;0),A16,IF(F11=0,A19,A18))))</f>
        <v>Balanced - no deficit reduction plan is required.</v>
      </c>
      <c r="D12" s="2493"/>
      <c r="E12" s="2493"/>
      <c r="F12" s="2494"/>
    </row>
    <row r="13" spans="1:8" ht="19.5" customHeight="1" x14ac:dyDescent="0.2">
      <c r="A13" s="863"/>
      <c r="B13" s="864"/>
      <c r="C13" s="2492"/>
      <c r="D13" s="2493"/>
      <c r="E13" s="2493"/>
      <c r="F13" s="2494"/>
      <c r="H13" s="853"/>
    </row>
    <row r="14" spans="1:8" ht="19.5" customHeight="1" x14ac:dyDescent="0.2">
      <c r="A14" s="863"/>
      <c r="B14" s="864"/>
      <c r="C14" s="2492"/>
      <c r="D14" s="2493"/>
      <c r="E14" s="2493"/>
      <c r="F14" s="2494"/>
      <c r="H14" s="853"/>
    </row>
    <row r="15" spans="1:8" ht="17.25" customHeight="1" x14ac:dyDescent="0.2">
      <c r="A15" s="863"/>
      <c r="B15" s="864"/>
      <c r="C15" s="2495"/>
      <c r="D15" s="2496"/>
      <c r="E15" s="2496"/>
      <c r="F15" s="2497"/>
      <c r="H15" s="853"/>
    </row>
    <row r="16" spans="1:8" s="288" customFormat="1" ht="51.75" hidden="1" customHeight="1" x14ac:dyDescent="0.2">
      <c r="A16" s="2491" t="s">
        <v>1666</v>
      </c>
      <c r="B16" s="2491"/>
      <c r="C16" s="2491"/>
      <c r="D16" s="2491"/>
      <c r="E16" s="249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3" t="s">
        <v>660</v>
      </c>
      <c r="B3" s="2514"/>
      <c r="C3" s="2514"/>
      <c r="D3" s="251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4" t="s">
        <v>1487</v>
      </c>
      <c r="D7" s="252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6" t="s">
        <v>1001</v>
      </c>
      <c r="B15" s="2517"/>
      <c r="C15" s="2517"/>
      <c r="D15" s="2518"/>
    </row>
    <row r="16" spans="1:4" s="542" customFormat="1" ht="24" customHeight="1" x14ac:dyDescent="0.2">
      <c r="A16" s="2519" t="s">
        <v>658</v>
      </c>
      <c r="B16" s="2520"/>
      <c r="C16" s="2520"/>
      <c r="D16" s="252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8" t="s">
        <v>311</v>
      </c>
      <c r="D21" s="2529"/>
    </row>
    <row r="22" spans="1:10" ht="12.75" x14ac:dyDescent="0.2">
      <c r="A22" s="918"/>
      <c r="B22" s="919">
        <v>2</v>
      </c>
      <c r="C22" s="2526" t="s">
        <v>1507</v>
      </c>
      <c r="D22" s="252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0" t="s">
        <v>533</v>
      </c>
      <c r="D43" s="253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2" t="s">
        <v>779</v>
      </c>
      <c r="D56" s="252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2" t="s">
        <v>1674</v>
      </c>
      <c r="D70" s="252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29'!$D$34&gt;0,"OK","PLEASE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3011003061</v>
      </c>
      <c r="E2" s="1542">
        <v>2020</v>
      </c>
      <c r="F2" s="1542">
        <v>1</v>
      </c>
      <c r="G2" s="1898">
        <v>101000300</v>
      </c>
    </row>
    <row r="3" spans="1:7" ht="15" x14ac:dyDescent="0.25">
      <c r="A3" t="s">
        <v>950</v>
      </c>
      <c r="B3" s="135" t="str">
        <f>COVER!A15</f>
        <v>Christian</v>
      </c>
      <c r="E3" s="1830" t="s">
        <v>1971</v>
      </c>
      <c r="F3" s="1830" t="s">
        <v>1970</v>
      </c>
      <c r="G3" s="1898">
        <v>101000400</v>
      </c>
    </row>
    <row r="4" spans="1:7" ht="15" x14ac:dyDescent="0.25">
      <c r="A4" t="s">
        <v>1000</v>
      </c>
      <c r="B4" s="135" t="str">
        <f>COVER!A17</f>
        <v>NPT Special Education Cooperative</v>
      </c>
      <c r="E4" s="1828">
        <v>44119</v>
      </c>
      <c r="F4" s="1829">
        <v>44151</v>
      </c>
      <c r="G4" s="1898">
        <v>101000600</v>
      </c>
    </row>
    <row r="5" spans="1:7" ht="15" x14ac:dyDescent="0.25">
      <c r="A5" t="s">
        <v>699</v>
      </c>
      <c r="B5" s="135" t="str">
        <f>COVER!A38</f>
        <v>Kelly Suey, Executive Director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066-003847</v>
      </c>
      <c r="G15" s="1898">
        <v>402100400</v>
      </c>
    </row>
    <row r="16" spans="1:7" ht="15" x14ac:dyDescent="0.25">
      <c r="A16" t="s">
        <v>419</v>
      </c>
      <c r="B16" s="135" t="str">
        <f>COVER!T13</f>
        <v>LMHN, Ltd.</v>
      </c>
      <c r="G16" s="1898">
        <v>402100600</v>
      </c>
    </row>
    <row r="17" spans="1:7" ht="15" x14ac:dyDescent="0.25">
      <c r="A17" t="s">
        <v>878</v>
      </c>
      <c r="B17" s="135" t="str">
        <f>COVER!T15</f>
        <v>M. Adam Mathias</v>
      </c>
      <c r="G17" s="1898">
        <v>402100800</v>
      </c>
    </row>
    <row r="18" spans="1:7" ht="15" x14ac:dyDescent="0.25">
      <c r="A18" t="s">
        <v>1140</v>
      </c>
      <c r="B18" s="135" t="str">
        <f>COVER!T17</f>
        <v>900 N Webster St - PO Box 87</v>
      </c>
      <c r="G18" s="1898">
        <v>102200300</v>
      </c>
    </row>
    <row r="19" spans="1:7" ht="15" x14ac:dyDescent="0.25">
      <c r="A19" t="s">
        <v>880</v>
      </c>
      <c r="B19" s="135" t="str">
        <f>COVER!T25</f>
        <v>lmhncpas@outlook.com</v>
      </c>
      <c r="G19" s="1898">
        <v>102200400</v>
      </c>
    </row>
    <row r="20" spans="1:7" ht="15" x14ac:dyDescent="0.25">
      <c r="A20" t="s">
        <v>881</v>
      </c>
      <c r="B20" s="135" t="str">
        <f>COVER!T19</f>
        <v>Taylorville</v>
      </c>
      <c r="G20" s="1898">
        <v>102200600</v>
      </c>
    </row>
    <row r="21" spans="1:7" ht="15" x14ac:dyDescent="0.25">
      <c r="A21" t="s">
        <v>476</v>
      </c>
      <c r="B21" s="135" t="str">
        <f>COVER!X19</f>
        <v>IL</v>
      </c>
      <c r="G21" s="1898">
        <v>102200800</v>
      </c>
    </row>
    <row r="22" spans="1:7" ht="15" x14ac:dyDescent="0.25">
      <c r="A22" t="s">
        <v>882</v>
      </c>
      <c r="B22" s="135">
        <f>COVER!Z19</f>
        <v>62568</v>
      </c>
      <c r="G22" s="1898">
        <v>102300300</v>
      </c>
    </row>
    <row r="23" spans="1:7" ht="15" x14ac:dyDescent="0.25">
      <c r="A23" t="s">
        <v>1142</v>
      </c>
      <c r="B23" s="135" t="str">
        <f>COVER!T21</f>
        <v>217-824-9661</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186751</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186751</v>
      </c>
      <c r="D92" s="2" t="str">
        <f t="shared" si="0"/>
        <v>Error?</v>
      </c>
      <c r="G92" s="1898">
        <v>102640600</v>
      </c>
    </row>
    <row r="93" spans="1:7" ht="15" x14ac:dyDescent="0.25">
      <c r="A93" s="5">
        <v>32</v>
      </c>
      <c r="B93" s="1832">
        <f>'Assets-Liab 5-6'!C41</f>
        <v>186751</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0</v>
      </c>
      <c r="D123" s="2" t="str">
        <f t="shared" si="0"/>
        <v>Error?</v>
      </c>
      <c r="G123" s="1898">
        <v>203000400</v>
      </c>
    </row>
    <row r="124" spans="1:7" ht="15" x14ac:dyDescent="0.25">
      <c r="A124" s="5">
        <v>63</v>
      </c>
      <c r="B124" s="1832">
        <f>'Assets-Liab 5-6'!D41</f>
        <v>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57750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104575</v>
      </c>
      <c r="C720" s="2" t="s">
        <v>569</v>
      </c>
      <c r="D720" s="2" t="str">
        <f t="shared" si="10"/>
        <v>Error?</v>
      </c>
    </row>
    <row r="721" spans="1:4" x14ac:dyDescent="0.2">
      <c r="A721" s="5">
        <v>660</v>
      </c>
      <c r="B721" s="1832">
        <f>'Expenditures 15-22'!C36</f>
        <v>156512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58180</v>
      </c>
      <c r="D723" s="2" t="str">
        <f t="shared" si="10"/>
        <v>Error?</v>
      </c>
    </row>
    <row r="724" spans="1:4" x14ac:dyDescent="0.2">
      <c r="A724" s="5">
        <v>663</v>
      </c>
      <c r="B724" s="1832">
        <f>'Expenditures 15-22'!C39</f>
        <v>158531</v>
      </c>
      <c r="D724" s="2" t="str">
        <f t="shared" si="10"/>
        <v>Error?</v>
      </c>
    </row>
    <row r="725" spans="1:4" x14ac:dyDescent="0.2">
      <c r="A725" s="5">
        <v>664</v>
      </c>
      <c r="B725" s="1832">
        <f>'Expenditures 15-22'!C40</f>
        <v>303631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676854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105025</v>
      </c>
      <c r="D733" s="2" t="str">
        <f t="shared" si="10"/>
        <v>Error?</v>
      </c>
    </row>
    <row r="734" spans="1:4" x14ac:dyDescent="0.2">
      <c r="A734" s="5">
        <v>673</v>
      </c>
      <c r="B734" s="1832">
        <f>'Expenditures 15-22'!C53</f>
        <v>105025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781879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886454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14395</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26926</v>
      </c>
      <c r="C778" s="2" t="s">
        <v>569</v>
      </c>
      <c r="D778" s="2" t="str">
        <f t="shared" si="11"/>
        <v>Error?</v>
      </c>
    </row>
    <row r="779" spans="1:4" x14ac:dyDescent="0.2">
      <c r="A779" s="5">
        <v>718</v>
      </c>
      <c r="B779" s="1832">
        <f>'Expenditures 15-22'!D36</f>
        <v>36888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9755</v>
      </c>
      <c r="D781" s="2" t="str">
        <f t="shared" si="11"/>
        <v>Error?</v>
      </c>
    </row>
    <row r="782" spans="1:4" x14ac:dyDescent="0.2">
      <c r="A782" s="5">
        <v>721</v>
      </c>
      <c r="B782" s="1832">
        <f>'Expenditures 15-22'!D39</f>
        <v>31040</v>
      </c>
      <c r="D782" s="2" t="str">
        <f t="shared" si="11"/>
        <v>Error?</v>
      </c>
    </row>
    <row r="783" spans="1:4" x14ac:dyDescent="0.2">
      <c r="A783" s="5">
        <v>722</v>
      </c>
      <c r="B783" s="1832">
        <f>'Expenditures 15-22'!D40</f>
        <v>87468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165151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21586</v>
      </c>
      <c r="D791" s="2" t="str">
        <f t="shared" si="11"/>
        <v>Error?</v>
      </c>
    </row>
    <row r="792" spans="1:4" x14ac:dyDescent="0.2">
      <c r="A792" s="5">
        <v>731</v>
      </c>
      <c r="B792" s="1832">
        <f>'Expenditures 15-22'!D53</f>
        <v>21586</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186737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213663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1427</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3565</v>
      </c>
      <c r="C836" s="2" t="s">
        <v>569</v>
      </c>
      <c r="D836" s="2" t="str">
        <f t="shared" si="12"/>
        <v>Error?</v>
      </c>
    </row>
    <row r="837" spans="1:4" x14ac:dyDescent="0.2">
      <c r="A837" s="5">
        <v>776</v>
      </c>
      <c r="B837" s="1832">
        <f>'Expenditures 15-22'!E36</f>
        <v>686</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1988</v>
      </c>
      <c r="D839" s="2" t="str">
        <f t="shared" si="12"/>
        <v>Error?</v>
      </c>
    </row>
    <row r="840" spans="1:4" x14ac:dyDescent="0.2">
      <c r="A840" s="5">
        <v>779</v>
      </c>
      <c r="B840" s="1832">
        <f>'Expenditures 15-22'!E39</f>
        <v>2031</v>
      </c>
      <c r="D840" s="2" t="str">
        <f t="shared" si="12"/>
        <v>Error?</v>
      </c>
    </row>
    <row r="841" spans="1:4" x14ac:dyDescent="0.2">
      <c r="A841" s="5">
        <v>780</v>
      </c>
      <c r="B841" s="1832">
        <f>'Expenditures 15-22'!E40</f>
        <v>1101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5806</v>
      </c>
      <c r="C843" s="2" t="s">
        <v>569</v>
      </c>
      <c r="D843" s="2" t="str">
        <f t="shared" si="12"/>
        <v>Error?</v>
      </c>
    </row>
    <row r="844" spans="1:4" x14ac:dyDescent="0.2">
      <c r="A844" s="5">
        <v>783</v>
      </c>
      <c r="B844" s="1832">
        <f>'Expenditures 15-22'!E44</f>
        <v>13974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13974</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5089</v>
      </c>
      <c r="D849" s="2" t="str">
        <f t="shared" si="12"/>
        <v>Error?</v>
      </c>
    </row>
    <row r="850" spans="1:4" x14ac:dyDescent="0.2">
      <c r="A850" s="5">
        <v>789</v>
      </c>
      <c r="B850" s="1832">
        <f>'Expenditures 15-22'!E53</f>
        <v>5089</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1048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1048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13752</v>
      </c>
      <c r="D867" s="2" t="str">
        <f t="shared" si="12"/>
        <v>Error?</v>
      </c>
    </row>
    <row r="868" spans="1:4" x14ac:dyDescent="0.2">
      <c r="A868" s="10">
        <v>807</v>
      </c>
      <c r="B868" s="1832"/>
      <c r="D868" s="2" t="str">
        <f t="shared" si="12"/>
        <v>OK</v>
      </c>
    </row>
    <row r="869" spans="1:4" x14ac:dyDescent="0.2">
      <c r="A869" s="5">
        <v>808</v>
      </c>
      <c r="B869" s="1832">
        <f>'Expenditures 15-22'!E72</f>
        <v>13752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39669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43234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4878</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7844</v>
      </c>
      <c r="C894" s="2" t="s">
        <v>569</v>
      </c>
      <c r="D894" s="2" t="str">
        <f t="shared" si="12"/>
        <v>Error?</v>
      </c>
    </row>
    <row r="895" spans="1:4" x14ac:dyDescent="0.2">
      <c r="A895" s="5">
        <v>834</v>
      </c>
      <c r="B895" s="1832">
        <f>'Expenditures 15-22'!F36</f>
        <v>10378</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1248</v>
      </c>
      <c r="D897" s="2" t="str">
        <f t="shared" si="13"/>
        <v>Error?</v>
      </c>
    </row>
    <row r="898" spans="1:4" x14ac:dyDescent="0.2">
      <c r="A898" s="5">
        <v>837</v>
      </c>
      <c r="B898" s="1832">
        <f>'Expenditures 15-22'!F39</f>
        <v>11677</v>
      </c>
      <c r="D898" s="2" t="str">
        <f t="shared" si="13"/>
        <v>Error?</v>
      </c>
    </row>
    <row r="899" spans="1:4" x14ac:dyDescent="0.2">
      <c r="A899" s="5">
        <v>838</v>
      </c>
      <c r="B899" s="1832">
        <f>'Expenditures 15-22'!F40</f>
        <v>7337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30640</v>
      </c>
      <c r="C901" s="2" t="s">
        <v>569</v>
      </c>
      <c r="D901" s="2" t="str">
        <f t="shared" si="13"/>
        <v>Error?</v>
      </c>
    </row>
    <row r="902" spans="1:4" x14ac:dyDescent="0.2">
      <c r="A902" s="5">
        <v>841</v>
      </c>
      <c r="B902" s="1832">
        <f>'Expenditures 15-22'!F44</f>
        <v>4498</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4498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1912</v>
      </c>
      <c r="D907" s="2" t="str">
        <f t="shared" si="13"/>
        <v>Error?</v>
      </c>
    </row>
    <row r="908" spans="1:4" x14ac:dyDescent="0.2">
      <c r="A908" s="5">
        <v>847</v>
      </c>
      <c r="B908" s="1832">
        <f>'Expenditures 15-22'!F53</f>
        <v>1912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37050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44894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1666</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1666</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1666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445000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446666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78450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142910</v>
      </c>
      <c r="C1108" s="2" t="s">
        <v>569</v>
      </c>
      <c r="D1108" s="2" t="str">
        <f t="shared" si="16"/>
        <v>Error?</v>
      </c>
    </row>
    <row r="1109" spans="1:4" x14ac:dyDescent="0.2">
      <c r="A1109" s="5">
        <v>1048</v>
      </c>
      <c r="B1109" s="1832">
        <f>'Expenditures 15-22'!K36</f>
        <v>204464</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71171</v>
      </c>
      <c r="C1111" s="2" t="s">
        <v>569</v>
      </c>
      <c r="D1111" s="2" t="str">
        <f t="shared" si="16"/>
        <v>Error?</v>
      </c>
    </row>
    <row r="1112" spans="1:4" x14ac:dyDescent="0.2">
      <c r="A1112" s="5">
        <v>1051</v>
      </c>
      <c r="B1112" s="1832">
        <f>'Expenditures 15-22'!K39</f>
        <v>203279</v>
      </c>
      <c r="C1112" s="2" t="s">
        <v>569</v>
      </c>
      <c r="D1112" s="2" t="str">
        <f t="shared" si="16"/>
        <v>Error?</v>
      </c>
    </row>
    <row r="1113" spans="1:4" x14ac:dyDescent="0.2">
      <c r="A1113" s="5">
        <v>1052</v>
      </c>
      <c r="B1113" s="1832">
        <f>'Expenditures 15-22'!K40</f>
        <v>399537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878451</v>
      </c>
      <c r="C1115" s="2" t="s">
        <v>569</v>
      </c>
      <c r="D1115" s="2" t="str">
        <f t="shared" si="16"/>
        <v>Error?</v>
      </c>
    </row>
    <row r="1116" spans="1:4" x14ac:dyDescent="0.2">
      <c r="A1116" s="5">
        <v>1055</v>
      </c>
      <c r="B1116" s="1832">
        <f>'Expenditures 15-22'!K44</f>
        <v>20138</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20138</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133612</v>
      </c>
      <c r="C1121" s="2" t="s">
        <v>569</v>
      </c>
      <c r="D1121" s="2" t="str">
        <f t="shared" si="16"/>
        <v>Error?</v>
      </c>
    </row>
    <row r="1122" spans="1:4" x14ac:dyDescent="0.2">
      <c r="A1122" s="5">
        <v>1061</v>
      </c>
      <c r="B1122" s="1832">
        <f>'Expenditures 15-22'!K53</f>
        <v>133612</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1048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1048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13752</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13752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1047001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445000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1634911</v>
      </c>
      <c r="C1152" s="2" t="s">
        <v>569</v>
      </c>
      <c r="D1152" s="2" t="str">
        <f t="shared" si="17"/>
        <v>Error?</v>
      </c>
    </row>
    <row r="1153" spans="1:4" x14ac:dyDescent="0.2">
      <c r="A1153" s="5">
        <v>1092</v>
      </c>
      <c r="B1153" s="1832">
        <f>'Expenditures 15-22'!K115</f>
        <v>186751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186751</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445000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445000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1305087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0</v>
      </c>
      <c r="C2553" s="2" t="s">
        <v>569</v>
      </c>
      <c r="D2553" s="2" t="str">
        <f t="shared" si="38"/>
        <v>Error?</v>
      </c>
    </row>
    <row r="2554" spans="1:4" x14ac:dyDescent="0.2">
      <c r="A2554" s="5">
        <v>2493</v>
      </c>
      <c r="B2554" s="1832">
        <f>'Acct Summary 7-8'!C7</f>
        <v>71575</v>
      </c>
      <c r="C2554" s="2" t="s">
        <v>569</v>
      </c>
      <c r="D2554" s="2" t="str">
        <f t="shared" si="38"/>
        <v>Error?</v>
      </c>
    </row>
    <row r="2555" spans="1:4" x14ac:dyDescent="0.2">
      <c r="A2555" s="5">
        <v>2494</v>
      </c>
      <c r="B2555" s="1832">
        <f>'Acct Summary 7-8'!C8</f>
        <v>1821662</v>
      </c>
      <c r="C2555" s="2" t="s">
        <v>569</v>
      </c>
      <c r="D2555" s="2" t="str">
        <f t="shared" si="38"/>
        <v>Error?</v>
      </c>
    </row>
    <row r="2556" spans="1:4" x14ac:dyDescent="0.2">
      <c r="A2556" s="5">
        <v>2495</v>
      </c>
      <c r="B2556" s="1832">
        <f>'Acct Summary 7-8'!C12</f>
        <v>142910</v>
      </c>
      <c r="C2556" s="2" t="s">
        <v>569</v>
      </c>
      <c r="D2556" s="2" t="str">
        <f t="shared" si="38"/>
        <v>Error?</v>
      </c>
    </row>
    <row r="2557" spans="1:4" x14ac:dyDescent="0.2">
      <c r="A2557" s="5">
        <v>2496</v>
      </c>
      <c r="B2557" s="1832">
        <f>'Acct Summary 7-8'!C13</f>
        <v>1047001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445000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1634911</v>
      </c>
      <c r="C2561" s="2" t="s">
        <v>569</v>
      </c>
      <c r="D2561" s="2" t="str">
        <f t="shared" si="39"/>
        <v>Error?</v>
      </c>
    </row>
    <row r="2562" spans="1:4" x14ac:dyDescent="0.2">
      <c r="A2562" s="5">
        <v>2501</v>
      </c>
      <c r="B2562" s="1832">
        <f>'Acct Summary 7-8'!C20</f>
        <v>186751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445000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445000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186751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46825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12531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2138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2966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64460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445000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186751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1821662</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1634911</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186751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71575</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1292085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1292085</v>
      </c>
      <c r="C5087" s="2" t="s">
        <v>569</v>
      </c>
      <c r="D5087" s="2" t="str">
        <f t="shared" si="78"/>
        <v>Error?</v>
      </c>
    </row>
    <row r="5088" spans="1:4" x14ac:dyDescent="0.2">
      <c r="A5088" s="5">
        <v>5027</v>
      </c>
      <c r="B5088" s="1832">
        <f>'Revenues 9-14'!C65</f>
        <v>13002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13002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1305087</v>
      </c>
      <c r="C5121" s="2" t="s">
        <v>569</v>
      </c>
      <c r="D5121" s="2" t="str">
        <f t="shared" si="79"/>
        <v>Error?</v>
      </c>
    </row>
    <row r="5122" spans="1:4" x14ac:dyDescent="0.2">
      <c r="A5122" s="5">
        <v>5061</v>
      </c>
      <c r="B5122" s="1832">
        <f>'Revenues 9-14'!C111</f>
        <v>445000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445000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71575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71575</v>
      </c>
      <c r="C5326" s="2" t="s">
        <v>569</v>
      </c>
      <c r="D5326" s="2" t="str">
        <f t="shared" si="82"/>
        <v>Error?</v>
      </c>
    </row>
    <row r="5327" spans="1:5" x14ac:dyDescent="0.2">
      <c r="A5327" s="5">
        <v>5266</v>
      </c>
      <c r="B5327" s="1832">
        <f>'Revenues 9-14'!C268</f>
        <v>1821662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186751</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1</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1634911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445000</v>
      </c>
      <c r="D7834" s="2" t="str">
        <f t="shared" si="129"/>
        <v>Error?</v>
      </c>
      <c r="E7834" s="4" t="s">
        <v>1998</v>
      </c>
    </row>
    <row r="7835" spans="1:5" x14ac:dyDescent="0.2">
      <c r="A7835">
        <v>7774</v>
      </c>
      <c r="B7835" s="1832">
        <f>'PCTC-OEPP 27-28'!F78</f>
        <v>1189911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71575</v>
      </c>
      <c r="D7876" s="2" t="str">
        <f t="shared" si="129"/>
        <v>Error?</v>
      </c>
      <c r="E7876" s="4" t="s">
        <v>1998</v>
      </c>
    </row>
    <row r="7877" spans="1:5" x14ac:dyDescent="0.2">
      <c r="A7877">
        <v>7816</v>
      </c>
      <c r="B7877" s="1832">
        <f>'PCTC-OEPP 27-28'!F175</f>
        <v>71575</v>
      </c>
      <c r="D7877" s="2" t="str">
        <f t="shared" si="129"/>
        <v>Error?</v>
      </c>
      <c r="E7877" s="4" t="s">
        <v>1998</v>
      </c>
    </row>
    <row r="7878" spans="1:5" x14ac:dyDescent="0.2">
      <c r="A7878">
        <v>7817</v>
      </c>
      <c r="B7878" s="1832">
        <f>'PCTC-OEPP 27-28'!F176</f>
        <v>1118336</v>
      </c>
      <c r="D7878" s="2" t="str">
        <f t="shared" si="129"/>
        <v>Error?</v>
      </c>
      <c r="E7878" s="4" t="s">
        <v>1998</v>
      </c>
    </row>
    <row r="7879" spans="1:5" x14ac:dyDescent="0.2">
      <c r="A7879">
        <v>7818</v>
      </c>
      <c r="B7879" s="1832">
        <f>'PCTC-OEPP 27-28'!F178</f>
        <v>1118336</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3" sqref="H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2" t="s">
        <v>1181</v>
      </c>
      <c r="B2" s="2532"/>
      <c r="C2" s="2532"/>
      <c r="D2" s="2532"/>
      <c r="E2" s="2532"/>
      <c r="F2" s="2532"/>
      <c r="G2" s="2532"/>
      <c r="H2" s="2532"/>
      <c r="I2" s="2532"/>
      <c r="J2" s="2532"/>
      <c r="K2" s="2532"/>
      <c r="L2" s="2532"/>
    </row>
    <row r="3" spans="1:29" ht="13.5" customHeight="1" x14ac:dyDescent="0.2">
      <c r="A3" s="2564" t="s">
        <v>1180</v>
      </c>
      <c r="B3" s="2564"/>
      <c r="C3" s="2564"/>
      <c r="D3" s="2564"/>
      <c r="E3" s="2564"/>
      <c r="F3" s="2564"/>
      <c r="G3" s="2564"/>
      <c r="H3" s="2564"/>
      <c r="I3" s="2564"/>
      <c r="J3" s="2564"/>
      <c r="K3" s="2564"/>
      <c r="L3" s="2564"/>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5" t="str">
        <f>COVER!A17</f>
        <v>NPT Special Education Cooperative</v>
      </c>
      <c r="B7" s="2556"/>
      <c r="C7" s="2556"/>
      <c r="D7" s="2557"/>
      <c r="E7" s="2558">
        <f>COVER!A13</f>
        <v>3011003061</v>
      </c>
      <c r="F7" s="2559"/>
      <c r="G7" s="2565" t="str">
        <f>COVER!T23</f>
        <v>066-003847</v>
      </c>
      <c r="H7" s="2566"/>
      <c r="I7" s="2566"/>
      <c r="J7" s="2566"/>
      <c r="K7" s="2566"/>
      <c r="L7" s="256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8"/>
      <c r="B9" s="2569"/>
      <c r="C9" s="2569"/>
      <c r="D9" s="2569"/>
      <c r="E9" s="2569"/>
      <c r="F9" s="2570"/>
      <c r="G9" s="2538" t="str">
        <f>COVER!T13</f>
        <v>LMHN, Ltd.</v>
      </c>
      <c r="H9" s="2571"/>
      <c r="I9" s="2571"/>
      <c r="J9" s="2571"/>
      <c r="K9" s="2571"/>
      <c r="L9" s="2572"/>
    </row>
    <row r="10" spans="1:29" ht="13.5" customHeight="1" x14ac:dyDescent="0.2">
      <c r="A10" s="2544" t="str">
        <f>COVER!A38</f>
        <v>Kelly Suey, Executive Director</v>
      </c>
      <c r="B10" s="2545"/>
      <c r="C10" s="2545"/>
      <c r="D10" s="2545"/>
      <c r="E10" s="2545"/>
      <c r="F10" s="2546"/>
      <c r="G10" s="2538" t="str">
        <f>COVER!T17</f>
        <v>900 N Webster St - PO Box 87</v>
      </c>
      <c r="H10" s="2539"/>
      <c r="I10" s="2539"/>
      <c r="J10" s="2539"/>
      <c r="K10" s="2539"/>
      <c r="L10" s="2540"/>
    </row>
    <row r="11" spans="1:29" ht="13.5" customHeight="1" x14ac:dyDescent="0.2">
      <c r="A11" s="963" t="s">
        <v>1502</v>
      </c>
      <c r="B11" s="964"/>
      <c r="C11" s="965"/>
      <c r="D11" s="970"/>
      <c r="E11" s="965"/>
      <c r="F11" s="969"/>
      <c r="G11" s="2538" t="str">
        <f>COVER!T19</f>
        <v>Taylorville</v>
      </c>
      <c r="H11" s="2539"/>
      <c r="I11" s="2539"/>
      <c r="J11" s="2539"/>
      <c r="K11" s="2539"/>
      <c r="L11" s="2540"/>
    </row>
    <row r="12" spans="1:29" ht="13.5" customHeight="1" x14ac:dyDescent="0.2">
      <c r="A12" s="2547" t="s">
        <v>1501</v>
      </c>
      <c r="B12" s="2548"/>
      <c r="C12" s="2548"/>
      <c r="D12" s="2548"/>
      <c r="E12" s="2548"/>
      <c r="F12" s="2549"/>
      <c r="G12" s="2541"/>
      <c r="H12" s="2542"/>
      <c r="I12" s="2542"/>
      <c r="J12" s="2542"/>
      <c r="K12" s="2542"/>
      <c r="L12" s="2543"/>
    </row>
    <row r="13" spans="1:29" ht="13.5" customHeight="1" x14ac:dyDescent="0.2">
      <c r="A13" s="2538"/>
      <c r="B13" s="2539"/>
      <c r="C13" s="2539"/>
      <c r="D13" s="2539"/>
      <c r="E13" s="2539"/>
      <c r="F13" s="2540"/>
      <c r="G13" s="2533" t="s">
        <v>1503</v>
      </c>
      <c r="H13" s="2534"/>
      <c r="I13" s="2550" t="str">
        <f>COVER!T25</f>
        <v>lmhncpas@outlook.com</v>
      </c>
      <c r="J13" s="2551"/>
      <c r="K13" s="2551"/>
      <c r="L13" s="2552"/>
    </row>
    <row r="14" spans="1:29" ht="13.5" customHeight="1" x14ac:dyDescent="0.2">
      <c r="A14" s="2538" t="str">
        <f>COVER!A19</f>
        <v>815 Springfield Road, Suite B</v>
      </c>
      <c r="B14" s="2539"/>
      <c r="C14" s="2539"/>
      <c r="D14" s="2539"/>
      <c r="E14" s="2539"/>
      <c r="F14" s="2540"/>
      <c r="G14" s="974" t="s">
        <v>1175</v>
      </c>
      <c r="H14" s="972"/>
      <c r="I14" s="972"/>
      <c r="J14" s="972"/>
      <c r="K14" s="972"/>
      <c r="L14" s="973"/>
    </row>
    <row r="15" spans="1:29" ht="13.5" customHeight="1" x14ac:dyDescent="0.2">
      <c r="A15" s="2538" t="str">
        <f>COVER!A21</f>
        <v>Taylorville</v>
      </c>
      <c r="B15" s="2539"/>
      <c r="C15" s="2539"/>
      <c r="D15" s="2539"/>
      <c r="E15" s="2539"/>
      <c r="F15" s="2540"/>
      <c r="G15" s="2535" t="str">
        <f>COVER!T15</f>
        <v>M. Adam Mathias</v>
      </c>
      <c r="H15" s="2536"/>
      <c r="I15" s="2536"/>
      <c r="J15" s="2536"/>
      <c r="K15" s="2536"/>
      <c r="L15" s="2537"/>
    </row>
    <row r="16" spans="1:29" ht="12.2" customHeight="1" x14ac:dyDescent="0.2">
      <c r="A16" s="2561">
        <f>COVER!A25</f>
        <v>62568</v>
      </c>
      <c r="B16" s="2562"/>
      <c r="C16" s="2562"/>
      <c r="D16" s="2562"/>
      <c r="E16" s="2562"/>
      <c r="F16" s="2563"/>
      <c r="G16" s="2573"/>
      <c r="H16" s="2574"/>
      <c r="I16" s="2574"/>
      <c r="J16" s="2574"/>
      <c r="K16" s="2574"/>
      <c r="L16" s="2575"/>
    </row>
    <row r="17" spans="1:13" ht="12.2" customHeight="1" x14ac:dyDescent="0.2">
      <c r="A17" s="2576"/>
      <c r="B17" s="2562"/>
      <c r="C17" s="2562"/>
      <c r="D17" s="2562"/>
      <c r="E17" s="2562"/>
      <c r="F17" s="2563"/>
      <c r="G17" s="974" t="s">
        <v>1174</v>
      </c>
      <c r="H17" s="972"/>
      <c r="I17" s="972"/>
      <c r="J17" s="972"/>
      <c r="K17" s="976" t="s">
        <v>1173</v>
      </c>
      <c r="L17" s="969"/>
      <c r="M17" s="962"/>
    </row>
    <row r="18" spans="1:13" ht="12.2" customHeight="1" x14ac:dyDescent="0.2">
      <c r="A18" s="2544"/>
      <c r="B18" s="2545"/>
      <c r="C18" s="2545"/>
      <c r="D18" s="2545"/>
      <c r="E18" s="2545"/>
      <c r="F18" s="2546"/>
      <c r="G18" s="2555" t="str">
        <f>COVER!T21</f>
        <v>217-824-9661</v>
      </c>
      <c r="H18" s="2556"/>
      <c r="I18" s="2556"/>
      <c r="J18" s="2556"/>
      <c r="K18" s="2555" t="str">
        <f>COVER!X21</f>
        <v>217-824-2415</v>
      </c>
      <c r="L18" s="256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0.75" top="0.75" bottom="0.75" header="0.5" footer="0.5"/>
  <pageSetup scale="87" firstPageNumber="35" fitToHeight="0"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7" t="str">
        <f>'Single Audit Cover'!A7</f>
        <v>NPT Special Education Cooperative</v>
      </c>
      <c r="B1" s="2578"/>
      <c r="C1" s="2578"/>
      <c r="D1" s="2578"/>
    </row>
    <row r="2" spans="1:11" s="991" customFormat="1" ht="12.75" x14ac:dyDescent="0.2">
      <c r="A2" s="2579">
        <f>'Single Audit Cover'!E7</f>
        <v>3011003061</v>
      </c>
      <c r="B2" s="2580"/>
      <c r="C2" s="2580"/>
      <c r="D2" s="2580"/>
    </row>
    <row r="3" spans="1:11" s="991" customFormat="1" ht="12.75" x14ac:dyDescent="0.2">
      <c r="A3" s="2577" t="s">
        <v>1496</v>
      </c>
      <c r="B3" s="2578"/>
      <c r="C3" s="2578"/>
      <c r="D3" s="257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75" header="0.5" footer="0.5"/>
  <pageSetup scale="73" firstPageNumber="36" fitToHeight="0" orientation="portrait" useFirstPageNumber="1" r:id="rId5"/>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2" t="str">
        <f>'Single Audit Cover'!A7</f>
        <v>NPT Special Education Cooperative</v>
      </c>
      <c r="B1" s="2582"/>
      <c r="C1" s="2582"/>
      <c r="D1" s="2582"/>
      <c r="E1" s="2582"/>
    </row>
    <row r="2" spans="1:5" x14ac:dyDescent="0.2">
      <c r="A2" s="2583">
        <f>'Single Audit Cover'!E7</f>
        <v>3011003061</v>
      </c>
      <c r="B2" s="2583"/>
      <c r="C2" s="2583"/>
      <c r="D2" s="2583"/>
      <c r="E2" s="2583"/>
    </row>
    <row r="3" spans="1:5" ht="4.5" customHeight="1" x14ac:dyDescent="0.2"/>
    <row r="4" spans="1:5" x14ac:dyDescent="0.2">
      <c r="A4" s="2582" t="s">
        <v>1234</v>
      </c>
      <c r="B4" s="2582"/>
      <c r="C4" s="2582"/>
      <c r="D4" s="2582"/>
      <c r="E4" s="2582"/>
    </row>
    <row r="5" spans="1:5" x14ac:dyDescent="0.2">
      <c r="A5" s="2585" t="str">
        <f>'Single Audit Cover'!A4</f>
        <v>Year Ending June 30, 2020</v>
      </c>
      <c r="B5" s="2585"/>
      <c r="C5" s="2585"/>
      <c r="D5" s="2585"/>
      <c r="E5" s="2585"/>
    </row>
    <row r="6" spans="1:5" x14ac:dyDescent="0.2">
      <c r="A6" s="2582" t="s">
        <v>1233</v>
      </c>
      <c r="B6" s="2582"/>
      <c r="C6" s="2582"/>
      <c r="D6" s="2582"/>
      <c r="E6" s="2582"/>
    </row>
    <row r="8" spans="1:5" x14ac:dyDescent="0.2">
      <c r="A8" s="1036" t="s">
        <v>1232</v>
      </c>
    </row>
    <row r="10" spans="1:5" x14ac:dyDescent="0.2">
      <c r="A10" s="1037" t="s">
        <v>1231</v>
      </c>
      <c r="B10" s="1038" t="s">
        <v>1230</v>
      </c>
      <c r="C10" s="1038"/>
      <c r="D10" s="1039">
        <f>SUM('Acct Summary 7-8'!C7:K7)</f>
        <v>71575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71575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4"/>
      <c r="B24" s="2584"/>
      <c r="D24" s="1044"/>
    </row>
    <row r="25" spans="1:4" x14ac:dyDescent="0.2">
      <c r="A25" s="2581"/>
      <c r="B25" s="2581"/>
      <c r="D25" s="1044"/>
    </row>
    <row r="26" spans="1:4" x14ac:dyDescent="0.2">
      <c r="A26" s="2581"/>
      <c r="B26" s="2581"/>
      <c r="D26" s="1044"/>
    </row>
    <row r="27" spans="1:4" x14ac:dyDescent="0.2">
      <c r="A27" s="2581"/>
      <c r="B27" s="2581"/>
      <c r="D27" s="1044"/>
    </row>
    <row r="28" spans="1:4" x14ac:dyDescent="0.2">
      <c r="A28" s="2581"/>
      <c r="B28" s="2581"/>
      <c r="D28" s="1044"/>
    </row>
    <row r="29" spans="1:4" x14ac:dyDescent="0.2">
      <c r="A29" s="2581"/>
      <c r="B29" s="2581"/>
      <c r="D29" s="1044"/>
    </row>
    <row r="30" spans="1:4" x14ac:dyDescent="0.2">
      <c r="A30" s="2581"/>
      <c r="B30" s="2581"/>
      <c r="D30" s="1044"/>
    </row>
    <row r="32" spans="1:4" x14ac:dyDescent="0.2">
      <c r="A32" s="1036" t="s">
        <v>1222</v>
      </c>
      <c r="D32" s="1039">
        <f>SUM(D19:D30)</f>
        <v>71575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1"/>
      <c r="B40" s="2581"/>
      <c r="D40" s="1044"/>
    </row>
    <row r="41" spans="1:4" x14ac:dyDescent="0.2">
      <c r="A41" s="2581"/>
      <c r="B41" s="2581"/>
      <c r="D41" s="1047"/>
    </row>
    <row r="42" spans="1:4" x14ac:dyDescent="0.2">
      <c r="A42" s="2581"/>
      <c r="B42" s="2581"/>
      <c r="D42" s="1047"/>
    </row>
    <row r="43" spans="1:4" x14ac:dyDescent="0.2">
      <c r="A43" s="2581"/>
      <c r="B43" s="2581"/>
      <c r="D43" s="1047"/>
    </row>
    <row r="44" spans="1:4" x14ac:dyDescent="0.2">
      <c r="A44" s="2581"/>
      <c r="B44" s="2581"/>
      <c r="D44" s="1047"/>
    </row>
    <row r="45" spans="1:4" x14ac:dyDescent="0.2">
      <c r="A45" s="2581"/>
      <c r="B45" s="2581"/>
      <c r="D45" s="1047"/>
    </row>
    <row r="47" spans="1:4" x14ac:dyDescent="0.2">
      <c r="B47" s="1048" t="s">
        <v>1216</v>
      </c>
      <c r="C47" s="1048"/>
      <c r="D47" s="1049">
        <f>SUM(D35:D45)</f>
        <v>0</v>
      </c>
    </row>
    <row r="49" spans="2:4" x14ac:dyDescent="0.2">
      <c r="B49" s="1048" t="s">
        <v>1215</v>
      </c>
      <c r="C49" s="1048"/>
      <c r="D49" s="1049">
        <f>D32-D47</f>
        <v>71575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1" right="0.75" top="0.75" bottom="0.75" header="0.5" footer="0.5"/>
  <pageSetup scale="95" firstPageNumber="37" orientation="portrait"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A57" sqref="A5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1158</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6" t="s">
        <v>1616</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310</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1312</v>
      </c>
      <c r="B70" s="2189"/>
      <c r="C70" s="2189"/>
      <c r="D70" s="2189"/>
      <c r="E70" s="2190"/>
      <c r="F70" s="2190"/>
      <c r="G70" s="2190"/>
      <c r="H70" s="2190"/>
      <c r="I70" s="219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1309</v>
      </c>
      <c r="B83" s="2191"/>
      <c r="C83" s="2191"/>
      <c r="D83" s="219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2" t="s">
        <v>1989</v>
      </c>
      <c r="B85" s="2202"/>
      <c r="C85" s="2202"/>
      <c r="D85" s="220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4" t="s">
        <v>1989</v>
      </c>
      <c r="B88" s="2205"/>
      <c r="C88" s="2205"/>
      <c r="D88" s="220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2051</v>
      </c>
      <c r="D114" s="218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1319</v>
      </c>
      <c r="D117" s="2184"/>
      <c r="E117" s="2185"/>
      <c r="F117" s="2185"/>
      <c r="G117" s="2185"/>
      <c r="H117" s="218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rintOptions horizontalCentered="1"/>
  <pageMargins left="1" right="0.75" top="0.75" bottom="0.75" header="0.5" footer="0.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34</oddFooter>
    <evenFooter>&amp;CReference should be made to auditor's report regarding this information.
35</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A19" sqref="A19:XFD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NPT Special Education Cooperative</v>
      </c>
      <c r="C1" s="2586"/>
      <c r="D1" s="2586"/>
      <c r="E1" s="2586"/>
      <c r="F1" s="2586"/>
      <c r="G1" s="2586"/>
      <c r="H1" s="2586"/>
      <c r="I1" s="2586"/>
      <c r="J1" s="2586"/>
      <c r="K1" s="2586"/>
      <c r="L1" s="2586"/>
      <c r="M1" s="2586"/>
    </row>
    <row r="2" spans="2:14" ht="15" x14ac:dyDescent="0.2">
      <c r="B2" s="2587">
        <f>'Single Audit Cover'!E7</f>
        <v>3011003061</v>
      </c>
      <c r="C2" s="2587"/>
      <c r="D2" s="2587"/>
      <c r="E2" s="2587"/>
      <c r="F2" s="2587"/>
      <c r="G2" s="2587"/>
      <c r="H2" s="2587"/>
      <c r="I2" s="2587"/>
      <c r="J2" s="2587"/>
      <c r="K2" s="2587"/>
      <c r="L2" s="2587"/>
      <c r="M2" s="2587"/>
      <c r="N2" s="1078"/>
    </row>
    <row r="3" spans="2:14" ht="15" x14ac:dyDescent="0.2">
      <c r="B3" s="2588" t="s">
        <v>1208</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9" t="str">
        <f>'Single Audit Cover'!A7</f>
        <v>NPT Special Education Cooperative</v>
      </c>
      <c r="B1" s="2599"/>
      <c r="C1" s="2599"/>
      <c r="D1" s="2599"/>
      <c r="E1" s="2599"/>
      <c r="F1" s="2599"/>
    </row>
    <row r="2" spans="1:7" ht="13.5" customHeight="1" x14ac:dyDescent="0.2">
      <c r="A2" s="2587">
        <f>'Single Audit Cover'!E7</f>
        <v>3011003061</v>
      </c>
      <c r="B2" s="2587"/>
      <c r="C2" s="2587"/>
      <c r="D2" s="2587"/>
      <c r="E2" s="2587"/>
      <c r="F2" s="2587"/>
      <c r="G2" s="1051"/>
    </row>
    <row r="3" spans="1:7" ht="15.75" customHeight="1" x14ac:dyDescent="0.2">
      <c r="A3" s="2600" t="s">
        <v>1260</v>
      </c>
      <c r="B3" s="2600"/>
      <c r="C3" s="2600"/>
      <c r="D3" s="2600"/>
      <c r="E3" s="2600"/>
      <c r="F3" s="2600"/>
    </row>
    <row r="4" spans="1:7" ht="13.5" customHeight="1" x14ac:dyDescent="0.2">
      <c r="A4" s="2601" t="str">
        <f>'Single Audit Cover'!A4</f>
        <v>Year Ending June 30, 2020</v>
      </c>
      <c r="B4" s="2601"/>
      <c r="C4" s="2601"/>
      <c r="D4" s="2601"/>
      <c r="E4" s="2601"/>
      <c r="F4" s="2601"/>
    </row>
    <row r="5" spans="1:7" ht="8.25" customHeight="1" x14ac:dyDescent="0.2">
      <c r="C5" s="295"/>
      <c r="D5" s="295"/>
    </row>
    <row r="6" spans="1:7" ht="13.5" customHeight="1" x14ac:dyDescent="0.2">
      <c r="A6" s="1052" t="s">
        <v>1705</v>
      </c>
      <c r="C6" s="295"/>
      <c r="D6" s="295"/>
    </row>
    <row r="7" spans="1:7" ht="60.95" customHeight="1" x14ac:dyDescent="0.2">
      <c r="A7" s="2598" t="s">
        <v>1706</v>
      </c>
      <c r="B7" s="2598"/>
      <c r="C7" s="2598"/>
      <c r="D7" s="2598"/>
      <c r="E7" s="2598"/>
      <c r="F7" s="259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8" t="s">
        <v>1708</v>
      </c>
      <c r="B13" s="2598"/>
      <c r="C13" s="2598"/>
      <c r="D13" s="2598"/>
      <c r="E13" s="2598"/>
      <c r="F13" s="2598"/>
    </row>
    <row r="14" spans="1:7" ht="9.75" customHeight="1" x14ac:dyDescent="0.2">
      <c r="C14" s="1036"/>
      <c r="D14" s="1036"/>
    </row>
    <row r="15" spans="1:7" ht="13.5" customHeight="1" x14ac:dyDescent="0.2">
      <c r="C15" s="1476" t="s">
        <v>1259</v>
      </c>
      <c r="D15" s="2596" t="s">
        <v>1258</v>
      </c>
      <c r="E15" s="2596"/>
      <c r="F15" s="2596"/>
    </row>
    <row r="16" spans="1:7" ht="13.5" customHeight="1" x14ac:dyDescent="0.2">
      <c r="A16" s="1058"/>
      <c r="B16" s="1052" t="s">
        <v>1257</v>
      </c>
      <c r="C16" s="1476" t="s">
        <v>1256</v>
      </c>
      <c r="D16" s="2597" t="s">
        <v>1571</v>
      </c>
      <c r="E16" s="2597"/>
      <c r="F16" s="2597"/>
    </row>
    <row r="17" spans="1:6" ht="20.45" customHeight="1" x14ac:dyDescent="0.2">
      <c r="A17" s="1059"/>
      <c r="B17" s="1060"/>
      <c r="C17" s="1061"/>
      <c r="D17" s="2591"/>
      <c r="E17" s="2591"/>
      <c r="F17" s="2591"/>
    </row>
    <row r="18" spans="1:6" ht="20.65" customHeight="1" x14ac:dyDescent="0.2">
      <c r="A18" s="1059"/>
      <c r="B18" s="1060"/>
      <c r="C18" s="1061"/>
      <c r="D18" s="2591"/>
      <c r="E18" s="2591"/>
      <c r="F18" s="2591"/>
    </row>
    <row r="19" spans="1:6" ht="20.65" customHeight="1" x14ac:dyDescent="0.2">
      <c r="A19" s="1059"/>
      <c r="B19" s="1060"/>
      <c r="C19" s="1061"/>
      <c r="D19" s="2591"/>
      <c r="E19" s="2591"/>
      <c r="F19" s="2591"/>
    </row>
    <row r="20" spans="1:6" ht="20.65" customHeight="1" x14ac:dyDescent="0.2">
      <c r="A20" s="1059"/>
      <c r="B20" s="1060"/>
      <c r="C20" s="1061"/>
      <c r="D20" s="2591"/>
      <c r="E20" s="2591"/>
      <c r="F20" s="2591"/>
    </row>
    <row r="21" spans="1:6" ht="20.65" customHeight="1" x14ac:dyDescent="0.2">
      <c r="A21" s="1059"/>
      <c r="B21" s="1060"/>
      <c r="C21" s="1061"/>
      <c r="D21" s="2591"/>
      <c r="E21" s="2591"/>
      <c r="F21" s="2591"/>
    </row>
    <row r="22" spans="1:6" ht="20.65" customHeight="1" x14ac:dyDescent="0.2">
      <c r="A22" s="1059"/>
      <c r="B22" s="1060"/>
      <c r="C22" s="1061"/>
      <c r="D22" s="2591"/>
      <c r="E22" s="2591"/>
      <c r="F22" s="2591"/>
    </row>
    <row r="23" spans="1:6" ht="20.65" customHeight="1" x14ac:dyDescent="0.2">
      <c r="A23" s="1059"/>
      <c r="B23" s="1060"/>
      <c r="C23" s="1061"/>
      <c r="D23" s="2591"/>
      <c r="E23" s="2591"/>
      <c r="F23" s="2591"/>
    </row>
    <row r="24" spans="1:6" ht="20.65" customHeight="1" x14ac:dyDescent="0.2">
      <c r="A24" s="1059"/>
      <c r="B24" s="1060"/>
      <c r="C24" s="1061"/>
      <c r="D24" s="2591"/>
      <c r="E24" s="2591"/>
      <c r="F24" s="2591"/>
    </row>
    <row r="25" spans="1:6" ht="20.65" customHeight="1" x14ac:dyDescent="0.2">
      <c r="A25" s="1059"/>
      <c r="B25" s="1060"/>
      <c r="C25" s="1061"/>
      <c r="D25" s="2591"/>
      <c r="E25" s="2591"/>
      <c r="F25" s="2591"/>
    </row>
    <row r="26" spans="1:6" ht="20.65" customHeight="1" x14ac:dyDescent="0.2">
      <c r="A26" s="1059"/>
      <c r="B26" s="1060"/>
      <c r="C26" s="1061"/>
      <c r="D26" s="2591"/>
      <c r="E26" s="2591"/>
      <c r="F26" s="2591"/>
    </row>
    <row r="27" spans="1:6" ht="20.65" customHeight="1" x14ac:dyDescent="0.2">
      <c r="A27" s="1059"/>
      <c r="B27" s="1060"/>
      <c r="C27" s="1061"/>
      <c r="D27" s="2591"/>
      <c r="E27" s="2591"/>
      <c r="F27" s="2591"/>
    </row>
    <row r="28" spans="1:6" ht="20.65" customHeight="1" x14ac:dyDescent="0.2">
      <c r="A28" s="1059"/>
      <c r="B28" s="1060"/>
      <c r="C28" s="1061"/>
      <c r="D28" s="2591"/>
      <c r="E28" s="2591"/>
      <c r="F28" s="2591"/>
    </row>
    <row r="29" spans="1:6" ht="20.65" customHeight="1" x14ac:dyDescent="0.2">
      <c r="A29" s="1059"/>
      <c r="B29" s="1060"/>
      <c r="C29" s="1061"/>
      <c r="D29" s="2591"/>
      <c r="E29" s="2591"/>
      <c r="F29" s="259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2" t="s">
        <v>1709</v>
      </c>
      <c r="B32" s="2592"/>
      <c r="C32" s="2592"/>
      <c r="D32" s="2592"/>
      <c r="E32" s="2592"/>
      <c r="F32" s="259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3">
        <f>+C33+C34</f>
        <v>0</v>
      </c>
      <c r="F34" s="259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5" t="s">
        <v>1573</v>
      </c>
      <c r="C49" s="2595"/>
      <c r="D49" s="2595"/>
      <c r="E49" s="1168"/>
    </row>
    <row r="50" spans="1:5" s="1076" customFormat="1" ht="3.75" customHeight="1" x14ac:dyDescent="0.2">
      <c r="A50" s="1075"/>
      <c r="B50" s="1475"/>
      <c r="C50" s="1475"/>
      <c r="D50" s="1475"/>
      <c r="E50" s="1168"/>
    </row>
    <row r="51" spans="1:5" s="1076" customFormat="1" ht="20.25" customHeight="1" x14ac:dyDescent="0.2">
      <c r="A51" s="1077">
        <v>6</v>
      </c>
      <c r="B51" s="2590" t="s">
        <v>1534</v>
      </c>
      <c r="C51" s="2590"/>
      <c r="D51" s="2590"/>
    </row>
    <row r="52" spans="1:5" ht="14.25" customHeight="1" x14ac:dyDescent="0.2">
      <c r="A52" s="1077"/>
      <c r="B52" s="2590"/>
      <c r="C52" s="2590"/>
      <c r="D52" s="259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1" right="0.75" top="0.75" bottom="0.75" header="0.5" footer="0.5"/>
  <pageSetup scale="8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3" t="str">
        <f>'Single Audit Cover'!A7</f>
        <v>NPT Special Education Cooperative</v>
      </c>
      <c r="C1" s="2614"/>
      <c r="D1" s="2614"/>
      <c r="E1" s="2614"/>
      <c r="F1" s="2614"/>
      <c r="G1" s="2614"/>
      <c r="H1" s="2614"/>
      <c r="I1" s="2614"/>
      <c r="J1" s="1178"/>
    </row>
    <row r="2" spans="2:10" s="295" customFormat="1" ht="12.75" customHeight="1" x14ac:dyDescent="0.2">
      <c r="B2" s="2615">
        <f>'Single Audit Cover'!E7</f>
        <v>3011003061</v>
      </c>
      <c r="C2" s="2616"/>
      <c r="D2" s="2616"/>
      <c r="E2" s="2616"/>
      <c r="F2" s="2616"/>
      <c r="G2" s="2616"/>
      <c r="H2" s="2616"/>
      <c r="I2" s="2616"/>
      <c r="J2" s="1178"/>
    </row>
    <row r="3" spans="2:10" s="295" customFormat="1" ht="12.75" customHeight="1" x14ac:dyDescent="0.2">
      <c r="B3" s="2617" t="s">
        <v>1274</v>
      </c>
      <c r="C3" s="2618"/>
      <c r="D3" s="2618"/>
      <c r="E3" s="2618"/>
      <c r="F3" s="2618"/>
      <c r="G3" s="2618"/>
      <c r="H3" s="2618"/>
      <c r="I3" s="2618"/>
      <c r="J3" s="1179"/>
    </row>
    <row r="4" spans="2:10" s="295" customFormat="1" ht="12.75" customHeight="1" x14ac:dyDescent="0.2">
      <c r="B4" s="2617" t="str">
        <f>'Single Audit Cover'!A4</f>
        <v>Year Ending June 30, 2020</v>
      </c>
      <c r="C4" s="2618"/>
      <c r="D4" s="2618"/>
      <c r="E4" s="2618"/>
      <c r="F4" s="2618"/>
      <c r="G4" s="2618"/>
      <c r="H4" s="2618"/>
      <c r="I4" s="261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7" t="s">
        <v>1273</v>
      </c>
      <c r="C7" s="2618"/>
      <c r="D7" s="2618"/>
      <c r="E7" s="2618"/>
      <c r="F7" s="2618"/>
      <c r="G7" s="2618"/>
      <c r="H7" s="2618"/>
      <c r="I7" s="261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9"/>
      <c r="D11" s="261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0"/>
      <c r="E29" s="2620"/>
      <c r="F29" s="2620"/>
      <c r="G29" s="2620"/>
      <c r="H29" s="2620"/>
      <c r="I29" s="262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1" t="s">
        <v>1728</v>
      </c>
      <c r="D37" s="2622"/>
      <c r="E37" s="2622"/>
      <c r="F37" s="2623"/>
      <c r="G37" s="2621" t="s">
        <v>1575</v>
      </c>
      <c r="H37" s="2622"/>
      <c r="I37" s="2623"/>
    </row>
    <row r="38" spans="2:9" ht="16.5" customHeight="1" x14ac:dyDescent="0.2">
      <c r="B38" s="1200"/>
      <c r="C38" s="2609"/>
      <c r="D38" s="2610"/>
      <c r="E38" s="2610"/>
      <c r="F38" s="2611"/>
      <c r="G38" s="2624"/>
      <c r="H38" s="2625"/>
      <c r="I38" s="2626"/>
    </row>
    <row r="39" spans="2:9" ht="16.5" customHeight="1" x14ac:dyDescent="0.2">
      <c r="B39" s="1200"/>
      <c r="C39" s="2609"/>
      <c r="D39" s="2610"/>
      <c r="E39" s="2610"/>
      <c r="F39" s="2611"/>
      <c r="G39" s="2612"/>
      <c r="H39" s="2612"/>
      <c r="I39" s="2612"/>
    </row>
    <row r="40" spans="2:9" ht="16.5" customHeight="1" x14ac:dyDescent="0.2">
      <c r="B40" s="1200"/>
      <c r="C40" s="2609"/>
      <c r="D40" s="2610"/>
      <c r="E40" s="2610"/>
      <c r="F40" s="2611"/>
      <c r="G40" s="2612"/>
      <c r="H40" s="2612"/>
      <c r="I40" s="2612"/>
    </row>
    <row r="41" spans="2:9" ht="16.5" customHeight="1" x14ac:dyDescent="0.2">
      <c r="B41" s="1200"/>
      <c r="C41" s="2609"/>
      <c r="D41" s="2610"/>
      <c r="E41" s="2610"/>
      <c r="F41" s="2611"/>
      <c r="G41" s="2612"/>
      <c r="H41" s="2612"/>
      <c r="I41" s="2612"/>
    </row>
    <row r="42" spans="2:9" ht="16.5" customHeight="1" x14ac:dyDescent="0.2">
      <c r="B42" s="1200"/>
      <c r="C42" s="2609"/>
      <c r="D42" s="2610"/>
      <c r="E42" s="2610"/>
      <c r="F42" s="2611"/>
      <c r="G42" s="2612"/>
      <c r="H42" s="2612"/>
      <c r="I42" s="2612"/>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0.75" top="0.75" bottom="0.75" header="0.5" footer="0.5"/>
  <pageSetup scale="8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3" t="str">
        <f>'Single Audit Cover'!A7</f>
        <v>NPT Special Education Cooperative</v>
      </c>
      <c r="C1" s="2613"/>
      <c r="D1" s="2613"/>
      <c r="E1" s="2613"/>
      <c r="F1" s="2613"/>
      <c r="G1" s="2613"/>
      <c r="H1" s="2613"/>
      <c r="I1" s="2613"/>
      <c r="J1" s="2613"/>
      <c r="K1" s="2613"/>
      <c r="L1" s="1144"/>
      <c r="M1" s="1144"/>
    </row>
    <row r="2" spans="1:13" ht="12" customHeight="1" x14ac:dyDescent="0.2">
      <c r="B2" s="2615">
        <f>'Single Audit Cover'!E7</f>
        <v>3011003061</v>
      </c>
      <c r="C2" s="2615"/>
      <c r="D2" s="2615"/>
      <c r="E2" s="2615"/>
      <c r="F2" s="2615"/>
      <c r="G2" s="2615"/>
      <c r="H2" s="2615"/>
      <c r="I2" s="2615"/>
      <c r="J2" s="2615"/>
      <c r="K2" s="2615"/>
      <c r="L2" s="1145"/>
      <c r="M2" s="1146"/>
    </row>
    <row r="3" spans="1:13" ht="10.35" customHeight="1" x14ac:dyDescent="0.2">
      <c r="B3" s="2629" t="s">
        <v>1274</v>
      </c>
      <c r="C3" s="2629"/>
      <c r="D3" s="2629"/>
      <c r="E3" s="2629"/>
      <c r="F3" s="2629"/>
      <c r="G3" s="2629"/>
      <c r="H3" s="2629"/>
      <c r="I3" s="2629"/>
      <c r="J3" s="2629"/>
      <c r="K3" s="2629"/>
      <c r="L3" s="1147"/>
      <c r="M3" s="1147"/>
    </row>
    <row r="4" spans="1:13" ht="14.25" customHeight="1" x14ac:dyDescent="0.2">
      <c r="B4" s="2630" t="str">
        <f>'Single Audit Cover'!A4</f>
        <v>Year Ending June 30, 2020</v>
      </c>
      <c r="C4" s="2630"/>
      <c r="D4" s="2630"/>
      <c r="E4" s="2630"/>
      <c r="F4" s="2630"/>
      <c r="G4" s="2630"/>
      <c r="H4" s="2630"/>
      <c r="I4" s="2630"/>
      <c r="J4" s="2630"/>
      <c r="K4" s="263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0" t="s">
        <v>1285</v>
      </c>
      <c r="C7" s="2630"/>
      <c r="D7" s="2631"/>
      <c r="E7" s="2631"/>
      <c r="F7" s="2631"/>
      <c r="G7" s="2631"/>
      <c r="H7" s="2631"/>
      <c r="I7" s="2631"/>
      <c r="J7" s="2631"/>
      <c r="K7" s="263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8"/>
      <c r="C14" s="2628"/>
      <c r="D14" s="2628"/>
      <c r="E14" s="2628"/>
      <c r="F14" s="2628"/>
      <c r="G14" s="2628"/>
      <c r="H14" s="2628"/>
      <c r="I14" s="2628"/>
      <c r="J14" s="2628"/>
      <c r="K14" s="262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8"/>
      <c r="C17" s="2628"/>
      <c r="D17" s="2628"/>
      <c r="E17" s="2628"/>
      <c r="F17" s="2628"/>
      <c r="G17" s="2628"/>
      <c r="H17" s="2628"/>
      <c r="I17" s="2628"/>
      <c r="J17" s="2628"/>
      <c r="K17" s="262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2"/>
      <c r="C20" s="2632"/>
      <c r="D20" s="2628"/>
      <c r="E20" s="2628"/>
      <c r="F20" s="2628"/>
      <c r="G20" s="2628"/>
      <c r="H20" s="2628"/>
      <c r="I20" s="2628"/>
      <c r="J20" s="2628"/>
      <c r="K20" s="262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8"/>
      <c r="C23" s="2628"/>
      <c r="D23" s="2628"/>
      <c r="E23" s="2628"/>
      <c r="F23" s="2628"/>
      <c r="G23" s="2628"/>
      <c r="H23" s="2628"/>
      <c r="I23" s="2628"/>
      <c r="J23" s="2628"/>
      <c r="K23" s="262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8"/>
      <c r="C26" s="2628"/>
      <c r="D26" s="2628"/>
      <c r="E26" s="2628"/>
      <c r="F26" s="2628"/>
      <c r="G26" s="2628"/>
      <c r="H26" s="2628"/>
      <c r="I26" s="2628"/>
      <c r="J26" s="2628"/>
      <c r="K26" s="262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7"/>
      <c r="C29" s="2627"/>
      <c r="D29" s="2628"/>
      <c r="E29" s="2628"/>
      <c r="F29" s="2628"/>
      <c r="G29" s="2628"/>
      <c r="H29" s="2628"/>
      <c r="I29" s="2628"/>
      <c r="J29" s="2628"/>
      <c r="K29" s="262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7"/>
      <c r="C32" s="2627"/>
      <c r="D32" s="2628"/>
      <c r="E32" s="2628"/>
      <c r="F32" s="2628"/>
      <c r="G32" s="2628"/>
      <c r="H32" s="2628"/>
      <c r="I32" s="2628"/>
      <c r="J32" s="2628"/>
      <c r="K32" s="262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5"/>
  <pageSetup scale="85"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6" t="str">
        <f>'Single Audit Cover'!A7</f>
        <v>NPT Special Education Cooperative</v>
      </c>
      <c r="C1" s="2636"/>
      <c r="D1" s="2636"/>
      <c r="E1" s="2636"/>
      <c r="F1" s="2636"/>
      <c r="G1" s="2636"/>
      <c r="H1" s="2636"/>
      <c r="I1" s="2636"/>
      <c r="J1" s="2636"/>
      <c r="K1" s="2636"/>
      <c r="L1" s="1221"/>
    </row>
    <row r="2" spans="1:12" ht="12.75" customHeight="1" x14ac:dyDescent="0.2">
      <c r="B2" s="2637">
        <f>'Single Audit Cover'!E7</f>
        <v>3011003061</v>
      </c>
      <c r="C2" s="2637"/>
      <c r="D2" s="2637"/>
      <c r="E2" s="2637"/>
      <c r="F2" s="2637"/>
      <c r="G2" s="2637"/>
      <c r="H2" s="2637"/>
      <c r="I2" s="2637"/>
      <c r="J2" s="2637"/>
      <c r="K2" s="2637"/>
      <c r="L2" s="1222"/>
    </row>
    <row r="3" spans="1:12" ht="12.75" customHeight="1" x14ac:dyDescent="0.2">
      <c r="B3" s="2629" t="s">
        <v>1274</v>
      </c>
      <c r="C3" s="2629"/>
      <c r="D3" s="2629"/>
      <c r="E3" s="2629"/>
      <c r="F3" s="2629"/>
      <c r="G3" s="2629"/>
      <c r="H3" s="2629"/>
      <c r="I3" s="2629"/>
      <c r="J3" s="2629"/>
      <c r="K3" s="2629"/>
      <c r="L3" s="1147"/>
    </row>
    <row r="4" spans="1:12" ht="12.75" customHeight="1" x14ac:dyDescent="0.2">
      <c r="B4" s="2629" t="str">
        <f>'Single Audit Cover'!A4</f>
        <v>Year Ending June 30, 2020</v>
      </c>
      <c r="C4" s="2629"/>
      <c r="D4" s="2629"/>
      <c r="E4" s="2629"/>
      <c r="F4" s="2629"/>
      <c r="G4" s="2629"/>
      <c r="H4" s="2629"/>
      <c r="I4" s="2629"/>
      <c r="J4" s="2629"/>
      <c r="K4" s="2629"/>
      <c r="L4" s="1147"/>
    </row>
    <row r="5" spans="1:12" ht="5.25" customHeight="1" x14ac:dyDescent="0.2">
      <c r="B5" s="1036" t="s">
        <v>1159</v>
      </c>
      <c r="C5" s="1036"/>
      <c r="L5" s="300"/>
    </row>
    <row r="6" spans="1:12" ht="30.75" customHeight="1" x14ac:dyDescent="0.2">
      <c r="A6" s="300"/>
      <c r="B6" s="2638" t="s">
        <v>1297</v>
      </c>
      <c r="C6" s="2638"/>
      <c r="D6" s="2638"/>
      <c r="E6" s="2638"/>
      <c r="F6" s="2638"/>
      <c r="G6" s="2638"/>
      <c r="H6" s="2638"/>
      <c r="I6" s="2638"/>
      <c r="J6" s="2638"/>
      <c r="K6" s="263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0"/>
      <c r="G12" s="2620"/>
      <c r="H12" s="2620"/>
      <c r="I12" s="2620"/>
      <c r="J12" s="2620"/>
      <c r="K12" s="262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3"/>
      <c r="E14" s="2633"/>
      <c r="F14" s="2633"/>
      <c r="H14" s="1230" t="s">
        <v>1292</v>
      </c>
      <c r="I14" s="2634"/>
      <c r="J14" s="2634"/>
      <c r="K14" s="263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4"/>
      <c r="E16" s="2634"/>
      <c r="F16" s="2634"/>
      <c r="G16" s="2634"/>
      <c r="H16" s="2634"/>
      <c r="I16" s="2634"/>
      <c r="J16" s="2634"/>
      <c r="K16" s="2634"/>
      <c r="L16" s="300"/>
    </row>
    <row r="17" spans="2:12" ht="13.5" customHeight="1" x14ac:dyDescent="0.2">
      <c r="B17" s="1156" t="s">
        <v>1290</v>
      </c>
      <c r="C17" s="1156"/>
      <c r="D17" s="2635"/>
      <c r="E17" s="2635"/>
      <c r="F17" s="2635"/>
      <c r="G17" s="2635"/>
      <c r="H17" s="2635"/>
      <c r="I17" s="2635"/>
      <c r="J17" s="2635"/>
      <c r="K17" s="263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8"/>
      <c r="C20" s="2628"/>
      <c r="D20" s="2628"/>
      <c r="E20" s="2628"/>
      <c r="F20" s="2628"/>
      <c r="G20" s="2628"/>
      <c r="H20" s="2628"/>
      <c r="I20" s="2628"/>
      <c r="J20" s="2628"/>
      <c r="K20" s="262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8"/>
      <c r="C23" s="2628"/>
      <c r="D23" s="2628"/>
      <c r="E23" s="2628"/>
      <c r="F23" s="2628"/>
      <c r="G23" s="2628"/>
      <c r="H23" s="2628"/>
      <c r="I23" s="2628"/>
      <c r="J23" s="2628"/>
      <c r="K23" s="262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8"/>
      <c r="C26" s="2628"/>
      <c r="D26" s="2628"/>
      <c r="E26" s="2628"/>
      <c r="F26" s="2628"/>
      <c r="G26" s="2628"/>
      <c r="H26" s="2628"/>
      <c r="I26" s="2628"/>
      <c r="J26" s="2628"/>
      <c r="K26" s="262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8"/>
      <c r="C29" s="2628"/>
      <c r="D29" s="2628"/>
      <c r="E29" s="2628"/>
      <c r="F29" s="2628"/>
      <c r="G29" s="2628"/>
      <c r="H29" s="2628"/>
      <c r="I29" s="2628"/>
      <c r="J29" s="2628"/>
      <c r="K29" s="262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8"/>
      <c r="C32" s="2628"/>
      <c r="D32" s="2628"/>
      <c r="E32" s="2628"/>
      <c r="F32" s="2628"/>
      <c r="G32" s="2628"/>
      <c r="H32" s="2628"/>
      <c r="I32" s="2628"/>
      <c r="J32" s="2628"/>
      <c r="K32" s="262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8"/>
      <c r="C35" s="2628"/>
      <c r="D35" s="2628"/>
      <c r="E35" s="2628"/>
      <c r="F35" s="2628"/>
      <c r="G35" s="2628"/>
      <c r="H35" s="2628"/>
      <c r="I35" s="2628"/>
      <c r="J35" s="2628"/>
      <c r="K35" s="262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8"/>
      <c r="C38" s="2628"/>
      <c r="D38" s="2628"/>
      <c r="E38" s="2628"/>
      <c r="F38" s="2628"/>
      <c r="G38" s="2628"/>
      <c r="H38" s="2628"/>
      <c r="I38" s="2628"/>
      <c r="J38" s="2628"/>
      <c r="K38" s="262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8"/>
      <c r="C41" s="2628"/>
      <c r="D41" s="2628"/>
      <c r="E41" s="2628"/>
      <c r="F41" s="2628"/>
      <c r="G41" s="2628"/>
      <c r="H41" s="2628"/>
      <c r="I41" s="2628"/>
      <c r="J41" s="2628"/>
      <c r="K41" s="262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0.75" top="0.75" bottom="0.75" header="0.5" footer="0.5"/>
  <pageSetup scale="85"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3" t="str">
        <f>'Single Audit Cover'!A7</f>
        <v>NPT Special Education Cooperative</v>
      </c>
      <c r="C1" s="2613"/>
      <c r="D1" s="2613"/>
      <c r="E1" s="1240"/>
    </row>
    <row r="2" spans="2:5" s="1058" customFormat="1" ht="12.75" customHeight="1" x14ac:dyDescent="0.2">
      <c r="B2" s="2615">
        <f>'Single Audit Cover'!E7</f>
        <v>3011003061</v>
      </c>
      <c r="C2" s="2615"/>
      <c r="D2" s="2615"/>
      <c r="E2" s="1241"/>
    </row>
    <row r="3" spans="2:5" ht="12.75" customHeight="1" x14ac:dyDescent="0.2">
      <c r="B3" s="2629" t="s">
        <v>1743</v>
      </c>
      <c r="C3" s="2629"/>
      <c r="D3" s="2629"/>
      <c r="E3" s="1050"/>
    </row>
    <row r="4" spans="2:5" s="1058" customFormat="1" ht="12.75" customHeight="1" x14ac:dyDescent="0.2">
      <c r="B4" s="2639" t="str">
        <f>'Single Audit Cover'!A4</f>
        <v>Year Ending June 30, 2020</v>
      </c>
      <c r="C4" s="2639"/>
      <c r="D4" s="263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1" right="0.75" top="0.75" bottom="0.75" header="0.5" footer="0.5"/>
  <pageSetup scale="85"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383</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1821662</v>
      </c>
      <c r="E16" s="1547"/>
      <c r="F16" s="1546">
        <f>SUM('Acct Summary 7-8'!C17,'Acct Summary 7-8'!D17,'Acct Summary 7-8'!F17)</f>
        <v>1634911</v>
      </c>
      <c r="G16" s="1547"/>
      <c r="H16" s="1546">
        <f>SUM(D16-F16)</f>
        <v>186751</v>
      </c>
      <c r="I16" s="1548"/>
      <c r="J16" s="1546">
        <f>SUM('Acct Summary 7-8'!C81,'Acct Summary 7-8'!D81,'Acct Summary 7-8'!F81,'Acct Summary 7-8'!I81)</f>
        <v>186751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1" right="0.75" top="0.75" bottom="0.75" header="0.5" footer="0.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552</v>
      </c>
      <c r="B2" s="2226"/>
      <c r="C2" s="2226"/>
      <c r="D2" s="2226"/>
      <c r="E2" s="2226"/>
      <c r="F2" s="2226"/>
      <c r="G2" s="2226"/>
      <c r="H2" s="2226"/>
      <c r="I2" s="2226"/>
      <c r="J2" s="2226"/>
      <c r="K2" s="2226"/>
      <c r="L2" s="2226"/>
      <c r="M2" s="2226"/>
      <c r="N2" s="2226"/>
      <c r="O2" s="2226"/>
      <c r="P2" s="2226"/>
      <c r="Q2" s="2226"/>
      <c r="R2" s="2226"/>
    </row>
    <row r="3" spans="1:18" ht="12.75" x14ac:dyDescent="0.2">
      <c r="A3" s="2227" t="s">
        <v>1396</v>
      </c>
      <c r="B3" s="2227"/>
      <c r="C3" s="2227"/>
      <c r="D3" s="2227"/>
      <c r="E3" s="2227"/>
      <c r="F3" s="2227"/>
      <c r="G3" s="2227"/>
      <c r="H3" s="2227"/>
      <c r="I3" s="2227"/>
      <c r="J3" s="2227"/>
      <c r="K3" s="2227"/>
      <c r="L3" s="2227"/>
      <c r="M3" s="2227"/>
      <c r="N3" s="2227"/>
      <c r="O3" s="2227"/>
      <c r="P3" s="2227"/>
      <c r="Q3" s="2227"/>
      <c r="R3" s="2227"/>
    </row>
    <row r="4" spans="1:18" x14ac:dyDescent="0.2">
      <c r="A4" s="2228" t="s">
        <v>1537</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NPT Special Education Cooperative</v>
      </c>
      <c r="E7" s="368"/>
      <c r="G7" s="247"/>
      <c r="H7" s="364"/>
      <c r="I7" s="364"/>
      <c r="J7" s="364"/>
      <c r="K7" s="364"/>
      <c r="L7" s="307"/>
      <c r="M7" s="307"/>
      <c r="N7" s="307"/>
      <c r="O7" s="307"/>
      <c r="P7" s="307"/>
    </row>
    <row r="8" spans="1:18" ht="12.75" x14ac:dyDescent="0.2">
      <c r="A8" s="307"/>
      <c r="B8" s="307"/>
      <c r="C8" s="366" t="s">
        <v>1115</v>
      </c>
      <c r="D8" s="369">
        <f>COVER!A13</f>
        <v>3011003061</v>
      </c>
      <c r="E8" s="370"/>
      <c r="G8" s="307"/>
      <c r="H8" s="307"/>
      <c r="I8" s="307"/>
      <c r="J8" s="307"/>
      <c r="K8" s="307"/>
      <c r="L8" s="307"/>
      <c r="M8" s="307"/>
      <c r="N8" s="307"/>
      <c r="O8" s="307"/>
      <c r="P8" s="307"/>
    </row>
    <row r="9" spans="1:18" ht="12.75" x14ac:dyDescent="0.2">
      <c r="A9" s="307"/>
      <c r="B9" s="307"/>
      <c r="C9" s="366" t="s">
        <v>708</v>
      </c>
      <c r="D9" s="371" t="str">
        <f>COVER!A15</f>
        <v>Christian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186751</v>
      </c>
      <c r="I12" s="380"/>
      <c r="J12" s="380"/>
      <c r="K12" s="1559">
        <f>TRUNC((H12/H13*100000),5)/100000</f>
        <v>0.10251682249999999</v>
      </c>
      <c r="L12" s="381"/>
      <c r="M12" s="337" t="s">
        <v>1134</v>
      </c>
      <c r="N12" s="337"/>
      <c r="O12" s="1562">
        <v>0.35</v>
      </c>
      <c r="P12" s="213"/>
      <c r="Q12" s="213"/>
    </row>
    <row r="13" spans="1:18" s="382" customFormat="1" ht="12.75" x14ac:dyDescent="0.2">
      <c r="A13" s="213"/>
      <c r="B13" s="377"/>
      <c r="C13" s="2224" t="s">
        <v>1313</v>
      </c>
      <c r="D13" s="2225"/>
      <c r="E13" s="213"/>
      <c r="F13" s="383" t="s">
        <v>788</v>
      </c>
      <c r="G13" s="378"/>
      <c r="H13" s="1551">
        <f>SUM('Acct Summary 7-8'!C8+'Acct Summary 7-8'!D8+'Acct Summary 7-8'!F8+'Acct Summary 7-8'!I8)+H14</f>
        <v>1821662</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1634911</v>
      </c>
      <c r="I17" s="380"/>
      <c r="J17" s="389"/>
      <c r="K17" s="1559">
        <f>TRUNC((H17/H18*100000),5)/100000</f>
        <v>0.89748317739999994</v>
      </c>
      <c r="L17" s="381"/>
      <c r="M17" s="390" t="s">
        <v>1161</v>
      </c>
      <c r="O17" s="1565" t="str">
        <f>IF(AND(O16="2", J20 &gt; 2),"1",IF(AND(O16 = "1", J20 &gt; 2),"2",IF(AND(O16="1", J20 &gt;1),"1","0")))</f>
        <v>0</v>
      </c>
      <c r="P17" s="213"/>
    </row>
    <row r="18" spans="1:18" s="382" customFormat="1" ht="11.25" x14ac:dyDescent="0.2">
      <c r="A18" s="213"/>
      <c r="B18" s="377"/>
      <c r="C18" s="2224" t="s">
        <v>1306</v>
      </c>
      <c r="D18" s="2225"/>
      <c r="E18" s="213"/>
      <c r="F18" s="391" t="s">
        <v>789</v>
      </c>
      <c r="G18" s="378"/>
      <c r="H18" s="1551">
        <f>SUM('Acct Summary 7-8'!C8+'Acct Summary 7-8'!D8+'Acct Summary 7-8'!F8+'Acct Summary 7-8'!I8)+H19</f>
        <v>1821662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21" t="s">
        <v>1395</v>
      </c>
      <c r="D24" s="2221"/>
      <c r="E24" s="213"/>
      <c r="F24" s="213" t="s">
        <v>442</v>
      </c>
      <c r="G24" s="378"/>
      <c r="H24" s="1551">
        <f>SUM('Assets-Liab 5-6'!C4+'Assets-Liab 5-6'!D4+'Assets-Liab 5-6'!F4+'Assets-Liab 5-6'!I4+'Assets-Liab 5-6'!C5+'Assets-Liab 5-6'!D5+'Assets-Liab 5-6'!F5+'Assets-Liab 5-6'!I5)</f>
        <v>186751</v>
      </c>
      <c r="I24" s="394"/>
      <c r="J24" s="394"/>
      <c r="K24" s="1555">
        <f>TRUNC(((H24/H25*100000)/100000),2)</f>
        <v>41.12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4541.4194399999997</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pane="bottomLeft" activeCell="D11" sqref="D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1" t="s">
        <v>967</v>
      </c>
      <c r="B3" s="2232"/>
      <c r="C3" s="1306"/>
      <c r="D3" s="1307"/>
      <c r="E3" s="1307"/>
      <c r="F3" s="1307"/>
      <c r="G3" s="1307"/>
      <c r="H3" s="1307"/>
      <c r="I3" s="1307"/>
      <c r="J3" s="1307"/>
      <c r="K3" s="1307"/>
      <c r="L3" s="1307"/>
      <c r="M3" s="1308"/>
      <c r="N3" s="1309"/>
    </row>
    <row r="4" spans="1:14" ht="13.5" customHeight="1" x14ac:dyDescent="0.2">
      <c r="A4" s="427" t="s">
        <v>1632</v>
      </c>
      <c r="B4" s="428"/>
      <c r="C4" s="1572">
        <v>186751</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186751</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33" t="s">
        <v>146</v>
      </c>
      <c r="B14" s="223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35" t="s">
        <v>594</v>
      </c>
      <c r="B24" s="223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37" t="s">
        <v>526</v>
      </c>
      <c r="B35" s="223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186751</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186751</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5" right="0.5" top="1.5" bottom="0.75" header="1" footer="0.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5" zoomScaleNormal="85" zoomScaleSheetLayoutView="85" workbookViewId="0">
      <pane ySplit="2" topLeftCell="A57" activePane="bottomLeft" state="frozen"/>
      <selection pane="bottomLeft" activeCell="C79" sqref="C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9" t="s">
        <v>1165</v>
      </c>
      <c r="B3" s="2260"/>
      <c r="C3" s="1311"/>
      <c r="D3" s="1312"/>
      <c r="E3" s="1312"/>
      <c r="F3" s="1312"/>
      <c r="G3" s="1312"/>
      <c r="H3" s="1312"/>
      <c r="I3" s="1312"/>
      <c r="J3" s="1312"/>
      <c r="K3" s="1313"/>
      <c r="L3" s="446"/>
    </row>
    <row r="4" spans="1:13" ht="15.75" customHeight="1" x14ac:dyDescent="0.2">
      <c r="A4" s="1537" t="s">
        <v>1482</v>
      </c>
      <c r="B4" s="1538">
        <v>1000</v>
      </c>
      <c r="C4" s="1606">
        <f>'Revenues 9-14'!C109</f>
        <v>1305087</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445000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71575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1821662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1821662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33" t="s">
        <v>1166</v>
      </c>
      <c r="B11" s="2234"/>
      <c r="C11" s="1602"/>
      <c r="D11" s="1603"/>
      <c r="E11" s="1603"/>
      <c r="F11" s="1603"/>
      <c r="G11" s="1603"/>
      <c r="H11" s="1603"/>
      <c r="I11" s="1603"/>
      <c r="J11" s="1603"/>
      <c r="K11" s="1615"/>
      <c r="L11" s="451"/>
    </row>
    <row r="12" spans="1:13" ht="15.75" customHeight="1" x14ac:dyDescent="0.2">
      <c r="A12" s="1314" t="s">
        <v>453</v>
      </c>
      <c r="B12" s="1316">
        <v>1000</v>
      </c>
      <c r="C12" s="1606">
        <f>'Expenditures 15-22'!K33</f>
        <v>142910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1047001</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445000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1634911</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1634911</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49" t="s">
        <v>1636</v>
      </c>
      <c r="B20" s="2250"/>
      <c r="C20" s="1622">
        <f>C8-C17</f>
        <v>186751</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61" t="s">
        <v>591</v>
      </c>
      <c r="B21" s="2262"/>
      <c r="C21" s="1602"/>
      <c r="D21" s="1603"/>
      <c r="E21" s="1603"/>
      <c r="F21" s="1603"/>
      <c r="G21" s="1603"/>
      <c r="H21" s="1603"/>
      <c r="I21" s="1603"/>
      <c r="J21" s="1603"/>
      <c r="K21" s="1615"/>
      <c r="L21" s="453"/>
    </row>
    <row r="22" spans="1:12" ht="15.75" customHeight="1" collapsed="1" x14ac:dyDescent="0.2">
      <c r="A22" s="2257" t="s">
        <v>592</v>
      </c>
      <c r="B22" s="2258"/>
      <c r="C22" s="1582"/>
      <c r="D22" s="1582"/>
      <c r="E22" s="1582"/>
      <c r="F22" s="1582"/>
      <c r="G22" s="1582"/>
      <c r="H22" s="1582"/>
      <c r="I22" s="1582"/>
      <c r="J22" s="1582"/>
      <c r="K22" s="1582"/>
      <c r="L22" s="325"/>
    </row>
    <row r="23" spans="1:12" s="433" customFormat="1" ht="15.75" customHeight="1" x14ac:dyDescent="0.2">
      <c r="A23" s="2253" t="s">
        <v>290</v>
      </c>
      <c r="B23" s="225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55" t="s">
        <v>974</v>
      </c>
      <c r="B32" s="225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63" t="s">
        <v>371</v>
      </c>
      <c r="B44" s="226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7" t="s">
        <v>108</v>
      </c>
      <c r="B45" s="2258"/>
      <c r="C45" s="1625"/>
      <c r="D45" s="1625"/>
      <c r="E45" s="1625"/>
      <c r="F45" s="1625"/>
      <c r="G45" s="1625"/>
      <c r="H45" s="1625"/>
      <c r="I45" s="1625"/>
      <c r="J45" s="1625"/>
      <c r="K45" s="1625"/>
      <c r="L45" s="325"/>
    </row>
    <row r="46" spans="1:12" s="433" customFormat="1" ht="15.75" customHeight="1" x14ac:dyDescent="0.2">
      <c r="A46" s="2265" t="s">
        <v>109</v>
      </c>
      <c r="B46" s="226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9" t="s">
        <v>437</v>
      </c>
      <c r="B76" s="224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41" t="s">
        <v>1167</v>
      </c>
      <c r="B77" s="224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45" t="s">
        <v>593</v>
      </c>
      <c r="B78" s="2246"/>
      <c r="C78" s="1629">
        <f t="shared" ref="C78:K78" si="9">C20+C77</f>
        <v>186751</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c r="D79" s="1630"/>
      <c r="E79" s="1630"/>
      <c r="F79" s="1630"/>
      <c r="G79" s="1630"/>
      <c r="H79" s="1630"/>
      <c r="I79" s="1630"/>
      <c r="J79" s="1630"/>
      <c r="K79" s="1630"/>
      <c r="L79" s="325"/>
    </row>
    <row r="80" spans="1:12" x14ac:dyDescent="0.2">
      <c r="A80" s="2251" t="s">
        <v>1772</v>
      </c>
      <c r="B80" s="2252"/>
      <c r="C80" s="1574"/>
      <c r="D80" s="1574"/>
      <c r="E80" s="1574"/>
      <c r="F80" s="1574"/>
      <c r="G80" s="1574"/>
      <c r="H80" s="1574"/>
      <c r="I80" s="1574"/>
      <c r="J80" s="1574"/>
      <c r="K80" s="1574"/>
      <c r="L80" s="325"/>
    </row>
    <row r="81" spans="1:12" ht="13.5" thickBot="1" x14ac:dyDescent="0.25">
      <c r="A81" s="2243" t="str">
        <f>"Fund Balances - June 30, "&amp;'AFR20'!E2</f>
        <v>Fund Balances - June 30, 2020</v>
      </c>
      <c r="B81" s="2244"/>
      <c r="C81" s="1594">
        <f>(SUM(C78:C80))</f>
        <v>186751</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186751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25" right="0.25" top="1.65" bottom="0.5" header="1" footer="0.2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pane="bottomLeft"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1779</v>
      </c>
      <c r="B1" s="416"/>
      <c r="C1" s="417" t="s">
        <v>422</v>
      </c>
      <c r="D1" s="417" t="s">
        <v>423</v>
      </c>
      <c r="E1" s="417" t="s">
        <v>424</v>
      </c>
      <c r="F1" s="417" t="s">
        <v>425</v>
      </c>
      <c r="G1" s="417" t="s">
        <v>426</v>
      </c>
      <c r="H1" s="417" t="s">
        <v>427</v>
      </c>
      <c r="I1" s="417" t="s">
        <v>428</v>
      </c>
      <c r="J1" s="417" t="s">
        <v>429</v>
      </c>
      <c r="K1" s="417" t="s">
        <v>751</v>
      </c>
    </row>
    <row r="2" spans="1:12" ht="36" x14ac:dyDescent="0.2">
      <c r="A2" s="224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1292085</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1292085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13002</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13002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1305087</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445000</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445000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7" t="s">
        <v>395</v>
      </c>
      <c r="B169" s="2268"/>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9" t="s">
        <v>1475</v>
      </c>
      <c r="B172" s="227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73" t="s">
        <v>1646</v>
      </c>
      <c r="B175" s="227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7" t="s">
        <v>1645</v>
      </c>
      <c r="B176" s="227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5" t="s">
        <v>780</v>
      </c>
      <c r="B181" s="227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1" t="s">
        <v>1780</v>
      </c>
      <c r="B182" s="227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71575</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71575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71575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1821662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25" right="0.25" top="1.35" bottom="0.5" header="1" footer="0.25"/>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30" workbookViewId="0">
      <pane ySplit="2" topLeftCell="A48" activePane="bottomLeft" state="frozen"/>
      <selection pane="bottomLeft" activeCell="C61" sqref="C6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5" t="s">
        <v>294</v>
      </c>
      <c r="B3" s="228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46825</v>
      </c>
      <c r="D8" s="1573">
        <v>12531</v>
      </c>
      <c r="E8" s="1573">
        <v>2138</v>
      </c>
      <c r="F8" s="1573">
        <v>2966</v>
      </c>
      <c r="G8" s="1573"/>
      <c r="H8" s="1573"/>
      <c r="I8" s="1574"/>
      <c r="J8" s="1574"/>
      <c r="K8" s="1672">
        <f t="shared" si="0"/>
        <v>64460</v>
      </c>
      <c r="L8" s="1573">
        <v>82358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57750</v>
      </c>
      <c r="D13" s="1573">
        <v>14395</v>
      </c>
      <c r="E13" s="1573">
        <v>1427</v>
      </c>
      <c r="F13" s="1573">
        <v>4878</v>
      </c>
      <c r="G13" s="1573"/>
      <c r="H13" s="1573"/>
      <c r="I13" s="1574"/>
      <c r="J13" s="1574"/>
      <c r="K13" s="1672">
        <f t="shared" si="0"/>
        <v>78450</v>
      </c>
      <c r="L13" s="1573">
        <v>97143</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104575</v>
      </c>
      <c r="D33" s="1674">
        <f t="shared" ref="D33:L33" si="1">SUM(D5:D32)</f>
        <v>26926</v>
      </c>
      <c r="E33" s="1674">
        <f t="shared" si="1"/>
        <v>3565</v>
      </c>
      <c r="F33" s="1674">
        <f t="shared" si="1"/>
        <v>7844</v>
      </c>
      <c r="G33" s="1674">
        <f t="shared" si="1"/>
        <v>0</v>
      </c>
      <c r="H33" s="1674">
        <f t="shared" si="1"/>
        <v>0</v>
      </c>
      <c r="I33" s="1674">
        <f t="shared" si="1"/>
        <v>0</v>
      </c>
      <c r="J33" s="1674">
        <f t="shared" si="1"/>
        <v>0</v>
      </c>
      <c r="K33" s="1674">
        <f t="shared" si="1"/>
        <v>142910</v>
      </c>
      <c r="L33" s="1674">
        <f t="shared" si="1"/>
        <v>179501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156512</v>
      </c>
      <c r="D36" s="1586">
        <v>36888</v>
      </c>
      <c r="E36" s="1586">
        <v>686</v>
      </c>
      <c r="F36" s="1586">
        <v>10378</v>
      </c>
      <c r="G36" s="1586"/>
      <c r="H36" s="1586"/>
      <c r="I36" s="1574"/>
      <c r="J36" s="1574"/>
      <c r="K36" s="1672">
        <f t="shared" ref="K36:K41" si="2">SUM(C36:J36)</f>
        <v>204464</v>
      </c>
      <c r="L36" s="1573">
        <v>238720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58180</v>
      </c>
      <c r="D38" s="1573">
        <v>9755</v>
      </c>
      <c r="E38" s="1573">
        <v>1988</v>
      </c>
      <c r="F38" s="1573">
        <v>1248</v>
      </c>
      <c r="G38" s="1573"/>
      <c r="H38" s="1573"/>
      <c r="I38" s="1574"/>
      <c r="J38" s="1574"/>
      <c r="K38" s="1672">
        <f t="shared" si="2"/>
        <v>71171</v>
      </c>
      <c r="L38" s="1573">
        <v>67292</v>
      </c>
    </row>
    <row r="39" spans="1:14" x14ac:dyDescent="0.2">
      <c r="A39" s="1274" t="s">
        <v>197</v>
      </c>
      <c r="B39" s="503">
        <v>2140</v>
      </c>
      <c r="C39" s="1573">
        <v>158531</v>
      </c>
      <c r="D39" s="1573">
        <v>31040</v>
      </c>
      <c r="E39" s="1573">
        <v>2031</v>
      </c>
      <c r="F39" s="1573">
        <v>11677</v>
      </c>
      <c r="G39" s="1573"/>
      <c r="H39" s="1573"/>
      <c r="I39" s="1574"/>
      <c r="J39" s="1574"/>
      <c r="K39" s="1672">
        <f t="shared" si="2"/>
        <v>203279</v>
      </c>
      <c r="L39" s="1573">
        <v>247108</v>
      </c>
    </row>
    <row r="40" spans="1:14" x14ac:dyDescent="0.2">
      <c r="A40" s="1274" t="s">
        <v>198</v>
      </c>
      <c r="B40" s="503">
        <v>2150</v>
      </c>
      <c r="C40" s="1573">
        <v>303631</v>
      </c>
      <c r="D40" s="1573">
        <v>87468</v>
      </c>
      <c r="E40" s="1573">
        <v>1101</v>
      </c>
      <c r="F40" s="1573">
        <v>7337</v>
      </c>
      <c r="G40" s="1573"/>
      <c r="H40" s="1573"/>
      <c r="I40" s="1574"/>
      <c r="J40" s="1574"/>
      <c r="K40" s="1672">
        <f t="shared" si="2"/>
        <v>399537</v>
      </c>
      <c r="L40" s="1573">
        <v>481701</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676854</v>
      </c>
      <c r="D42" s="1674">
        <f t="shared" ref="D42:L42" si="3">SUM(D36:D41)</f>
        <v>165151</v>
      </c>
      <c r="E42" s="1674">
        <f t="shared" si="3"/>
        <v>5806</v>
      </c>
      <c r="F42" s="1674">
        <f t="shared" si="3"/>
        <v>30640</v>
      </c>
      <c r="G42" s="1674">
        <f t="shared" si="3"/>
        <v>0</v>
      </c>
      <c r="H42" s="1674">
        <f t="shared" si="3"/>
        <v>0</v>
      </c>
      <c r="I42" s="1674">
        <f t="shared" si="3"/>
        <v>0</v>
      </c>
      <c r="J42" s="1674">
        <f t="shared" si="3"/>
        <v>0</v>
      </c>
      <c r="K42" s="1674">
        <f t="shared" si="3"/>
        <v>878451</v>
      </c>
      <c r="L42" s="1674">
        <f t="shared" si="3"/>
        <v>1034821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13974</v>
      </c>
      <c r="F44" s="1586">
        <v>4498</v>
      </c>
      <c r="G44" s="1586"/>
      <c r="H44" s="1586">
        <v>1666</v>
      </c>
      <c r="I44" s="1574"/>
      <c r="J44" s="1574"/>
      <c r="K44" s="1678">
        <f>SUM(C44:J44)</f>
        <v>20138</v>
      </c>
      <c r="L44" s="1586">
        <v>29000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13974</v>
      </c>
      <c r="F47" s="1674">
        <f t="shared" si="4"/>
        <v>4498</v>
      </c>
      <c r="G47" s="1674">
        <f t="shared" si="4"/>
        <v>0</v>
      </c>
      <c r="H47" s="1674">
        <f t="shared" si="4"/>
        <v>1666</v>
      </c>
      <c r="I47" s="1674">
        <f t="shared" si="4"/>
        <v>0</v>
      </c>
      <c r="J47" s="1674">
        <f t="shared" si="4"/>
        <v>0</v>
      </c>
      <c r="K47" s="1674">
        <f t="shared" si="4"/>
        <v>20138</v>
      </c>
      <c r="L47" s="1674">
        <f>SUM(L44:L46)</f>
        <v>29000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105025</v>
      </c>
      <c r="D50" s="1573">
        <v>21586</v>
      </c>
      <c r="E50" s="1573">
        <v>5089</v>
      </c>
      <c r="F50" s="1573">
        <v>1912</v>
      </c>
      <c r="G50" s="1573"/>
      <c r="H50" s="1573"/>
      <c r="I50" s="1574"/>
      <c r="J50" s="1574"/>
      <c r="K50" s="1678">
        <f>SUM(C50:J50)</f>
        <v>133612</v>
      </c>
      <c r="L50" s="1573">
        <v>173865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105025</v>
      </c>
      <c r="D53" s="1674">
        <f t="shared" ref="D53:L53" si="5">SUM(D49:D52)</f>
        <v>21586</v>
      </c>
      <c r="E53" s="1674">
        <f t="shared" si="5"/>
        <v>5089</v>
      </c>
      <c r="F53" s="1674">
        <f t="shared" si="5"/>
        <v>1912</v>
      </c>
      <c r="G53" s="1674">
        <f t="shared" si="5"/>
        <v>0</v>
      </c>
      <c r="H53" s="1674">
        <f t="shared" si="5"/>
        <v>0</v>
      </c>
      <c r="I53" s="1674">
        <f t="shared" si="5"/>
        <v>0</v>
      </c>
      <c r="J53" s="1674">
        <f t="shared" si="5"/>
        <v>0</v>
      </c>
      <c r="K53" s="1674">
        <f t="shared" si="5"/>
        <v>133612</v>
      </c>
      <c r="L53" s="1674">
        <f t="shared" si="5"/>
        <v>173865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1048</v>
      </c>
      <c r="F60" s="1573"/>
      <c r="G60" s="1573"/>
      <c r="H60" s="1573"/>
      <c r="I60" s="1574"/>
      <c r="J60" s="1574"/>
      <c r="K60" s="1678">
        <f t="shared" si="7"/>
        <v>1048</v>
      </c>
      <c r="L60" s="1573">
        <v>3200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v>500</v>
      </c>
    </row>
    <row r="65" spans="1:14" s="321" customFormat="1" ht="12.75" customHeight="1" thickBot="1" x14ac:dyDescent="0.25">
      <c r="A65" s="1380" t="s">
        <v>714</v>
      </c>
      <c r="B65" s="1381" t="s">
        <v>35</v>
      </c>
      <c r="C65" s="1674">
        <f>SUM(C59:C64)</f>
        <v>0</v>
      </c>
      <c r="D65" s="1674">
        <f t="shared" ref="D65:L65" si="8">SUM(D59:D64)</f>
        <v>0</v>
      </c>
      <c r="E65" s="1674">
        <f t="shared" si="8"/>
        <v>1048</v>
      </c>
      <c r="F65" s="1674">
        <f t="shared" si="8"/>
        <v>0</v>
      </c>
      <c r="G65" s="1674">
        <f t="shared" si="8"/>
        <v>0</v>
      </c>
      <c r="H65" s="1674">
        <f t="shared" si="8"/>
        <v>0</v>
      </c>
      <c r="I65" s="1674">
        <f t="shared" si="8"/>
        <v>0</v>
      </c>
      <c r="J65" s="1674">
        <f t="shared" si="8"/>
        <v>0</v>
      </c>
      <c r="K65" s="1674">
        <f t="shared" si="8"/>
        <v>1048</v>
      </c>
      <c r="L65" s="1674">
        <f t="shared" si="8"/>
        <v>3700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13752</v>
      </c>
      <c r="F71" s="1573"/>
      <c r="G71" s="1573"/>
      <c r="H71" s="1573"/>
      <c r="I71" s="1574"/>
      <c r="J71" s="1574"/>
      <c r="K71" s="1678">
        <f>SUM(C71:J71)</f>
        <v>13752</v>
      </c>
      <c r="L71" s="1573">
        <v>13050</v>
      </c>
      <c r="M71" s="501"/>
      <c r="N71" s="501"/>
    </row>
    <row r="72" spans="1:14" s="321" customFormat="1" ht="12.75" customHeight="1" thickBot="1" x14ac:dyDescent="0.25">
      <c r="A72" s="1380" t="s">
        <v>37</v>
      </c>
      <c r="B72" s="1383" t="s">
        <v>36</v>
      </c>
      <c r="C72" s="1674">
        <f>SUM(C67:C71)</f>
        <v>0</v>
      </c>
      <c r="D72" s="1674">
        <f t="shared" ref="D72:K72" si="9">SUM(D67:D71)</f>
        <v>0</v>
      </c>
      <c r="E72" s="1674">
        <f t="shared" si="9"/>
        <v>13752</v>
      </c>
      <c r="F72" s="1674">
        <f t="shared" si="9"/>
        <v>0</v>
      </c>
      <c r="G72" s="1674">
        <f t="shared" si="9"/>
        <v>0</v>
      </c>
      <c r="H72" s="1674">
        <f t="shared" si="9"/>
        <v>0</v>
      </c>
      <c r="I72" s="1674">
        <f t="shared" si="9"/>
        <v>0</v>
      </c>
      <c r="J72" s="1674">
        <f t="shared" si="9"/>
        <v>0</v>
      </c>
      <c r="K72" s="1674">
        <f t="shared" si="9"/>
        <v>13752</v>
      </c>
      <c r="L72" s="1674">
        <f>SUM(L67:L71)</f>
        <v>13050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781879</v>
      </c>
      <c r="D74" s="1681">
        <f t="shared" ref="D74:K74" si="10">SUM(D42,D47,D53,D57,D65,D72,D73)</f>
        <v>186737</v>
      </c>
      <c r="E74" s="1681">
        <f t="shared" si="10"/>
        <v>39669</v>
      </c>
      <c r="F74" s="1681">
        <f t="shared" si="10"/>
        <v>37050</v>
      </c>
      <c r="G74" s="1681">
        <f t="shared" si="10"/>
        <v>0</v>
      </c>
      <c r="H74" s="1681">
        <f t="shared" si="10"/>
        <v>1666</v>
      </c>
      <c r="I74" s="1681">
        <f t="shared" si="10"/>
        <v>0</v>
      </c>
      <c r="J74" s="1681">
        <f t="shared" si="10"/>
        <v>0</v>
      </c>
      <c r="K74" s="1681">
        <f t="shared" si="10"/>
        <v>1047001</v>
      </c>
      <c r="L74" s="1681">
        <f>SUM(L42,L47,L53,L57,L65,L72,L73)</f>
        <v>1254436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445000</v>
      </c>
      <c r="I78" s="1582"/>
      <c r="J78" s="1582"/>
      <c r="K78" s="1672">
        <f t="shared" ref="K78:K83" si="11">SUM(C78:J78)</f>
        <v>445000</v>
      </c>
      <c r="L78" s="1586">
        <v>445000</v>
      </c>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445000</v>
      </c>
      <c r="I84" s="1582"/>
      <c r="J84" s="1582"/>
      <c r="K84" s="1674">
        <f>SUM(K78:K83)</f>
        <v>445000</v>
      </c>
      <c r="L84" s="1674">
        <f>SUM(L78:L83)</f>
        <v>445000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445000</v>
      </c>
      <c r="I102" s="1582"/>
      <c r="J102" s="1582"/>
      <c r="K102" s="1681">
        <f>SUM(K84,K92,K100,K101)</f>
        <v>445000</v>
      </c>
      <c r="L102" s="1681">
        <f>SUM(L84,L92,L100,L101)</f>
        <v>445000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886454</v>
      </c>
      <c r="D114" s="1674">
        <f t="shared" ref="D114:K114" si="13">SUM(D33,D74,D75,D102,D112,D113)</f>
        <v>213663</v>
      </c>
      <c r="E114" s="1674">
        <f t="shared" si="13"/>
        <v>43234</v>
      </c>
      <c r="F114" s="1674">
        <f t="shared" si="13"/>
        <v>44894</v>
      </c>
      <c r="G114" s="1674">
        <f t="shared" si="13"/>
        <v>0</v>
      </c>
      <c r="H114" s="1674">
        <f>SUM(H33,H74,H75,H102,H112,H113)</f>
        <v>446666</v>
      </c>
      <c r="I114" s="1674">
        <f t="shared" si="13"/>
        <v>0</v>
      </c>
      <c r="J114" s="1674">
        <f t="shared" si="13"/>
        <v>0</v>
      </c>
      <c r="K114" s="1674">
        <f t="shared" si="13"/>
        <v>1634911</v>
      </c>
      <c r="L114" s="1674">
        <f>SUM(L33,L74,L75,L102,L112,L113)</f>
        <v>1878937</v>
      </c>
    </row>
    <row r="115" spans="1:14" ht="13.5" thickTop="1" x14ac:dyDescent="0.2">
      <c r="A115" s="2304" t="s">
        <v>989</v>
      </c>
      <c r="B115" s="2305"/>
      <c r="C115" s="1675"/>
      <c r="D115" s="1675"/>
      <c r="E115" s="1675"/>
      <c r="F115" s="1675"/>
      <c r="G115" s="1675"/>
      <c r="H115" s="1675"/>
      <c r="I115" s="1675"/>
      <c r="J115" s="1675"/>
      <c r="K115" s="1689">
        <f>'Revenues 9-14'!C268-'Expenditures 15-22'!K114</f>
        <v>186751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2" t="s">
        <v>293</v>
      </c>
      <c r="B117" s="228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94" t="s">
        <v>616</v>
      </c>
      <c r="B151" s="2276"/>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97" t="s">
        <v>1168</v>
      </c>
      <c r="B152" s="2298"/>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2" t="s">
        <v>617</v>
      </c>
      <c r="B154" s="228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04" t="s">
        <v>989</v>
      </c>
      <c r="B175" s="230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304" t="s">
        <v>989</v>
      </c>
      <c r="B211" s="230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9" t="s">
        <v>959</v>
      </c>
      <c r="B213" s="230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5" t="s">
        <v>502</v>
      </c>
      <c r="B295" s="2296"/>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304" t="s">
        <v>989</v>
      </c>
      <c r="B296" s="230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7" t="s">
        <v>142</v>
      </c>
      <c r="B298" s="228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92" t="s">
        <v>275</v>
      </c>
      <c r="B312" s="229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8" t="s">
        <v>989</v>
      </c>
      <c r="B313" s="2289"/>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1" t="s">
        <v>148</v>
      </c>
      <c r="B315" s="230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3" t="s">
        <v>892</v>
      </c>
      <c r="B317" s="230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90" t="s">
        <v>989</v>
      </c>
      <c r="B343" s="229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0" t="s">
        <v>960</v>
      </c>
      <c r="B345" s="228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04" t="s">
        <v>989</v>
      </c>
      <c r="B368" s="230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5" right="0.5" top="1.35" bottom="0.67" header="1" footer="0.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6ce3111e-7420-4802-b50a-75d4e9a0b980"/>
    <ds:schemaRef ds:uri="http://www.w3.org/XML/1998/namespace"/>
    <ds:schemaRef ds:uri="http://purl.org/dc/dcmitype/"/>
    <ds:schemaRef ds:uri="http://schemas.microsoft.com/office/2006/documentManagement/types"/>
    <ds:schemaRef ds:uri="4d435f69-8686-490b-bd6d-b153bf22ab50"/>
    <ds:schemaRef ds:uri="d21dc803-237d-4c68-8692-8d731fd29118"/>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Rept &amp; Notes - PDF</vt:lpstr>
      <vt:lpstr>Activity Funds - Excel</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2020-09-18T14:47:44Z</cp:lastPrinted>
  <dcterms:created xsi:type="dcterms:W3CDTF">2003-10-29T19:06:34Z</dcterms:created>
  <dcterms:modified xsi:type="dcterms:W3CDTF">2020-09-24T15:10:19Z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