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B6595023-9CE6-4729-A590-7C1B8AA0966E}"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50" i="29" l="1"/>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H342" i="29" l="1"/>
  <c r="B7135" i="106"/>
  <c r="D7135" i="106" s="1"/>
  <c r="E58" i="184"/>
  <c r="N58" i="184" s="1"/>
  <c r="F34" i="34"/>
  <c r="B7826" i="106" s="1"/>
  <c r="D7826" i="106" s="1"/>
  <c r="H76" i="4"/>
  <c r="B3298" i="106" s="1"/>
  <c r="D3298" i="106" s="1"/>
  <c r="D31" i="108"/>
  <c r="E16" i="184"/>
  <c r="H16" i="184" s="1"/>
  <c r="F37" i="34"/>
  <c r="B7829" i="106" s="1"/>
  <c r="D7829" i="106" s="1"/>
  <c r="H12" i="184"/>
  <c r="B7180" i="106"/>
  <c r="D7180" i="106" s="1"/>
  <c r="E63" i="184"/>
  <c r="N63" i="184" s="1"/>
  <c r="F77" i="4"/>
  <c r="B3255" i="106" s="1"/>
  <c r="D3255" i="106" s="1"/>
  <c r="G33" i="108"/>
  <c r="E17" i="184"/>
  <c r="H17" i="184" s="1"/>
  <c r="B7171" i="106"/>
  <c r="D7171" i="106" s="1"/>
  <c r="E62" i="184"/>
  <c r="N62" i="184" s="1"/>
  <c r="B7198" i="106"/>
  <c r="D7198" i="106" s="1"/>
  <c r="E65" i="184"/>
  <c r="N65" i="184" s="1"/>
  <c r="B7189" i="106"/>
  <c r="D7189" i="106" s="1"/>
  <c r="E64" i="184"/>
  <c r="N64" i="184" s="1"/>
  <c r="B7162" i="106"/>
  <c r="D7162" i="106" s="1"/>
  <c r="E61" i="184"/>
  <c r="N61" i="184" s="1"/>
  <c r="B7126" i="106"/>
  <c r="D7126" i="106" s="1"/>
  <c r="E57" i="184"/>
  <c r="B7153" i="106"/>
  <c r="D7153" i="106" s="1"/>
  <c r="E60" i="184"/>
  <c r="N60" i="184" s="1"/>
  <c r="B7696" i="106"/>
  <c r="D7696" i="106" s="1"/>
  <c r="E66" i="184"/>
  <c r="N66" i="184" s="1"/>
  <c r="C342" i="29"/>
  <c r="B7216" i="106" s="1"/>
  <c r="D7216" i="106"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F41" i="108" l="1"/>
  <c r="G43" i="108" s="1"/>
  <c r="H19" i="184"/>
  <c r="L20" i="184" s="1"/>
  <c r="L16" i="11"/>
  <c r="B2061" i="106" s="1"/>
  <c r="D2061" i="106" s="1"/>
  <c r="D44" i="36"/>
  <c r="B7220" i="106"/>
  <c r="D7220" i="106" s="1"/>
  <c r="F75" i="34"/>
  <c r="B7886" i="106" s="1"/>
  <c r="D7886" i="106" s="1"/>
  <c r="H151" i="29"/>
  <c r="B1273" i="106" s="1"/>
  <c r="D1273" i="106" s="1"/>
  <c r="L114" i="29"/>
  <c r="N57" i="184"/>
  <c r="N68" i="184" s="1"/>
  <c r="E68" i="184"/>
  <c r="K365" i="29"/>
  <c r="B7243" i="106" s="1"/>
  <c r="D7243" i="106" s="1"/>
  <c r="E367" i="29"/>
  <c r="B3635" i="106"/>
  <c r="B5527" i="106"/>
  <c r="D5527" i="106"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K367" i="29" l="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K17" i="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<sst xmlns="http://schemas.openxmlformats.org/spreadsheetml/2006/main" count="5127" uniqueCount="2072">
  <si>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</si>
  <si>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</si>
  <si>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</si>
  <si>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</si>
  <si>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</si>
  <si>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</si>
  <si>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</si>
  <si>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</si>
  <si>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</si>
  <si>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</si>
  <si>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</si>
  <si>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</si>
  <si>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</si>
  <si>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</si>
  <si>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</si>
  <si>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</si>
  <si>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</si>
  <si>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</si>
  <si>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</si>
  <si>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</si>
  <si>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</si>
  <si>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</si>
  <si>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</si>
  <si>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</si>
  <si>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</si>
  <si>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</si>
  <si>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</si>
  <si>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</si>
  <si>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</si>
  <si>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</si>
  <si>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</si>
  <si>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</si>
  <si>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</si>
  <si>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</si>
  <si>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</si>
  <si>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</si>
  <si>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</si>
  <si>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</si>
  <si>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</si>
  <si>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</si>
  <si>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</si>
  <si>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</si>
  <si>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</si>
  <si>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</si>
  <si>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</si>
  <si>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</si>
  <si>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</si>
  <si>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</si>
  <si>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</si>
  <si>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</si>
  <si>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</si>
  <si>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</si>
  <si>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</si>
  <si>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</si>
  <si>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</si>
  <si>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</si>
  <si>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</si>
  <si>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</si>
  <si>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</si>
  <si>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</si>
  <si>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</si>
  <si>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</si>
  <si>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</si>
  <si>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</si>
  <si>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</si>
  <si>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</si>
  <si>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</si>
  <si>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</si>
  <si>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</si>
  <si>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</si>
  <si>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</si>
  <si>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</si>
  <si>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</si>
  <si>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</si>
  <si>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</si>
  <si>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</si>
  <si>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</si>
  <si>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</si>
  <si>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</si>
  <si>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</si>
  <si>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</si>
  <si>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</si>
  <si>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</si>
  <si>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</si>
  <si>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</si>
  <si>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</si>
  <si>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</si>
  <si>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</si>
  <si>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</si>
  <si>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</si>
  <si>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</si>
  <si>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</si>
  <si>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</si>
  <si>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</si>
  <si>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</si>
  <si>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</si>
  <si>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</si>
  <si>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</si>
  <si>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</si>
  <si>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</si>
  <si>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</si>
  <si>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</si>
  <si>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</si>
  <si>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</si>
  <si>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</si>
  <si>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</si>
  <si>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</si>
  <si>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</si>
  <si>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</si>
  <si>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</si>
  <si>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</si>
  <si>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</si>
  <si>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</si>
  <si>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</si>
  <si>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</si>
  <si>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</si>
  <si>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</si>
  <si>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</si>
  <si>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</si>
  <si>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</si>
  <si>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</si>
  <si>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</si>
  <si>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</si>
  <si>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</si>
  <si>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</si>
  <si>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</si>
  <si>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</si>
  <si>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</si>
  <si>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</si>
  <si>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</si>
  <si>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</si>
  <si>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</si>
  <si>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</si>
  <si>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</si>
  <si>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</si>
  <si>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</si>
  <si>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</si>
  <si>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</si>
  <si>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</si>
  <si>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</si>
  <si>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</si>
  <si>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</si>
  <si>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</si>
  <si>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</si>
  <si>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</si>
  <si>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</si>
  <si>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</si>
  <si>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</si>
  <si>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</si>
  <si>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</si>
  <si>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</si>
  <si>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</si>
  <si>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</si>
  <si>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</si>
  <si>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</si>
  <si>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</si>
  <si>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</si>
  <si>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</si>
  <si>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</si>
  <si>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</si>
  <si>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</si>
  <si>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</si>
  <si>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</si>
  <si>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</si>
  <si>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</si>
  <si>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</si>
  <si>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</si>
  <si>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</si>
  <si>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</si>
  <si>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</si>
  <si>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</si>
  <si>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</si>
  <si>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</si>
  <si>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</si>
  <si>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</si>
  <si>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</si>
  <si>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</si>
  <si>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</si>
  <si>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</si>
  <si>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</si>
  <si>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</si>
  <si>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</si>
  <si>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</si>
  <si>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</si>
  <si>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</si>
  <si>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</si>
  <si>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</si>
  <si>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</si>
  <si>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</si>
  <si>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</si>
  <si>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</si>
  <si>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</si>
  <si>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</si>
  <si>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</si>
  <si>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</si>
  <si>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</si>
  <si>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</si>
  <si>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</si>
  <si>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</si>
  <si>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</si>
  <si>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</si>
  <si>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</si>
  <si>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</si>
  <si>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</si>
  <si>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</si>
  <si>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</si>
  <si>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</si>
  <si>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</si>
  <si>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</si>
  <si>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</si>
  <si>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</si>
  <si>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</si>
  <si>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</si>
  <si>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</si>
  <si>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</si>
  <si>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</si>
  <si>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</si>
  <si>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</si>
  <si>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</si>
  <si>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</si>
  <si>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</si>
  <si>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</si>
  <si>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</si>
  <si>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</si>
  <si>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</si>
  <si>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</si>
  <si>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</si>
  <si>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</si>
  <si>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</si>
  <si>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</si>
  <si>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</si>
  <si>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</si>
  <si>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</si>
  <si>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</si>
  <si>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</si>
  <si>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</si>
  <si>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</si>
  <si>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</si>
  <si>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</si>
  <si>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</si>
  <si>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</si>
  <si>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</si>
  <si>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</si>
  <si>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</si>
  <si>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</si>
  <si>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</si>
  <si>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</si>
  <si>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</si>
  <si>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</si>
  <si>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</si>
  <si>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</si>
  <si>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</si>
  <si>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</si>
  <si>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</si>
  <si>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</si>
  <si>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</si>
  <si>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</si>
  <si>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</si>
  <si>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</si>
  <si>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</si>
  <si>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</si>
  <si>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</si>
  <si>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</si>
  <si>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</si>
  <si>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</si>
  <si>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</si>
  <si>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</si>
  <si>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</si>
  <si>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</si>
  <si>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</si>
  <si>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</si>
  <si>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</si>
  <si>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</si>
  <si>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</si>
  <si>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</si>
  <si>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</si>
  <si>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</si>
  <si>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</si>
  <si>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</si>
  <si>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</si>
  <si>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</si>
  <si>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</si>
  <si>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</si>
  <si>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</si>
  <si>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</si>
  <si>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</si>
  <si>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</si>
  <si>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</si>
  <si>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</si>
  <si>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</si>
  <si>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</si>
  <si>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</si>
  <si>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</si>
  <si>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</si>
  <si>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</si>
  <si>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</si>
  <si>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</si>
  <si>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</si>
  <si>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</si>
  <si>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</si>
  <si>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</si>
  <si>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</si>
  <si>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</si>
  <si>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</si>
  <si>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</si>
  <si>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</si>
  <si>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</si>
  <si>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</si>
  <si>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</si>
  <si>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</si>
  <si>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</si>
  <si>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</si>
  <si>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</si>
  <si>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</si>
  <si>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</si>
  <si>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</si>
  <si>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</si>
  <si>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</si>
  <si>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</si>
  <si>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</si>
  <si>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</si>
  <si>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</si>
  <si>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</si>
  <si>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</si>
  <si>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</si>
  <si>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</si>
  <si>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</si>
  <si>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</si>
  <si>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</si>
  <si>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</si>
  <si>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</si>
  <si>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</si>
  <si>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</si>
  <si>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</si>
  <si>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</si>
  <si>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</si>
  <si>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</si>
  <si>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</si>
  <si>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</si>
  <si>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</si>
  <si>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</si>
  <si>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</si>
  <si>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</si>
  <si>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</si>
  <si>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</si>
  <si>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</si>
  <si>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</si>
  <si>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</si>
  <si>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</si>
  <si>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</si>
  <si>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</si>
  <si>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</si>
  <si>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</si>
  <si>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</si>
  <si>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</si>
  <si>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</si>
  <si>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</si>
  <si>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</si>
  <si>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</si>
  <si>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</si>
  <si>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</si>
  <si>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</si>
  <si>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</si>
  <si>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</si>
  <si>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</si>
  <si>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</si>
  <si>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</si>
  <si>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</si>
  <si>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</si>
  <si>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</si>
  <si>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</si>
  <si>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</si>
  <si>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</si>
  <si>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</si>
  <si>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</si>
  <si>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</si>
  <si>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</si>
  <si>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</si>
  <si>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</si>
  <si>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</si>
  <si>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</si>
  <si>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</si>
  <si>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</si>
  <si>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</si>
  <si>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</si>
  <si>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</si>
  <si>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</si>
  <si>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</si>
  <si>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</si>
  <si>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</si>
  <si>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</si>
  <si>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</si>
  <si>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</si>
  <si>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</si>
  <si>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</si>
  <si>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</si>
  <si>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</si>
  <si>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</si>
  <si>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</si>
  <si>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</si>
  <si>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</si>
  <si>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</si>
  <si>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</si>
  <si>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</si>
  <si>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</si>
  <si>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</si>
  <si>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</si>
  <si>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</si>
  <si>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</si>
  <si>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</si>
  <si>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</si>
  <si>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</si>
  <si>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</si>
  <si>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</si>
  <si>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</si>
  <si>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</si>
  <si>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</si>
  <si>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</si>
  <si>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</si>
  <si>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</si>
  <si>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</si>
  <si>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</si>
  <si>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</si>
  <si>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</si>
  <si>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</si>
  <si>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</si>
  <si>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</si>
  <si>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</si>
  <si>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</si>
  <si>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</si>
  <si>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</si>
  <si>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</si>
  <si>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</si>
  <si>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</si>
  <si>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</si>
  <si>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</si>
  <si>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</si>
  <si>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</si>
  <si>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</si>
  <si>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</si>
  <si>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</si>
  <si>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</si>
  <si>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</si>
  <si>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</si>
  <si>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</si>
  <si>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</si>
  <si>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</si>
  <si>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</si>
  <si>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</si>
  <si>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</si>
  <si>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</si>
  <si>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</si>
  <si>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</si>
  <si>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</si>
  <si>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</si>
  <si>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</si>
  <si>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</si>
  <si>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</si>
  <si>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</si>
  <si>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</si>
  <si>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</si>
  <si>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</si>
  <si>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</si>
  <si>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</si>
  <si>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</si>
  <si>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</si>
  <si>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</si>
  <si>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</si>
  <si>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</si>
  <si>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</si>
  <si>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</si>
  <si>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</si>
  <si>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</si>
  <si>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</si>
  <si>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</si>
  <si>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</si>
  <si>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</si>
  <si>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</si>
  <si>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</si>
  <si>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</si>
  <si>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</si>
  <si>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</si>
  <si>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</si>
  <si>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</si>
  <si>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</si>
  <si>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</si>
  <si>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</si>
  <si>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</si>
  <si>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</si>
  <si>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</si>
  <si>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</si>
  <si>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</si>
  <si>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</si>
  <si>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</si>
  <si>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</si>
  <si>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</si>
  <si>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</si>
  <si>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</si>
  <si>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</si>
  <si>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</si>
  <si>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</si>
  <si>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</si>
  <si>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</si>
  <si>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</si>
  <si>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</si>
  <si>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</si>
  <si>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</si>
  <si>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</si>
  <si>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</si>
  <si>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</si>
  <si>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</si>
  <si>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</si>
  <si>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</si>
  <si>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</si>
  <si>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</si>
  <si>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</si>
  <si>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</si>
  <si>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</si>
  <si>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</si>
  <si>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</si>
  <si>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</si>
  <si>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</si>
  <si>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</si>
  <si>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</si>
  <si>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</si>
  <si>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</si>
  <si>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</si>
  <si>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</si>
  <si>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</si>
  <si>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</si>
  <si>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</si>
  <si>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</si>
  <si>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</si>
  <si>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</si>
  <si>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</si>
  <si>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</si>
  <si>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</si>
  <si>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</si>
  <si>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</si>
  <si>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</si>
  <si>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</si>
  <si>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</si>
  <si>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</si>
  <si>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</si>
  <si>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</si>
  <si>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</si>
  <si>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</si>
  <si>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</si>
  <si>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</si>
  <si>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</si>
  <si>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</si>
  <si>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</si>
  <si>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</si>
  <si>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</si>
  <si>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</si>
  <si>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</si>
  <si>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</si>
  <si>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</si>
  <si>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</si>
  <si>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</si>
  <si>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</si>
  <si>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</si>
  <si>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</si>
  <si>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</si>
  <si>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</si>
  <si>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</si>
  <si>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</si>
  <si>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</si>
  <si>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</si>
  <si>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</si>
  <si>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</si>
  <si>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</si>
  <si>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</si>
  <si>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</si>
  <si>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</si>
  <si>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</si>
  <si>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</si>
  <si>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</si>
  <si>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</si>
  <si>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</si>
  <si>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</si>
  <si>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</si>
  <si>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</si>
  <si>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</si>
  <si>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</si>
  <si>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</si>
  <si>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</si>
  <si>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</si>
  <si>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</si>
  <si>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</si>
  <si>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</si>
  <si>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</si>
  <si>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</si>
  <si>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</si>
  <si>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</si>
  <si>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</si>
  <si>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</si>
  <si>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</si>
  <si>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</si>
  <si>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</si>
  <si>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</si>
  <si>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</si>
  <si>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</si>
  <si>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</si>
  <si>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</si>
  <si>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</si>
  <si>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</si>
  <si>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</si>
  <si>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</si>
  <si>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</si>
  <si>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</si>
  <si>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</si>
  <si>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</si>
  <si>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</si>
  <si>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</si>
  <si>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</si>
  <si>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</si>
  <si>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</si>
  <si>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</si>
  <si>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</si>
  <si>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</si>
  <si>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</si>
  <si>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</si>
  <si>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</si>
  <si>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</si>
  <si>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</si>
  <si>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</si>
  <si>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</si>
  <si>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</si>
  <si>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</si>
  <si>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</si>
  <si>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</si>
  <si>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</si>
  <si>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</si>
  <si>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</si>
  <si>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</si>
  <si>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</si>
  <si>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</si>
  <si>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</si>
  <si>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</si>
  <si>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</si>
  <si>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</si>
  <si>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</si>
  <si>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</si>
  <si>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</si>
  <si>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</si>
  <si>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</si>
  <si>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</si>
  <si>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</si>
  <si>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</si>
  <si>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</si>
  <si>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</si>
  <si>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</si>
  <si>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</si>
  <si>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</si>
  <si>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</si>
  <si>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</si>
  <si>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</si>
  <si>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</si>
  <si>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</si>
  <si>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</si>
  <si>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</si>
  <si>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</si>
  <si>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</si>
  <si>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</si>
  <si>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</si>
  <si>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</si>
  <si>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</si>
  <si>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</si>
  <si>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</si>
  <si>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</si>
  <si>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</si>
  <si>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</si>
  <si>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</si>
  <si>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</si>
  <si>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</si>
  <si>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</si>
  <si>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</si>
  <si>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</si>
  <si>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</si>
  <si>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</si>
  <si>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</si>
  <si>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</si>
  <si>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</si>
  <si>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</si>
  <si>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</si>
  <si>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</si>
  <si>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</si>
  <si>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</si>
  <si>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</si>
  <si>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</si>
  <si>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</si>
  <si>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</si>
  <si>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</si>
  <si>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</si>
  <si>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</si>
  <si>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</si>
  <si>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</si>
  <si>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</si>
  <si>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</si>
  <si>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</si>
  <si>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</si>
  <si>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</si>
  <si>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</si>
  <si>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</si>
  <si>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</si>
  <si>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</si>
  <si>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</si>
  <si>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</si>
  <si>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</si>
  <si>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</si>
  <si>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</si>
  <si>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</si>
  <si>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</si>
  <si>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</si>
  <si>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</si>
  <si>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</si>
  <si>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</si>
  <si>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</si>
  <si>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</si>
  <si>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</si>
  <si>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</si>
  <si>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</si>
  <si>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</si>
  <si>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</si>
  <si>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</si>
  <si>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</si>
  <si>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</si>
  <si>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</si>
  <si>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</si>
  <si>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</si>
  <si>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</si>
  <si>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</si>
  <si>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</si>
  <si>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</si>
  <si>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</si>
  <si>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</si>
  <si>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</si>
  <si>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</si>
  <si>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</si>
  <si>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</si>
  <si>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</si>
  <si>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</si>
  <si>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</si>
  <si>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</si>
  <si>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</si>
  <si>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</si>
  <si>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</si>
  <si>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</si>
  <si>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</si>
  <si>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</si>
  <si>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</si>
  <si>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</si>
  <si>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</si>
  <si>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</si>
  <si>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</si>
  <si>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</si>
  <si>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</si>
  <si>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</si>
  <si>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</si>
  <si>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</si>
  <si>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</si>
  <si>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</si>
  <si>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</si>
  <si>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</si>
  <si>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</si>
  <si>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</si>
  <si>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</si>
  <si>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</si>
  <si>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</si>
  <si>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</si>
  <si>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</si>
  <si>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</si>
  <si>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</si>
  <si>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</si>
  <si>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</si>
  <si>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</si>
  <si>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</si>
  <si>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</si>
  <si>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</si>
  <si>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</si>
  <si>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</si>
  <si>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</si>
  <si>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</si>
  <si>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</si>
  <si>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</si>
  <si>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</si>
  <si>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</si>
  <si>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</si>
  <si>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</si>
  <si>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</si>
  <si>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</si>
  <si>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</si>
  <si>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</si>
  <si>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</si>
  <si>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</si>
  <si>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</si>
  <si>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</si>
  <si>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</si>
  <si>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</si>
  <si>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</si>
  <si>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</si>
  <si>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</si>
  <si>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</si>
  <si>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</si>
  <si>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</si>
  <si>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</si>
  <si>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</si>
  <si>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</si>
  <si>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</si>
  <si>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</si>
  <si>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</si>
  <si>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</si>
  <si>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</si>
  <si>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</si>
  <si>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</si>
  <si>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</si>
  <si>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</si>
  <si>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</si>
  <si>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</si>
  <si>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</si>
  <si>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</si>
  <si>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</si>
  <si>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</si>
  <si>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</si>
  <si>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</si>
  <si>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</si>
  <si>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</si>
  <si>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</si>
  <si>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</si>
  <si>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</si>
  <si>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</si>
  <si>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</si>
  <si>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</si>
  <si>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</si>
  <si>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</si>
  <si>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</si>
  <si>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</si>
  <si>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</si>
  <si>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</si>
  <si>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</si>
  <si>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</si>
  <si>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</si>
  <si>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</si>
  <si>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</si>
  <si>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</si>
  <si>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</si>
  <si>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</si>
  <si>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</si>
  <si>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</si>
  <si>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</si>
  <si>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</si>
  <si>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</si>
  <si>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</si>
  <si>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</si>
  <si>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</si>
  <si>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</si>
  <si>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</si>
  <si>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</si>
  <si>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</si>
  <si>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</si>
  <si>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</si>
  <si>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</si>
  <si>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</si>
  <si>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</si>
  <si>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</si>
  <si>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</si>
  <si>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</si>
  <si>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</si>
  <si>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</si>
  <si>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</si>
  <si>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</si>
  <si>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</si>
  <si>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</si>
  <si>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</si>
  <si>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</si>
  <si>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</si>
  <si>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</si>
  <si>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</si>
  <si>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</si>
  <si>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</si>
  <si>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</si>
  <si>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</si>
  <si>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</si>
  <si>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</si>
  <si>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</si>
  <si>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</si>
  <si>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</si>
  <si>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</si>
  <si>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</si>
  <si>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</si>
  <si>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</si>
  <si>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</si>
  <si>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</si>
  <si>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</si>
  <si>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</si>
  <si>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</si>
  <si>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</si>
  <si>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</si>
  <si>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</si>
  <si>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</si>
  <si>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</si>
  <si>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</si>
  <si>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</si>
  <si>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</si>
  <si>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</si>
  <si>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</si>
  <si>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</si>
  <si>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</si>
  <si>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</si>
  <si>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</si>
  <si>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</si>
  <si>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</si>
  <si>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</si>
  <si>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</si>
  <si>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</si>
  <si>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</si>
  <si>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</si>
  <si>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</si>
  <si>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</si>
  <si>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</si>
  <si>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</si>
  <si>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</si>
  <si>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</si>
  <si>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</si>
  <si>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</si>
  <si>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</si>
  <si>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</si>
  <si>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</si>
  <si>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</si>
  <si>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</si>
  <si>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</si>
  <si>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</si>
  <si>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</si>
  <si>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</si>
  <si>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</si>
  <si>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</si>
  <si>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</si>
  <si>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</si>
  <si>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</si>
  <si>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</si>
  <si>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</si>
  <si>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</si>
  <si>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</si>
  <si>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</si>
  <si>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</si>
  <si>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</si>
  <si>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</si>
  <si>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</si>
  <si>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</si>
  <si>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</si>
  <si>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</si>
  <si>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</si>
  <si>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</si>
  <si>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</si>
  <si>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</si>
  <si>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</si>
  <si>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</si>
  <si>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</si>
  <si>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</si>
  <si>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</si>
  <si>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</si>
  <si>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</si>
  <si>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</si>
  <si>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</si>
  <si>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</si>
  <si>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</si>
  <si>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</si>
  <si>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</si>
  <si>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</si>
  <si>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</si>
  <si>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</si>
  <si>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</si>
  <si>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</si>
  <si>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</si>
  <si>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</si>
  <si>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</si>
  <si>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</si>
  <si>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</si>
  <si>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</si>
  <si>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</si>
  <si>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</si>
  <si>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</si>
  <si>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</si>
  <si>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</si>
  <si>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</si>
  <si>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</si>
  <si>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</si>
  <si>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</si>
  <si>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</si>
  <si>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</si>
  <si>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</si>
  <si>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</si>
  <si>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</si>
  <si>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</si>
  <si>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</si>
  <si>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</si>
  <si>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</si>
  <si>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</si>
  <si>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</si>
  <si>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</si>
  <si>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</si>
  <si>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</si>
  <si>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</si>
  <si>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</si>
  <si>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</si>
  <si>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</si>
  <si>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</si>
  <si>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</si>
  <si>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</si>
  <si>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</si>
  <si>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</si>
  <si>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</si>
  <si>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</si>
  <si>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</si>
  <si>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</si>
  <si>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</si>
  <si>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</si>
  <si>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</si>
  <si>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</si>
  <si>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</si>
  <si>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</si>
  <si>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</si>
  <si>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</si>
  <si>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</si>
  <si>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</si>
  <si>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</si>
  <si>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</si>
  <si>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</si>
  <si>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</si>
  <si>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</si>
  <si>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</si>
  <si>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</si>
  <si>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</si>
  <si>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</si>
  <si>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</si>
  <si>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</si>
  <si>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</si>
  <si>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</si>
  <si>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</si>
  <si>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</si>
  <si>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</si>
  <si>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</si>
  <si>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</si>
  <si>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</si>
  <si>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</si>
  <si>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</si>
  <si>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</si>
  <si>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</si>
  <si>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</si>
  <si>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</si>
  <si>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</si>
  <si>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</si>
  <si>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</si>
  <si>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</si>
  <si>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</si>
  <si>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</si>
  <si>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</si>
  <si>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</si>
  <si>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</si>
  <si>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</si>
  <si>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</si>
  <si>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</si>
  <si>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</si>
  <si>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</si>
  <si>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</si>
  <si>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</si>
  <si>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</si>
  <si>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</si>
  <si>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</si>
  <si>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</si>
  <si>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</si>
  <si>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</si>
  <si>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</si>
  <si>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</si>
  <si>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</si>
  <si>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</si>
  <si>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</si>
  <si>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</si>
  <si>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</si>
  <si>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</si>
  <si>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</si>
  <si>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</si>
  <si>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</si>
  <si>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</si>
  <si>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</si>
  <si>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</si>
  <si>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</si>
  <si>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</si>
  <si>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</si>
  <si>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</si>
  <si>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</si>
  <si>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</si>
  <si>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</si>
  <si>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</si>
  <si>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</si>
  <si>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</si>
  <si>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</si>
  <si>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</si>
  <si>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</si>
  <si>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</si>
  <si>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</si>
  <si>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</si>
  <si>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</si>
  <si>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</si>
  <si>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</si>
  <si>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</si>
  <si>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</si>
  <si>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</si>
  <si>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</si>
  <si>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</si>
  <si>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</si>
  <si>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</si>
  <si>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</si>
  <si>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</si>
  <si>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</si>
  <si>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</si>
  <si>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</si>
  <si>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</si>
  <si>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</si>
  <si>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</si>
  <si>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</si>
  <si>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</si>
  <si>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</si>
  <si>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</si>
  <si>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</si>
  <si>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</si>
  <si>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</si>
  <si>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</si>
  <si>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</si>
  <si>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</si>
  <si>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</si>
  <si>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</si>
  <si>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</si>
  <si>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</si>
  <si>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</si>
  <si>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</si>
  <si>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</si>
  <si>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</si>
  <si>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</si>
  <si>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</si>
  <si>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</si>
  <si>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</si>
  <si>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</si>
  <si>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</si>
  <si>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</si>
  <si>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</si>
  <si>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</si>
  <si>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</si>
  <si>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</si>
  <si>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</si>
  <si>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</si>
  <si>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</si>
  <si>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</si>
  <si>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</si>
  <si>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</si>
  <si>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</si>
  <si>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</si>
  <si>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</si>
  <si>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</si>
  <si>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</si>
  <si>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</si>
  <si>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</si>
  <si>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</si>
  <si>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</si>
  <si>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</si>
  <si>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</si>
  <si>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</si>
  <si>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</si>
  <si>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</si>
  <si>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</si>
  <si>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</si>
  <si>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</si>
  <si>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</si>
  <si>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</si>
  <si>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</si>
  <si>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</si>
  <si>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</si>
  <si>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</si>
  <si>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</si>
  <si>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</si>
  <si>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</si>
  <si>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</si>
  <si>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</si>
  <si>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</si>
  <si>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</si>
  <si>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</si>
  <si>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</si>
  <si>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</si>
  <si>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</si>
  <si>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</si>
  <si>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</si>
  <si>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</si>
  <si>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</si>
  <si>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</si>
  <si>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</si>
  <si>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</si>
  <si>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</si>
  <si>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</si>
  <si>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</si>
  <si>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</si>
  <si>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</si>
  <si>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</si>
  <si>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</si>
  <si>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</si>
  <si>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</si>
  <si>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</si>
  <si>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</si>
  <si>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</si>
  <si>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</si>
  <si>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</si>
  <si>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</si>
  <si>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</si>
  <si>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</si>
  <si>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</si>
  <si>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</si>
  <si>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</si>
  <si>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</si>
  <si>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</si>
  <si>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</si>
  <si>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</si>
  <si>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</si>
  <si>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</si>
  <si>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</si>
  <si>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</si>
  <si>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</si>
  <si>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</si>
  <si>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</si>
  <si>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</si>
  <si>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</si>
  <si>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</si>
  <si>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</si>
  <si>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</si>
  <si>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</si>
  <si>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</si>
  <si>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</si>
  <si>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</si>
  <si>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</si>
  <si>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</si>
  <si>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</si>
  <si>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</si>
  <si>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</si>
  <si>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</si>
  <si>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</si>
  <si>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</si>
  <si>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</si>
  <si>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</si>
  <si>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</si>
  <si>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</si>
  <si>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</si>
  <si>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</si>
  <si>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</si>
  <si>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</si>
  <si>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</si>
  <si>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</si>
  <si>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</si>
  <si>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</si>
  <si>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</si>
  <si>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</si>
  <si>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</si>
  <si>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</si>
  <si>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</si>
  <si>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</si>
  <si>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</si>
  <si>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</si>
  <si>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</si>
  <si>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</si>
  <si>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</si>
  <si>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</si>
  <si>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</si>
  <si>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</si>
  <si>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</si>
  <si>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</si>
  <si>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</si>
  <si>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</si>
  <si>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</si>
  <si>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</si>
  <si>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</si>
  <si>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</si>
  <si>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</si>
  <si>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</si>
  <si>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</si>
  <si>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</si>
  <si>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</si>
  <si>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</si>
  <si>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</si>
  <si>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</si>
  <si>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</si>
  <si>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</si>
  <si>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</si>
  <si>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</si>
  <si>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</si>
  <si>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</si>
  <si>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</si>
  <si>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</si>
  <si>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</si>
  <si>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</si>
  <si>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</si>
  <si>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</si>
  <si>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</si>
  <si>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</si>
  <si>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</si>
  <si>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</si>
  <si>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</si>
  <si>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</si>
  <si>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</si>
  <si>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</si>
  <si>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</si>
  <si>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</si>
  <si>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</si>
  <si>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</si>
  <si>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</si>
  <si>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</si>
  <si>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</si>
  <si>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</si>
  <si>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</si>
  <si>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</si>
  <si>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</si>
  <si>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</si>
  <si>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</si>
  <si>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</si>
  <si>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</si>
  <si>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</si>
  <si>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</si>
  <si>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</si>
  <si>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</si>
  <si>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</si>
  <si>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</si>
  <si>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</si>
  <si>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</si>
  <si>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</si>
  <si>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</si>
  <si>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</si>
  <si>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</si>
  <si>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</si>
  <si>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</si>
  <si>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</si>
  <si>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</si>
  <si>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</si>
  <si>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</si>
  <si>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</si>
  <si>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</si>
  <si>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</si>
  <si>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</si>
  <si>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</si>
  <si>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</si>
  <si>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</si>
  <si>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</si>
  <si>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</si>
  <si>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</si>
  <si>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</si>
  <si>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</si>
  <si>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</si>
  <si>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</si>
  <si>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</si>
  <si>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</si>
  <si>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</si>
  <si>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</si>
  <si>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</si>
  <si>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</si>
  <si>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</si>
  <si>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</si>
  <si>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</si>
  <si>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</si>
  <si>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</si>
  <si>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</si>
  <si>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</si>
  <si>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</si>
  <si>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</si>
  <si>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</si>
  <si>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</si>
  <si>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</si>
  <si>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</si>
  <si>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</si>
  <si>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</si>
  <si>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</si>
  <si>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</si>
  <si>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</si>
  <si>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</si>
  <si>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</si>
  <si>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</si>
  <si>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</si>
  <si>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</si>
  <si>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</si>
  <si>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</si>
  <si>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</si>
  <si>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</si>
  <si>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</si>
  <si>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</si>
  <si>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</si>
  <si>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</si>
  <si>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</si>
  <si>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</si>
  <si>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</si>
  <si>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</si>
  <si>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</si>
  <si>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</si>
  <si>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</si>
  <si>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</si>
  <si>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</si>
  <si>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</si>
  <si>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</si>
  <si>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</si>
  <si>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</si>
  <si>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</si>
  <si>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</si>
  <si>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</si>
  <si>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</si>
  <si>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</si>
  <si>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</si>
  <si>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</si>
  <si>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</si>
  <si>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</si>
  <si>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</si>
  <si>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</si>
  <si>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</si>
  <si>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</si>
  <si>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</si>
  <si>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</si>
  <si>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</si>
  <si>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</si>
  <si>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</si>
  <si>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</si>
  <si>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</si>
  <si>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</si>
  <si>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</si>
  <si>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</si>
  <si>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</si>
  <si>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</si>
  <si>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</si>
  <si>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</si>
  <si>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</si>
  <si>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</si>
  <si>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</si>
  <si>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</si>
  <si>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</si>
  <si>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</si>
  <si>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</si>
  <si>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</si>
  <si>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</si>
  <si>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</si>
  <si>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</si>
  <si>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</si>
  <si>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</si>
  <si>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</si>
  <si>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</si>
  <si>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</si>
  <si>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</si>
  <si>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</si>
  <si>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</si>
  <si>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</si>
  <si>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</si>
  <si>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</si>
  <si>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</si>
  <si>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</si>
  <si>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</si>
  <si>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</si>
  <si>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</si>
  <si>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</si>
  <si>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</si>
  <si>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</si>
  <si>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</si>
  <si>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</si>
  <si>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</si>
  <si>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</si>
  <si>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</si>
  <si>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</si>
  <si>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</si>
  <si>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</si>
  <si>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</si>
  <si>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</si>
  <si>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</si>
  <si>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</si>
  <si>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</si>
  <si>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</si>
  <si>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</si>
  <si>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</si>
  <si>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</si>
  <si>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</si>
  <si>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</si>
  <si>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</si>
  <si>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</si>
  <si>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</si>
  <si>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</si>
  <si>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</si>
  <si>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</si>
  <si>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</si>
  <si>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</si>
  <si>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</si>
  <si>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</si>
  <si>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</si>
  <si>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</si>
  <si>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</si>
  <si>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</si>
  <si>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</si>
  <si>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</si>
  <si>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</si>
  <si>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</si>
  <si>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</si>
  <si>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</si>
  <si>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</si>
  <si>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</si>
  <si>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</si>
  <si>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</si>
  <si>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</si>
  <si>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</si>
  <si>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</si>
  <si>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</si>
  <si>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</si>
  <si>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</si>
  <si>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</si>
  <si>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</si>
  <si>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</si>
  <si>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</si>
  <si>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</si>
  <si>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</si>
  <si>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</si>
  <si>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</si>
  <si>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</si>
  <si>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</si>
  <si>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</si>
  <si>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</si>
  <si>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</si>
  <si>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</si>
  <si>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</si>
  <si>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</si>
  <si>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</si>
  <si>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</si>
  <si>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</si>
  <si>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</si>
  <si>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</si>
  <si>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</si>
  <si>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</si>
  <si>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</si>
  <si>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</si>
  <si>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</si>
  <si>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</si>
  <si>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</si>
  <si>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</si>
  <si>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</si>
  <si>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</si>
  <si>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</si>
  <si>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</si>
  <si>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</si>
  <si>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</si>
  <si>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</si>
  <si>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</si>
  <si>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</si>
  <si>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</si>
  <si>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</si>
  <si>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</si>
  <si>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</si>
  <si>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</si>
  <si>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</si>
  <si>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</si>
  <si>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</si>
  <si>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</si>
  <si>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</si>
  <si>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</si>
  <si>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</si>
  <si>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</si>
  <si>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</si>
  <si>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</si>
  <si>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</si>
  <si>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</si>
  <si>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</si>
  <si>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</si>
  <si>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</si>
  <si>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</si>
  <si>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</si>
  <si>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</si>
  <si>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</si>
  <si>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</si>
  <si>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</si>
  <si>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</si>
  <si>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</si>
  <si>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</si>
  <si>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</si>
  <si>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</si>
  <si>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</si>
  <si>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</si>
  <si>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</si>
  <si>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</si>
  <si>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</si>
  <si>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</si>
  <si>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</si>
  <si>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</si>
  <si>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</si>
  <si>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</si>
  <si>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</si>
  <si>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</si>
  <si>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</si>
  <si>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</si>
  <si>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</si>
  <si>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</si>
  <si>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</si>
  <si>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</si>
  <si>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</si>
  <si>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</si>
  <si>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</si>
  <si>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</si>
  <si>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</si>
  <si>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</si>
  <si>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</si>
  <si>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</si>
  <si>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</si>
  <si>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</si>
  <si>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</si>
  <si>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</si>
  <si>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</si>
  <si>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</si>
  <si>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</si>
  <si>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</si>
  <si>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</si>
  <si>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</si>
  <si>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</si>
  <si>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</si>
  <si>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</si>
  <si>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</si>
  <si>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</si>
  <si>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</si>
  <si>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</si>
  <si>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</si>
  <si>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</si>
  <si>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</si>
  <si>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</si>
  <si>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</si>
  <si>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</si>
  <si>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</si>
  <si>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</si>
  <si>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</si>
  <si>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</si>
  <si>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</si>
  <si>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</si>
  <si>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</si>
  <si>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</si>
  <si>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</si>
  <si>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</si>
  <si>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</si>
  <si>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</si>
  <si>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</si>
  <si>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</si>
  <si>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</si>
  <si>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</si>
  <si>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</si>
  <si>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</si>
  <si>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</si>
  <si>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</si>
  <si>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</si>
  <si>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</si>
  <si>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</si>
  <si>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</si>
  <si>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</si>
  <si>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</si>
  <si>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</si>
  <si>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</si>
  <si>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</si>
  <si>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</si>
  <si>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</si>
  <si>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</si>
  <si>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</si>
  <si>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</si>
  <si>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</si>
  <si>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</si>
  <si>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</si>
  <si>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</si>
  <si>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</si>
  <si>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</si>
  <si>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</si>
  <si>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</si>
  <si>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</si>
  <si>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</si>
  <si>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</si>
  <si>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</si>
  <si>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</si>
  <si>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</si>
  <si>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</si>
  <si>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</si>
  <si>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</si>
  <si>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</si>
  <si>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</si>
  <si>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</si>
  <si>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</si>
  <si>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</si>
  <si>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</si>
  <si>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</si>
  <si>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</si>
  <si>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</si>
  <si>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</si>
  <si>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</si>
  <si>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</si>
  <si>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</si>
  <si>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</si>
  <si>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</si>
  <si>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</si>
  <si>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</si>
  <si>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</si>
  <si>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</si>
  <si>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</si>
  <si>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</si>
  <si>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</si>
  <si>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</si>
  <si>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</si>
  <si>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</si>
  <si>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</si>
  <si>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</si>
  <si>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</si>
  <si>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</si>
  <si>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</si>
  <si>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</si>
  <si>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</si>
  <si>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</si>
  <si>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</si>
  <si>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</si>
  <si>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</si>
  <si>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</si>
  <si>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</si>
  <si>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</si>
  <si>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</si>
  <si>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</si>
  <si>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</si>
  <si>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</si>
  <si>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</si>
  <si>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</si>
  <si>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</si>
  <si>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</si>
  <si>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</si>
  <si>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</si>
  <si>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</si>
  <si>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</si>
  <si>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</si>
  <si>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</si>
  <si>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</si>
  <si>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</si>
  <si>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</si>
  <si>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</si>
  <si>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</si>
  <si>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</si>
  <si>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</si>
  <si>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</si>
  <si>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</si>
  <si>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</si>
  <si>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</si>
  <si>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</si>
  <si>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</si>
  <si>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</si>
  <si>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</si>
  <si>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</si>
  <si>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</si>
  <si>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</si>
  <si>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</si>
  <si>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</si>
  <si>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</si>
  <si>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</si>
  <si>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</si>
  <si>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</si>
  <si>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</si>
  <si>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</si>
  <si>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</si>
  <si>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</si>
  <si>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</si>
  <si>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</si>
  <si>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</si>
  <si>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</si>
  <si>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</si>
  <si>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</si>
  <si>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</si>
  <si>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</si>
  <si>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</si>
  <si>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</si>
  <si>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</si>
  <si>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</si>
  <si>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</si>
  <si>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</si>
  <si>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</si>
  <si>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</si>
  <si>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</si>
  <si>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</si>
  <si>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</si>
  <si>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</si>
  <si>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</si>
  <si>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</si>
  <si>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</si>
  <si>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</si>
  <si>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</si>
  <si>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</si>
  <si>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</si>
  <si>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</si>
  <si>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</si>
  <si>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</si>
  <si>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</si>
  <si>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</si>
  <si>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</si>
  <si>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</si>
  <si>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</si>
  <si>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</si>
  <si>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</si>
  <si>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</si>
  <si>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</si>
  <si>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</si>
  <si>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</si>
  <si>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</si>
  <si>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</si>
  <si>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</si>
  <si>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</si>
  <si>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</si>
  <si>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</si>
  <si>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</si>
  <si>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</si>
  <si>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</si>
  <si>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</si>
  <si>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</si>
  <si>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</si>
  <si>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</si>
  <si>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</si>
  <si>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</si>
  <si>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</si>
  <si>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</si>
  <si>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</si>
  <si>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</si>
  <si>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</si>
  <si>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</si>
  <si>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</si>
  <si>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</si>
  <si>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</si>
  <si>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</si>
  <si>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</si>
  <si>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</si>
  <si>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</si>
  <si>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</si>
  <si>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</si>
  <si>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</si>
  <si>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</si>
  <si>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</si>
  <si>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</si>
  <si>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</si>
  <si>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</si>
  <si>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</si>
  <si>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</si>
  <si>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</si>
  <si>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</si>
  <si>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</si>
  <si>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</si>
  <si>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</si>
  <si>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</si>
  <si>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</si>
  <si>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</si>
  <si>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</si>
  <si>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</si>
  <si>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</si>
  <si>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</si>
  <si>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</si>
  <si>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</si>
  <si>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</si>
  <si>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</si>
  <si>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</si>
  <si>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</si>
  <si>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</si>
  <si>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</si>
  <si>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</si>
  <si>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</si>
  <si>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</si>
  <si>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</si>
  <si>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</si>
  <si>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</si>
  <si>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</si>
  <si>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</si>
  <si>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</si>
  <si>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</si>
  <si>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</si>
  <si>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</si>
  <si>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</si>
  <si>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</si>
  <si>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</si>
  <si>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</si>
  <si>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</si>
  <si>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</si>
  <si>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</si>
  <si>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</si>
  <si>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</si>
  <si>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</si>
  <si>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</si>
  <si>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</si>
  <si>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</si>
  <si>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</si>
  <si>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</si>
  <si>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</si>
  <si>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</si>
  <si>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</si>
  <si>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</si>
  <si>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</si>
  <si>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</si>
  <si>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</si>
  <si>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</si>
  <si>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</si>
  <si>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</si>
  <si>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</si>
  <si>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</si>
  <si>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</si>
  <si>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</si>
  <si>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</si>
  <si>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</si>
  <si>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</si>
  <si>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</si>
  <si>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</si>
  <si>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</si>
  <si>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</si>
  <si>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</si>
  <si>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</si>
  <si>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</si>
  <si>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</si>
  <si>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</si>
  <si>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</si>
  <si>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</si>
  <si>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</si>
  <si>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</si>
  <si>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</si>
  <si>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</si>
  <si>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</si>
  <si>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</si>
  <si>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</si>
  <si>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</si>
  <si>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</si>
  <si>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</si>
  <si>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</si>
  <si>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</si>
  <si>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</si>
  <si>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</si>
  <si>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</si>
  <si>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</si>
  <si>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</si>
  <si>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</si>
  <si>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</si>
  <si>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</si>
  <si>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</si>
  <si>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</si>
  <si>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</si>
  <si>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</si>
  <si>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</si>
  <si>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</si>
  <si>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</si>
  <si>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</si>
  <si>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</si>
  <si>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</si>
  <si>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</si>
  <si>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</si>
  <si>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</si>
  <si>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</si>
  <si>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</si>
  <si>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</si>
  <si>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</si>
  <si>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</si>
  <si>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</si>
  <si>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</si>
  <si>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</si>
  <si>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</si>
  <si>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</si>
  <si>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</si>
  <si>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</si>
  <si>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</si>
  <si>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</si>
  <si>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</si>
  <si>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</si>
  <si>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</si>
  <si>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</si>
  <si>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</si>
  <si>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</si>
  <si>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</si>
  <si>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</si>
  <si>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</si>
  <si>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</si>
  <si>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</si>
  <si>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</si>
  <si>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</si>
  <si>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</si>
  <si>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</si>
  <si>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</si>
  <si>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</si>
  <si>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</si>
  <si>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</si>
  <si>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</si>
  <si>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</si>
  <si>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</si>
  <si>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</si>
  <si>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</si>
  <si>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</si>
  <si>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</si>
  <si>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</si>
  <si>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</si>
  <si>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</si>
  <si>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</si>
  <si>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</si>
  <si>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</si>
  <si>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</si>
  <si>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</si>
  <si>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</si>
  <si>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</si>
  <si>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</si>
  <si>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</si>
  <si>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</si>
  <si>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</si>
  <si>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</si>
  <si>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</si>
  <si>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</si>
  <si>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</si>
  <si>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</si>
  <si>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</si>
  <si>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</si>
  <si>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</si>
  <si>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</si>
  <si>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</si>
  <si>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</si>
  <si>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</si>
  <si>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</si>
  <si>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</si>
  <si>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</si>
  <si>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</si>
  <si>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</si>
  <si>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</si>
  <si>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</si>
  <si>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</si>
  <si>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</si>
  <si>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</si>
  <si>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</si>
  <si>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</si>
  <si>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</si>
  <si>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</si>
  <si>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</si>
  <si>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</si>
  <si>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</si>
  <si>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</si>
  <si>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</si>
  <si>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</si>
  <si>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</si>
  <si>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</si>
  <si>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</si>
  <si>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</si>
  <si>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</si>
  <si>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</si>
  <si>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</si>
  <si>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</si>
  <si>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</si>
  <si>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</si>
  <si>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</si>
  <si>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</si>
  <si>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</si>
  <si>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</si>
  <si>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</si>
  <si>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</si>
  <si>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</si>
  <si>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</si>
  <si>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Pehlman and Dold, P.C.</t>
  </si>
  <si>
    <t>100 North Amos Avenue</t>
  </si>
  <si>
    <t>Springfield</t>
  </si>
  <si>
    <t>IL</t>
  </si>
  <si>
    <t>(217) 787-0563</t>
  </si>
  <si>
    <t>(217) 787-9266</t>
  </si>
  <si>
    <t>060-004845</t>
  </si>
  <si>
    <t>X</t>
  </si>
  <si>
    <t>Jamie Nichols</t>
  </si>
  <si>
    <t>Brown/Cass/Morgan/Scott/Schuyler</t>
  </si>
  <si>
    <t>651 S. Morgan Street Room 119</t>
  </si>
  <si>
    <t>Virginia, IL</t>
  </si>
  <si>
    <t>jnichols@p-dcpas.com</t>
  </si>
  <si>
    <t>Reggie Clinton, Director</t>
  </si>
  <si>
    <t>tres@casscomm.com</t>
  </si>
  <si>
    <t>(217) 452-7239</t>
  </si>
  <si>
    <t>x</t>
  </si>
  <si>
    <t>Part C. 23 Other than Cash, the Auditor's Report has been qualified due to the Joint Agreement not maintaining a formal record system to track fixed assets accounted for in the General Fixed Asset Account Group.</t>
  </si>
  <si>
    <t>Education Fund Acct 4799- CTE- Perkins Secondary ISBE Source of funds 4745</t>
  </si>
  <si>
    <t>no contracts</t>
  </si>
  <si>
    <t xml:space="preserve">   Two Rivers Career Educ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</si>
</sst>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5</xdr:row>
          <xdr:rowOff>19050</xdr:rowOff>
        </xdr:from>
        <xdr:to>
          <xdr:col>1</xdr:col>
          <xdr:colOff>2057400</xdr:colOff>
          <xdr:row>9</xdr:row>
          <xdr:rowOff>57150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2058</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2058</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1009700045</v>
      </c>
      <c r="B13" s="2101"/>
      <c r="C13" s="2101"/>
      <c r="D13" s="2101"/>
      <c r="E13" s="2101"/>
      <c r="F13" s="2101"/>
      <c r="G13" s="2101"/>
      <c r="H13" s="2102"/>
      <c r="I13" s="31"/>
      <c r="J13" s="30"/>
      <c r="K13" s="28"/>
      <c r="L13" s="30"/>
      <c r="M13" s="30"/>
      <c r="N13" s="30"/>
      <c r="O13" s="30"/>
      <c r="P13" s="30"/>
      <c r="Q13" s="30"/>
      <c r="R13" s="30"/>
      <c r="S13" s="30"/>
      <c r="T13" s="2106" t="s">
        <v>2051</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2060</v>
      </c>
      <c r="B15" s="2104"/>
      <c r="C15" s="2104"/>
      <c r="D15" s="2104"/>
      <c r="E15" s="2104"/>
      <c r="F15" s="2104"/>
      <c r="G15" s="2104"/>
      <c r="H15" s="2105"/>
      <c r="T15" s="2110" t="s">
        <v>2059</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2071</v>
      </c>
      <c r="B17" s="2074"/>
      <c r="C17" s="2074"/>
      <c r="D17" s="2074"/>
      <c r="E17" s="2074"/>
      <c r="F17" s="2074"/>
      <c r="G17" s="2074"/>
      <c r="H17" s="2099"/>
      <c r="T17" s="2117" t="s">
        <v>2052</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2061</v>
      </c>
      <c r="B19" s="2059"/>
      <c r="C19" s="2059"/>
      <c r="D19" s="2059"/>
      <c r="E19" s="2059"/>
      <c r="F19" s="2059"/>
      <c r="G19" s="2059"/>
      <c r="H19" s="2039"/>
      <c r="I19" s="30"/>
      <c r="J19" s="96"/>
      <c r="K19" s="40"/>
      <c r="L19" s="38"/>
      <c r="M19" s="109" t="s">
        <v>312</v>
      </c>
      <c r="P19" s="27"/>
      <c r="Q19" s="27"/>
      <c r="R19" s="27"/>
      <c r="S19" s="31"/>
      <c r="T19" s="2103" t="s">
        <v>2053</v>
      </c>
      <c r="U19" s="2038"/>
      <c r="V19" s="2038"/>
      <c r="W19" s="2039"/>
      <c r="X19" s="2115" t="s">
        <v>2054</v>
      </c>
      <c r="Y19" s="2116"/>
      <c r="Z19" s="2113">
        <v>62702</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2062</v>
      </c>
      <c r="B21" s="2038"/>
      <c r="C21" s="2038"/>
      <c r="D21" s="2038"/>
      <c r="E21" s="2038"/>
      <c r="F21" s="2038"/>
      <c r="G21" s="2038"/>
      <c r="H21" s="2039"/>
      <c r="I21" s="2093" t="s">
        <v>673</v>
      </c>
      <c r="J21" s="2088"/>
      <c r="K21" s="2088"/>
      <c r="L21" s="2088"/>
      <c r="M21" s="2088"/>
      <c r="N21" s="2088"/>
      <c r="O21" s="2088"/>
      <c r="P21" s="2088"/>
      <c r="Q21" s="2088"/>
      <c r="R21" s="2088"/>
      <c r="S21" s="2094"/>
      <c r="T21" s="2128" t="s">
        <v>2055</v>
      </c>
      <c r="U21" s="2129"/>
      <c r="V21" s="2129"/>
      <c r="W21" s="2129"/>
      <c r="X21" s="2134" t="s">
        <v>2056</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c r="B23" s="2091"/>
      <c r="C23" s="2091"/>
      <c r="D23" s="2091"/>
      <c r="E23" s="2091"/>
      <c r="F23" s="2091"/>
      <c r="G23" s="2091"/>
      <c r="H23" s="2092"/>
      <c r="T23" s="2073" t="s">
        <v>2057</v>
      </c>
      <c r="U23" s="2127"/>
      <c r="V23" s="2127"/>
      <c r="W23" s="2127"/>
      <c r="X23" s="2131">
        <v>44197</v>
      </c>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62691</v>
      </c>
      <c r="B25" s="2038"/>
      <c r="C25" s="2038"/>
      <c r="D25" s="2038"/>
      <c r="E25" s="2038"/>
      <c r="F25" s="2038"/>
      <c r="G25" s="2038"/>
      <c r="H25" s="2039"/>
      <c r="I25" s="110"/>
      <c r="J25" s="2062"/>
      <c r="K25" s="2062"/>
      <c r="L25" s="2062"/>
      <c r="M25" s="2062"/>
      <c r="N25" s="2062"/>
      <c r="O25" s="2062"/>
      <c r="P25" s="2062"/>
      <c r="Q25" s="2062"/>
      <c r="R25" s="2062"/>
      <c r="S25" s="2063"/>
      <c r="T25" s="2124" t="s">
        <v>2063</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2058</v>
      </c>
      <c r="C29" s="121" t="s">
        <v>815</v>
      </c>
      <c r="D29" s="111"/>
      <c r="E29" s="133"/>
      <c r="F29" s="137" t="s">
        <v>1305</v>
      </c>
      <c r="G29" s="111"/>
      <c r="I29" s="51"/>
      <c r="J29" s="99"/>
      <c r="K29" s="28" t="s">
        <v>572</v>
      </c>
      <c r="L29" s="144" t="s">
        <v>2058</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2064</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2065</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2066</v>
      </c>
      <c r="B42" s="2057"/>
      <c r="C42" s="2058"/>
      <c r="D42" s="2056"/>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3" sqref="H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892230</v>
      </c>
      <c r="D12" s="1771">
        <v>61331</v>
      </c>
      <c r="E12" s="1771">
        <v>0</v>
      </c>
      <c r="F12" s="1765">
        <f>(C12+D12)-E12</f>
        <v>953561</v>
      </c>
      <c r="G12" s="681">
        <v>10</v>
      </c>
      <c r="H12" s="619">
        <v>464863</v>
      </c>
      <c r="I12" s="619">
        <v>81650</v>
      </c>
      <c r="J12" s="619"/>
      <c r="K12" s="1442">
        <f>(H12+I12)-J12</f>
        <v>546513</v>
      </c>
      <c r="L12" s="1442">
        <f>F12-K12</f>
        <v>407048</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892230</v>
      </c>
      <c r="D16" s="1765">
        <f>SUM(D3,D5:D6,D8:D10,D12:D15)</f>
        <v>61331</v>
      </c>
      <c r="E16" s="1765">
        <f>SUM(E3,E5:E6,E8:E10,E12:E15)</f>
        <v>0</v>
      </c>
      <c r="F16" s="1765">
        <f>SUM(F3,F5:F6,F8:F10,F12:F15)</f>
        <v>953561</v>
      </c>
      <c r="G16" s="681"/>
      <c r="H16" s="1435">
        <f>SUM(H3,H6,H8:H10,H12:H14,)</f>
        <v>464863</v>
      </c>
      <c r="I16" s="1435">
        <f>SUM(I3,I6,I8:I10,I12:I14,)</f>
        <v>81650</v>
      </c>
      <c r="J16" s="1435">
        <f>SUM(J3,J6,J8:J10,J12:J14,)</f>
        <v>0</v>
      </c>
      <c r="K16" s="1435">
        <f>(H16+I16)-J16</f>
        <v>546513</v>
      </c>
      <c r="L16" s="1435">
        <f>F16-K16</f>
        <v>407048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81650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8" sqref="F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280768</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280768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0</v>
      </c>
      <c r="G53" s="701"/>
    </row>
    <row r="54" spans="1:7" x14ac:dyDescent="0.2">
      <c r="A54" s="705" t="s">
        <v>456</v>
      </c>
      <c r="B54" s="705" t="s">
        <v>1459</v>
      </c>
      <c r="C54" s="724" t="s">
        <v>975</v>
      </c>
      <c r="D54" s="720" t="s">
        <v>1086</v>
      </c>
      <c r="E54" s="704"/>
      <c r="F54" s="1782">
        <f>'Expenditures 15-22'!G114</f>
        <v>61330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61330</v>
      </c>
      <c r="G77" s="701"/>
    </row>
    <row r="78" spans="1:9" s="728" customFormat="1" ht="12" customHeight="1" thickTop="1" thickBot="1" x14ac:dyDescent="0.25">
      <c r="A78" s="1450"/>
      <c r="B78" s="1448"/>
      <c r="C78" s="1445"/>
      <c r="D78" s="1449" t="s">
        <v>2012</v>
      </c>
      <c r="E78" s="1447"/>
      <c r="F78" s="1788">
        <f>(F14-F77)</f>
        <v>219438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500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7171</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234007</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80934</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322612</v>
      </c>
    </row>
    <row r="176" spans="1:7" ht="12" customHeight="1" x14ac:dyDescent="0.2">
      <c r="A176" s="1443"/>
      <c r="B176" s="1453"/>
      <c r="C176" s="1454"/>
      <c r="D176" s="1455" t="s">
        <v>2014</v>
      </c>
      <c r="E176" s="1456"/>
      <c r="F176" s="1793">
        <f>'PCTC-OEPP 27-28'!F78-F175</f>
        <v>-103174</v>
      </c>
    </row>
    <row r="177" spans="1:9" ht="12" customHeight="1" x14ac:dyDescent="0.2">
      <c r="A177" s="1443"/>
      <c r="B177" s="1453"/>
      <c r="C177" s="1454"/>
      <c r="D177" s="1455" t="s">
        <v>1794</v>
      </c>
      <c r="E177" s="1456"/>
      <c r="F177" s="1793">
        <f>'Cap Outlay Deprec 26'!I18</f>
        <v>81650</v>
      </c>
    </row>
    <row r="178" spans="1:9" ht="12" customHeight="1" x14ac:dyDescent="0.2">
      <c r="A178" s="1443"/>
      <c r="B178" s="1453"/>
      <c r="C178" s="1454"/>
      <c r="D178" s="1455" t="s">
        <v>2015</v>
      </c>
      <c r="E178" s="1456"/>
      <c r="F178" s="1793">
        <f>F176+F177</f>
        <v>-21524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22" sqref="A22"/>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2070</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115059</v>
      </c>
      <c r="F19" s="1802"/>
      <c r="G19" s="1804">
        <f>'Expenditures 15-22'!K33-SUM('Expenditures 15-22'!G33,'Expenditures 15-22'!I33)+'Expenditures 15-22'!D229</f>
        <v>115059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3414</v>
      </c>
      <c r="F21" s="1805"/>
      <c r="G21" s="1808">
        <f>'Expenditures 15-22'!K42-SUM('Expenditures 15-22'!G42,'Expenditures 15-22'!I42)+'Expenditures 15-22'!K120-SUM('Expenditures 15-22'!G120,'Expenditures 15-22'!I120)+'Expenditures 15-22'!K180-SUM('Expenditures 15-22'!G180,'Expenditures 15-22'!I180)+'Expenditures 15-22'!D238</f>
        <v>3414</v>
      </c>
      <c r="H21" s="817"/>
      <c r="I21" s="157"/>
    </row>
    <row r="22" spans="1:9" s="542" customFormat="1" ht="12" customHeight="1" x14ac:dyDescent="0.2">
      <c r="A22" s="824" t="s">
        <v>560</v>
      </c>
      <c r="B22" s="825"/>
      <c r="C22" s="823">
        <v>2200</v>
      </c>
      <c r="D22" s="1805"/>
      <c r="E22" s="1807">
        <f>'Expenditures 15-22'!K47-SUM('Expenditures 15-22'!G47,'Expenditures 15-22'!I47)+'Expenditures 15-22'!D243</f>
        <v>34194</v>
      </c>
      <c r="F22" s="1805"/>
      <c r="G22" s="1808">
        <f>'Expenditures 15-22'!K47-SUM('Expenditures 15-22'!G47,'Expenditures 15-22'!I47)+'Expenditures 15-22'!D243</f>
        <v>34194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59114</v>
      </c>
      <c r="F23" s="1805"/>
      <c r="G23" s="1807">
        <f>'Expenditures 15-22'!K53-SUM('Expenditures 15-22'!G53,'Expenditures 15-22'!I53)+'Expenditures 15-22'!D257+'Expenditures 15-22'!K330-SUM('Expenditures 15-22'!G330,'Expenditures 15-22'!I330)</f>
        <v>59114</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7657</v>
      </c>
      <c r="E27" s="1807">
        <f>E8</f>
        <v>0</v>
      </c>
      <c r="F27" s="1807">
        <f>'Expenditures 15-22'!K60-SUM('Expenditures 15-22'!G60,'Expenditures 15-22'!I60)+'Expenditures 15-22'!D264-E8</f>
        <v>7657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7657</v>
      </c>
      <c r="E41" s="1809">
        <f>SUM(E19:E40)</f>
        <v>211781</v>
      </c>
      <c r="F41" s="1809">
        <f>SUM(F19:F39)</f>
        <v>7657</v>
      </c>
      <c r="G41" s="1809">
        <f>SUM(G19:G40)</f>
        <v>211781</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7657</v>
      </c>
      <c r="F43" s="1458" t="s">
        <v>470</v>
      </c>
      <c r="G43" s="1810">
        <f>F41</f>
        <v>7657</v>
      </c>
    </row>
    <row r="44" spans="1:7" ht="12" customHeight="1" x14ac:dyDescent="0.2">
      <c r="A44" s="817"/>
      <c r="B44" s="157"/>
      <c r="C44" s="831"/>
      <c r="D44" s="1458" t="s">
        <v>471</v>
      </c>
      <c r="E44" s="1810">
        <f>E41</f>
        <v>211781</v>
      </c>
      <c r="F44" s="1458" t="s">
        <v>471</v>
      </c>
      <c r="G44" s="1810">
        <f>G41</f>
        <v>211781</v>
      </c>
    </row>
    <row r="45" spans="1:7" ht="12" customHeight="1" x14ac:dyDescent="0.2">
      <c r="A45" s="817"/>
      <c r="B45" s="157"/>
      <c r="C45" s="157"/>
      <c r="D45" s="1459" t="s">
        <v>999</v>
      </c>
      <c r="E45" s="1811">
        <f>(E43/E44)</f>
        <v>3.615527360811404E-2</v>
      </c>
      <c r="F45" s="1459" t="s">
        <v>999</v>
      </c>
      <c r="G45" s="1811">
        <f>(G43/G44)</f>
        <v>3.615527360811404E-2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D15" sqref="D15"/>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Two Rivers Career Educ System</v>
      </c>
      <c r="D6" s="2415"/>
      <c r="E6" s="2415"/>
      <c r="F6" s="1482"/>
      <c r="G6" s="1507"/>
      <c r="L6" s="1507"/>
      <c r="M6" s="1855"/>
      <c r="N6" s="1855"/>
      <c r="O6" s="1855"/>
    </row>
    <row r="7" spans="1:15" ht="11.25" customHeight="1" thickBot="1" x14ac:dyDescent="0.3">
      <c r="A7" s="1480"/>
      <c r="B7" s="1481"/>
      <c r="C7" s="2416">
        <f>COVER!A13</f>
        <v>1009700045</v>
      </c>
      <c r="D7" s="2416"/>
      <c r="E7" s="2416"/>
      <c r="F7" s="1482"/>
      <c r="G7" s="1507"/>
      <c r="L7" s="1507"/>
      <c r="M7" s="1855"/>
      <c r="N7" s="1855"/>
      <c r="O7" s="1855"/>
    </row>
    <row r="8" spans="1:15" ht="25.5" customHeight="1" thickBot="1" x14ac:dyDescent="0.25">
      <c r="A8" s="1519" t="s">
        <v>1874</v>
      </c>
      <c r="B8" s="1483" t="s">
        <v>2058</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F15" sqref="F15"/>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 xml:space="preserve">   Two Rivers Career Educ System</v>
      </c>
      <c r="K6" s="2437"/>
      <c r="L6" s="2451"/>
      <c r="M6" s="838"/>
      <c r="N6" s="1999"/>
    </row>
    <row r="7" spans="1:14" x14ac:dyDescent="0.2">
      <c r="A7" s="2452" t="s">
        <v>864</v>
      </c>
      <c r="B7" s="2453"/>
      <c r="C7" s="2453"/>
      <c r="D7" s="2453"/>
      <c r="E7" s="2454"/>
      <c r="F7" s="839"/>
      <c r="G7" s="838"/>
      <c r="H7" s="838"/>
      <c r="I7" s="1925" t="s">
        <v>369</v>
      </c>
      <c r="J7" s="2439">
        <f>COVER!A13</f>
        <v>1009700045</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59114</v>
      </c>
      <c r="F12" s="1943"/>
      <c r="G12" s="1969">
        <f>G68</f>
        <v>0</v>
      </c>
      <c r="H12" s="1945">
        <f t="shared" ref="H12:H18" si="0">SUM(E12:G12)</f>
        <v>59114</v>
      </c>
      <c r="I12" s="1944"/>
      <c r="J12" s="1943"/>
      <c r="K12" s="1944"/>
      <c r="L12" s="1945">
        <f t="shared" ref="L12:L18" si="1">SUM(I12:K12)</f>
        <v>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8" t="s">
        <v>7</v>
      </c>
      <c r="C18" s="2459"/>
      <c r="D18" s="2460"/>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59114</v>
      </c>
      <c r="F19" s="1951">
        <f t="shared" si="2"/>
        <v>0</v>
      </c>
      <c r="G19" s="1951">
        <f t="shared" ref="G19" si="3">SUM(G12:G17)-G18</f>
        <v>0</v>
      </c>
      <c r="H19" s="1951">
        <f t="shared" si="2"/>
        <v>59114</v>
      </c>
      <c r="I19" s="1951">
        <f t="shared" si="2"/>
        <v>0</v>
      </c>
      <c r="J19" s="1951">
        <f t="shared" si="2"/>
        <v>0</v>
      </c>
      <c r="K19" s="1951">
        <f t="shared" si="2"/>
        <v>0</v>
      </c>
      <c r="L19" s="1951">
        <f t="shared" si="2"/>
        <v>0</v>
      </c>
      <c r="M19" s="838"/>
      <c r="N19" s="1999"/>
    </row>
    <row r="20" spans="1:14" ht="13.5" thickTop="1" x14ac:dyDescent="0.2">
      <c r="A20" s="2004">
        <v>9</v>
      </c>
      <c r="B20" s="2461" t="s">
        <v>2021</v>
      </c>
      <c r="C20" s="2461"/>
      <c r="D20" s="2462"/>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2024</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2025</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29" t="s">
        <v>2026</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 xml:space="preserve">   Two Rivers Career Educ System</v>
      </c>
      <c r="M52" s="2437"/>
      <c r="N52" s="2438"/>
    </row>
    <row r="53" spans="1:14" x14ac:dyDescent="0.2">
      <c r="A53" s="1983"/>
      <c r="B53" s="1984"/>
      <c r="C53" s="1984"/>
      <c r="D53" s="1984"/>
      <c r="E53" s="1984"/>
      <c r="F53" s="1984"/>
      <c r="G53" s="1984"/>
      <c r="H53" s="1984"/>
      <c r="I53" s="1984"/>
      <c r="J53" s="1984"/>
      <c r="K53" s="1925" t="s">
        <v>369</v>
      </c>
      <c r="L53" s="2439">
        <f>J7</f>
        <v>1009700045</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2030</v>
      </c>
      <c r="H55" s="2443"/>
      <c r="I55" s="2443"/>
      <c r="J55" s="2443"/>
      <c r="K55" s="2443"/>
      <c r="L55" s="2443"/>
      <c r="M55" s="2443"/>
      <c r="N55" s="2444"/>
    </row>
    <row r="56" spans="1:14" ht="63.75" x14ac:dyDescent="0.2">
      <c r="A56" s="2445" t="s">
        <v>2031</v>
      </c>
      <c r="B56" s="2446"/>
      <c r="C56" s="244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2041</v>
      </c>
      <c r="B58" s="2426"/>
      <c r="C58" s="2426"/>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19" t="s">
        <v>297</v>
      </c>
      <c r="B59" s="2420"/>
      <c r="C59" s="2420"/>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19" t="s">
        <v>236</v>
      </c>
      <c r="B60" s="2420"/>
      <c r="C60" s="2420"/>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19" t="s">
        <v>697</v>
      </c>
      <c r="B61" s="2420"/>
      <c r="C61" s="2420"/>
      <c r="D61" s="1968">
        <v>2365</v>
      </c>
      <c r="E61" s="1978">
        <f>'Expenditures 15-22'!K323</f>
        <v>0</v>
      </c>
      <c r="F61" s="1973"/>
      <c r="G61" s="2032"/>
      <c r="H61" s="2033"/>
      <c r="I61" s="2033"/>
      <c r="J61" s="2033"/>
      <c r="K61" s="2033"/>
      <c r="L61" s="2033"/>
      <c r="M61" s="2033"/>
      <c r="N61" s="1976">
        <f t="shared" si="4"/>
        <v>0</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4"/>
        <v>0</v>
      </c>
    </row>
    <row r="63" spans="1:14" ht="24" customHeight="1" x14ac:dyDescent="0.2">
      <c r="A63" s="2425" t="s">
        <v>1022</v>
      </c>
      <c r="B63" s="2426"/>
      <c r="C63" s="2426"/>
      <c r="D63" s="1968">
        <v>2367</v>
      </c>
      <c r="E63" s="1978">
        <f>'Expenditures 15-22'!K325</f>
        <v>0</v>
      </c>
      <c r="F63" s="1973"/>
      <c r="G63" s="2032"/>
      <c r="H63" s="2033"/>
      <c r="I63" s="2033"/>
      <c r="J63" s="2033"/>
      <c r="K63" s="2033"/>
      <c r="L63" s="2033"/>
      <c r="M63" s="2033"/>
      <c r="N63" s="1976">
        <f t="shared" si="4"/>
        <v>0</v>
      </c>
    </row>
    <row r="64" spans="1:14" ht="24" customHeight="1" x14ac:dyDescent="0.2">
      <c r="A64" s="2419" t="s">
        <v>1023</v>
      </c>
      <c r="B64" s="2420"/>
      <c r="C64" s="2420"/>
      <c r="D64" s="1968">
        <v>2368</v>
      </c>
      <c r="E64" s="1978">
        <f>'Expenditures 15-22'!K326</f>
        <v>0</v>
      </c>
      <c r="F64" s="1973"/>
      <c r="G64" s="2032"/>
      <c r="H64" s="2033"/>
      <c r="I64" s="2033"/>
      <c r="J64" s="2033"/>
      <c r="K64" s="2033"/>
      <c r="L64" s="2033"/>
      <c r="M64" s="2033"/>
      <c r="N64" s="1976">
        <f t="shared" si="4"/>
        <v>0</v>
      </c>
    </row>
    <row r="65" spans="1:14" ht="24" customHeight="1" x14ac:dyDescent="0.2">
      <c r="A65" s="2419" t="s">
        <v>965</v>
      </c>
      <c r="B65" s="2420"/>
      <c r="C65" s="2420"/>
      <c r="D65" s="1968">
        <v>2369</v>
      </c>
      <c r="E65" s="1978">
        <f>'Expenditures 15-22'!K327</f>
        <v>0</v>
      </c>
      <c r="F65" s="1973"/>
      <c r="G65" s="2032"/>
      <c r="H65" s="2033"/>
      <c r="I65" s="2033"/>
      <c r="J65" s="2033"/>
      <c r="K65" s="2033"/>
      <c r="L65" s="2033"/>
      <c r="M65" s="2033"/>
      <c r="N65" s="1976">
        <f t="shared" si="4"/>
        <v>0</v>
      </c>
    </row>
    <row r="66" spans="1:14" ht="24" customHeight="1" x14ac:dyDescent="0.2">
      <c r="A66" s="2419" t="s">
        <v>469</v>
      </c>
      <c r="B66" s="2420"/>
      <c r="C66" s="2420"/>
      <c r="D66" s="1968">
        <v>2371</v>
      </c>
      <c r="E66" s="1978">
        <f>'Expenditures 15-22'!K328</f>
        <v>0</v>
      </c>
      <c r="F66" s="1973"/>
      <c r="G66" s="2032"/>
      <c r="H66" s="2033"/>
      <c r="I66" s="2033"/>
      <c r="J66" s="2033"/>
      <c r="K66" s="2033"/>
      <c r="L66" s="2033"/>
      <c r="M66" s="2033"/>
      <c r="N66" s="1976">
        <f t="shared" si="4"/>
        <v>0</v>
      </c>
    </row>
    <row r="67" spans="1:14" ht="24.75" customHeight="1" x14ac:dyDescent="0.2">
      <c r="A67" s="2421" t="s">
        <v>2042</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1151</v>
      </c>
      <c r="B68" s="2424"/>
      <c r="C68" s="2424"/>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B8" sqref="B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2069</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Two Rivers Career Educ System</v>
      </c>
    </row>
    <row r="65" spans="2:2" x14ac:dyDescent="0.2">
      <c r="B65" s="849">
        <f>COVER!A13</f>
        <v>1009700045</v>
      </c>
    </row>
  </sheetData>
  <phoneticPr fontId="16" type="noConversion"/>
  <pageMargins left="0.2" right="0.2" top="1.17" bottom="0.75" header="0.19" footer="0.16"/>
  <pageSetup scale="78"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30" sqref="B30:B3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Exch.Document.DC" dvAspect="DVASPECT_ICON" shapeId="43012"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Exch.Document.DC" dvAspect="DVASPECT_ICON" shapeId="43012" r:id="rId4"/>
      </mc:Fallback>
    </mc:AlternateContent>
    <mc:AlternateContent xmlns:mc="http://schemas.openxmlformats.org/markup-compatibility/2006">
      <mc:Choice Requires="x14">
        <oleObject progId="AcroExch.Document.DC" dvAspect="DVASPECT_ICON" shapeId="43013" r:id="rId6">
          <objectPr defaultSize="0" r:id="rId5">
            <anchor moveWithCells="1">
              <from>
                <xdr:col>1</xdr:col>
                <xdr:colOff>1143000</xdr:colOff>
                <xdr:row>5</xdr:row>
                <xdr:rowOff>19050</xdr:rowOff>
              </from>
              <to>
                <xdr:col>1</xdr:col>
                <xdr:colOff>2057400</xdr:colOff>
                <xdr:row>9</xdr:row>
                <xdr:rowOff>57150</xdr:rowOff>
              </to>
            </anchor>
          </objectPr>
        </oleObject>
      </mc:Choice>
      <mc:Fallback>
        <oleObject progId="AcroExch.Document.DC" dvAspect="DVASPECT_ICON" shapeId="4301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3" sqref="A3:F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322657</v>
      </c>
      <c r="C8" s="1813">
        <f>'Acct Summary 7-8'!D8</f>
        <v>0</v>
      </c>
      <c r="D8" s="1813">
        <f>'Acct Summary 7-8'!F8</f>
        <v>0</v>
      </c>
      <c r="E8" s="1813">
        <f>'Acct Summary 7-8'!I8</f>
        <v>0</v>
      </c>
      <c r="F8" s="1813">
        <f>SUM(B8:E8)</f>
        <v>322657</v>
      </c>
    </row>
    <row r="9" spans="1:8" s="858" customFormat="1" ht="14.25" customHeight="1" thickBot="1" x14ac:dyDescent="0.25">
      <c r="A9" s="857" t="s">
        <v>1353</v>
      </c>
      <c r="B9" s="1814">
        <f>'Acct Summary 7-8'!C17</f>
        <v>280768</v>
      </c>
      <c r="C9" s="1814">
        <f>'Acct Summary 7-8'!D17</f>
        <v>0</v>
      </c>
      <c r="D9" s="1814">
        <f>'Acct Summary 7-8'!F17</f>
        <v>0</v>
      </c>
      <c r="E9" s="1813"/>
      <c r="F9" s="1813">
        <f>SUM(B9:E9)</f>
        <v>280768</v>
      </c>
    </row>
    <row r="10" spans="1:8" s="858" customFormat="1" ht="14.25" thickTop="1" thickBot="1" x14ac:dyDescent="0.25">
      <c r="A10" s="859" t="s">
        <v>1354</v>
      </c>
      <c r="B10" s="1815">
        <f>(B8-B9)</f>
        <v>41889</v>
      </c>
      <c r="C10" s="1815">
        <f>(C8-C9)</f>
        <v>0</v>
      </c>
      <c r="D10" s="1815">
        <f>(D8-D9)</f>
        <v>0</v>
      </c>
      <c r="E10" s="1814">
        <f>(E8-E9)</f>
        <v>0</v>
      </c>
      <c r="F10" s="1816">
        <f>SUM(F8-F9)</f>
        <v>41889</v>
      </c>
    </row>
    <row r="11" spans="1:8" s="858" customFormat="1" ht="14.25" thickTop="1" thickBot="1" x14ac:dyDescent="0.25">
      <c r="A11" s="860" t="s">
        <v>1903</v>
      </c>
      <c r="B11" s="1817">
        <f>'Acct Summary 7-8'!C81</f>
        <v>79892</v>
      </c>
      <c r="C11" s="1817">
        <f>'Acct Summary 7-8'!D81</f>
        <v>0</v>
      </c>
      <c r="D11" s="1817">
        <f>'Acct Summary 7-8'!F81</f>
        <v>0</v>
      </c>
      <c r="E11" s="1817">
        <f>'Acct Summary 7-8'!I81</f>
        <v>0</v>
      </c>
      <c r="F11" s="1818">
        <f>SUM(B11:E11)</f>
        <v>79892</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44" sqref="D4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ENTRY IS REQUIRED!</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1009700045</v>
      </c>
      <c r="E2" s="1542">
        <v>2020</v>
      </c>
      <c r="F2" s="1542">
        <v>1</v>
      </c>
      <c r="G2" s="1899">
        <v>101000300</v>
      </c>
    </row>
    <row r="3" spans="1:7" ht="15" x14ac:dyDescent="0.25">
      <c r="A3" t="s">
        <v>950</v>
      </c>
      <c r="B3" s="135" t="str">
        <f>COVER!A15</f>
        <v>Brown/Cass/Morgan/Scott/Schuyler</v>
      </c>
      <c r="E3" s="1830" t="s">
        <v>1971</v>
      </c>
      <c r="F3" s="1830" t="s">
        <v>1970</v>
      </c>
      <c r="G3" s="1899">
        <v>101000400</v>
      </c>
    </row>
    <row r="4" spans="1:7" ht="15" x14ac:dyDescent="0.25">
      <c r="A4" t="s">
        <v>1000</v>
      </c>
      <c r="B4" s="135" t="str">
        <f>COVER!A17</f>
        <v xml:space="preserve">   Two Rivers Career Educ System</v>
      </c>
      <c r="E4" s="1828">
        <v>44119</v>
      </c>
      <c r="F4" s="1829">
        <v>44151</v>
      </c>
      <c r="G4" s="1899">
        <v>101000600</v>
      </c>
    </row>
    <row r="5" spans="1:7" ht="15" x14ac:dyDescent="0.25">
      <c r="A5" t="s">
        <v>699</v>
      </c>
      <c r="B5" s="135" t="str">
        <f>COVER!A38</f>
        <v>Reggie Clinton, Director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f>IF(COVER!J30="x","Yes",IF(COVER!L30="x","No",0))</f>
        <v>0</v>
      </c>
      <c r="G13" s="1899">
        <v>202100800</v>
      </c>
    </row>
    <row r="14" spans="1:7" ht="15" x14ac:dyDescent="0.25">
      <c r="A14" t="s">
        <v>473</v>
      </c>
      <c r="B14" s="135">
        <f>IF(COVER!J31="x","Yes",IF(COVER!L31="x","No",0))</f>
        <v>0</v>
      </c>
      <c r="G14" s="1899">
        <v>402100300</v>
      </c>
    </row>
    <row r="15" spans="1:7" ht="15" x14ac:dyDescent="0.25">
      <c r="A15" t="s">
        <v>573</v>
      </c>
      <c r="B15" s="135" t="str">
        <f>COVER!T23</f>
        <v>060-004845</v>
      </c>
      <c r="G15" s="1899">
        <v>402100400</v>
      </c>
    </row>
    <row r="16" spans="1:7" ht="15" x14ac:dyDescent="0.25">
      <c r="A16" t="s">
        <v>419</v>
      </c>
      <c r="B16" s="135" t="str">
        <f>COVER!T13</f>
        <v>Pehlman and Dold, P.C.</v>
      </c>
      <c r="G16" s="1899">
        <v>402100600</v>
      </c>
    </row>
    <row r="17" spans="1:7" ht="15" x14ac:dyDescent="0.25">
      <c r="A17" t="s">
        <v>878</v>
      </c>
      <c r="B17" s="135" t="str">
        <f>COVER!T15</f>
        <v>Jamie Nichols</v>
      </c>
      <c r="G17" s="1899">
        <v>402100800</v>
      </c>
    </row>
    <row r="18" spans="1:7" ht="15" x14ac:dyDescent="0.25">
      <c r="A18" t="s">
        <v>1140</v>
      </c>
      <c r="B18" s="135" t="str">
        <f>COVER!T17</f>
        <v>100 North Amos Avenue</v>
      </c>
      <c r="G18" s="1899">
        <v>102200300</v>
      </c>
    </row>
    <row r="19" spans="1:7" ht="15" x14ac:dyDescent="0.25">
      <c r="A19" t="s">
        <v>880</v>
      </c>
      <c r="B19" s="135" t="str">
        <f>COVER!T25</f>
        <v>jnichols@p-dcpas.com</v>
      </c>
      <c r="G19" s="1899">
        <v>102200400</v>
      </c>
    </row>
    <row r="20" spans="1:7" ht="15" x14ac:dyDescent="0.25">
      <c r="A20" t="s">
        <v>881</v>
      </c>
      <c r="B20" s="135" t="str">
        <f>COVER!T19</f>
        <v>Springfield</v>
      </c>
      <c r="G20" s="1899">
        <v>102200600</v>
      </c>
    </row>
    <row r="21" spans="1:7" ht="15" x14ac:dyDescent="0.25">
      <c r="A21" t="s">
        <v>476</v>
      </c>
      <c r="B21" s="135" t="str">
        <f>COVER!X19</f>
        <v>IL</v>
      </c>
      <c r="G21" s="1899">
        <v>102200800</v>
      </c>
    </row>
    <row r="22" spans="1:7" ht="15" x14ac:dyDescent="0.25">
      <c r="A22" t="s">
        <v>882</v>
      </c>
      <c r="B22" s="135">
        <f>COVER!Z19</f>
        <v>62702</v>
      </c>
      <c r="G22" s="1899">
        <v>102300300</v>
      </c>
    </row>
    <row r="23" spans="1:7" ht="15" x14ac:dyDescent="0.25">
      <c r="A23" t="s">
        <v>1142</v>
      </c>
      <c r="B23" s="135" t="str">
        <f>COVER!T21</f>
        <v>(217) 787-0563</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81626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1734</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1734</v>
      </c>
      <c r="C91" s="2" t="s">
        <v>569</v>
      </c>
      <c r="D91" s="2" t="str">
        <f t="shared" si="0"/>
        <v>Error?</v>
      </c>
      <c r="G91" s="1899">
        <v>102640400</v>
      </c>
    </row>
    <row r="92" spans="1:7" ht="15" x14ac:dyDescent="0.25">
      <c r="A92" s="5">
        <v>31</v>
      </c>
      <c r="B92" s="1832">
        <f>'Assets-Liab 5-6'!C39</f>
        <v>79440</v>
      </c>
      <c r="D92" s="2" t="str">
        <f t="shared" si="0"/>
        <v>Error?</v>
      </c>
      <c r="G92" s="1899">
        <v>102640600</v>
      </c>
    </row>
    <row r="93" spans="1:7" ht="15" x14ac:dyDescent="0.25">
      <c r="A93" s="5">
        <v>32</v>
      </c>
      <c r="B93" s="1832">
        <f>'Assets-Liab 5-6'!C41</f>
        <v>81626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953561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953561</v>
      </c>
      <c r="C279" s="2" t="s">
        <v>569</v>
      </c>
      <c r="D279" s="2" t="str">
        <f t="shared" si="3"/>
        <v>Error?</v>
      </c>
    </row>
    <row r="280" spans="1:4" x14ac:dyDescent="0.2">
      <c r="A280" s="5">
        <v>219</v>
      </c>
      <c r="B280" s="1832">
        <f>'Assets-Liab 5-6'!M40</f>
        <v>953561</v>
      </c>
      <c r="D280" s="2" t="str">
        <f t="shared" si="3"/>
        <v>Error?</v>
      </c>
    </row>
    <row r="281" spans="1:4" x14ac:dyDescent="0.2">
      <c r="A281" s="5">
        <v>220</v>
      </c>
      <c r="B281" s="1832">
        <f>'Assets-Liab 5-6'!M41</f>
        <v>953561</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3414</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3414</v>
      </c>
      <c r="C727" s="2" t="s">
        <v>569</v>
      </c>
      <c r="D727" s="2" t="str">
        <f t="shared" si="10"/>
        <v>Error?</v>
      </c>
    </row>
    <row r="728" spans="1:4" x14ac:dyDescent="0.2">
      <c r="A728" s="5">
        <v>667</v>
      </c>
      <c r="B728" s="1832">
        <f>'Expenditures 15-22'!C44</f>
        <v>26033</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26033</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40745</v>
      </c>
      <c r="D733" s="2" t="str">
        <f t="shared" si="10"/>
        <v>Error?</v>
      </c>
    </row>
    <row r="734" spans="1:4" x14ac:dyDescent="0.2">
      <c r="A734" s="5">
        <v>673</v>
      </c>
      <c r="B734" s="1832">
        <f>'Expenditures 15-22'!C53</f>
        <v>40745</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70192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70192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5293</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5293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9447</v>
      </c>
      <c r="D791" s="2" t="str">
        <f t="shared" si="11"/>
        <v>Error?</v>
      </c>
    </row>
    <row r="792" spans="1:4" x14ac:dyDescent="0.2">
      <c r="A792" s="5">
        <v>731</v>
      </c>
      <c r="B792" s="1832">
        <f>'Expenditures 15-22'!D53</f>
        <v>9447</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14740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14740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26333</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26333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1873</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1873</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7920</v>
      </c>
      <c r="D849" s="2" t="str">
        <f t="shared" si="12"/>
        <v>Error?</v>
      </c>
    </row>
    <row r="850" spans="1:4" x14ac:dyDescent="0.2">
      <c r="A850" s="5">
        <v>789</v>
      </c>
      <c r="B850" s="1832">
        <f>'Expenditures 15-22'!E53</f>
        <v>7920</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7657</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7657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17450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43783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88726</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88726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995</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995</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1002</v>
      </c>
      <c r="D907" s="2" t="str">
        <f t="shared" si="13"/>
        <v>Error?</v>
      </c>
    </row>
    <row r="908" spans="1:4" x14ac:dyDescent="0.2">
      <c r="A908" s="5">
        <v>847</v>
      </c>
      <c r="B908" s="1832">
        <f>'Expenditures 15-22'!F53</f>
        <v>1002</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1997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90723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61330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61330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61330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176389</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176389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3414</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3414</v>
      </c>
      <c r="C1115" s="2" t="s">
        <v>569</v>
      </c>
      <c r="D1115" s="2" t="str">
        <f t="shared" si="16"/>
        <v>Error?</v>
      </c>
    </row>
    <row r="1116" spans="1:4" x14ac:dyDescent="0.2">
      <c r="A1116" s="5">
        <v>1055</v>
      </c>
      <c r="B1116" s="1832">
        <f>'Expenditures 15-22'!K44</f>
        <v>34194</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34194</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59114</v>
      </c>
      <c r="C1121" s="2" t="s">
        <v>569</v>
      </c>
      <c r="D1121" s="2" t="str">
        <f t="shared" si="16"/>
        <v>Error?</v>
      </c>
    </row>
    <row r="1122" spans="1:4" x14ac:dyDescent="0.2">
      <c r="A1122" s="5">
        <v>1061</v>
      </c>
      <c r="B1122" s="1832">
        <f>'Expenditures 15-22'!K53</f>
        <v>59114</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7657</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7657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104379</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280768</v>
      </c>
      <c r="C1152" s="2" t="s">
        <v>569</v>
      </c>
      <c r="D1152" s="2" t="str">
        <f t="shared" si="17"/>
        <v>Error?</v>
      </c>
    </row>
    <row r="1153" spans="1:4" x14ac:dyDescent="0.2">
      <c r="A1153" s="5">
        <v>1092</v>
      </c>
      <c r="B1153" s="1832">
        <f>'Expenditures 15-22'!K115</f>
        <v>41889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38003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79892</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892230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892230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61331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61331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953561</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953561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464863</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464863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81650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81650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546513</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546513</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407048</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407048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452</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7716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234007</v>
      </c>
      <c r="C2553" s="2" t="s">
        <v>569</v>
      </c>
      <c r="D2553" s="2" t="str">
        <f t="shared" si="38"/>
        <v>Error?</v>
      </c>
    </row>
    <row r="2554" spans="1:4" x14ac:dyDescent="0.2">
      <c r="A2554" s="5">
        <v>2493</v>
      </c>
      <c r="B2554" s="1832">
        <f>'Acct Summary 7-8'!C7</f>
        <v>80934</v>
      </c>
      <c r="C2554" s="2" t="s">
        <v>569</v>
      </c>
      <c r="D2554" s="2" t="str">
        <f t="shared" si="38"/>
        <v>Error?</v>
      </c>
    </row>
    <row r="2555" spans="1:4" x14ac:dyDescent="0.2">
      <c r="A2555" s="5">
        <v>2494</v>
      </c>
      <c r="B2555" s="1832">
        <f>'Acct Summary 7-8'!C8</f>
        <v>322657</v>
      </c>
      <c r="C2555" s="2" t="s">
        <v>569</v>
      </c>
      <c r="D2555" s="2" t="str">
        <f t="shared" si="38"/>
        <v>Error?</v>
      </c>
    </row>
    <row r="2556" spans="1:4" x14ac:dyDescent="0.2">
      <c r="A2556" s="5">
        <v>2495</v>
      </c>
      <c r="B2556" s="1832">
        <f>'Acct Summary 7-8'!C12</f>
        <v>176389</v>
      </c>
      <c r="C2556" s="2" t="s">
        <v>569</v>
      </c>
      <c r="D2556" s="2" t="str">
        <f t="shared" si="38"/>
        <v>Error?</v>
      </c>
    </row>
    <row r="2557" spans="1:4" x14ac:dyDescent="0.2">
      <c r="A2557" s="5">
        <v>2496</v>
      </c>
      <c r="B2557" s="1832">
        <f>'Acct Summary 7-8'!C13</f>
        <v>104379</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280768</v>
      </c>
      <c r="C2561" s="2" t="s">
        <v>569</v>
      </c>
      <c r="D2561" s="2" t="str">
        <f t="shared" si="39"/>
        <v>Error?</v>
      </c>
    </row>
    <row r="2562" spans="1:4" x14ac:dyDescent="0.2">
      <c r="A2562" s="5">
        <v>2501</v>
      </c>
      <c r="B2562" s="1832">
        <f>'Acct Summary 7-8'!C20</f>
        <v>41889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41889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81626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322657</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280768</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79892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80934</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45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500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7171</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7671</v>
      </c>
      <c r="C5120" s="2" t="s">
        <v>569</v>
      </c>
      <c r="D5120" s="2" t="str">
        <f t="shared" si="79"/>
        <v>Error?</v>
      </c>
    </row>
    <row r="5121" spans="1:4" x14ac:dyDescent="0.2">
      <c r="A5121" s="5">
        <v>5060</v>
      </c>
      <c r="B5121" s="1832">
        <f>'Revenues 9-14'!C109</f>
        <v>7716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234007</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234007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234007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234007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80934</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80934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80934</v>
      </c>
      <c r="C5326" s="2" t="s">
        <v>569</v>
      </c>
      <c r="D5326" s="2" t="str">
        <f t="shared" si="82"/>
        <v>Error?</v>
      </c>
    </row>
    <row r="5327" spans="1:5" x14ac:dyDescent="0.2">
      <c r="A5327" s="5">
        <v>5266</v>
      </c>
      <c r="B5327" s="1832">
        <f>'Revenues 9-14'!C268</f>
        <v>322657</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41889</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0.52432033244880594</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81650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280768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61330</v>
      </c>
      <c r="D7834" s="2" t="str">
        <f t="shared" si="129"/>
        <v>Error?</v>
      </c>
      <c r="E7834" s="4" t="s">
        <v>1998</v>
      </c>
    </row>
    <row r="7835" spans="1:5" x14ac:dyDescent="0.2">
      <c r="A7835">
        <v>7774</v>
      </c>
      <c r="B7835" s="1832">
        <f>'PCTC-OEPP 27-28'!F78</f>
        <v>219438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500</v>
      </c>
      <c r="D7839" s="2" t="str">
        <f t="shared" si="129"/>
        <v>Error?</v>
      </c>
      <c r="E7839" s="4" t="s">
        <v>1998</v>
      </c>
    </row>
    <row r="7840" spans="1:5" x14ac:dyDescent="0.2">
      <c r="A7840">
        <v>7779</v>
      </c>
      <c r="B7840" s="1832">
        <f>'PCTC-OEPP 27-28'!F103</f>
        <v>7171</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234007</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80934</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322612</v>
      </c>
      <c r="D7877" s="2" t="str">
        <f t="shared" si="129"/>
        <v>Error?</v>
      </c>
      <c r="E7877" s="4" t="s">
        <v>1998</v>
      </c>
    </row>
    <row r="7878" spans="1:5" x14ac:dyDescent="0.2">
      <c r="A7878">
        <v>7817</v>
      </c>
      <c r="B7878" s="1832">
        <f>'PCTC-OEPP 27-28'!F176</f>
        <v>-103174</v>
      </c>
      <c r="D7878" s="2" t="str">
        <f t="shared" si="129"/>
        <v>Error?</v>
      </c>
      <c r="E7878" s="4" t="s">
        <v>1998</v>
      </c>
    </row>
    <row r="7879" spans="1:5" x14ac:dyDescent="0.2">
      <c r="A7879">
        <v>7818</v>
      </c>
      <c r="B7879" s="1832">
        <f>'PCTC-OEPP 27-28'!F178</f>
        <v>-21524</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Two Rivers Career Educ System</v>
      </c>
      <c r="B7" s="2516"/>
      <c r="C7" s="2516"/>
      <c r="D7" s="2554"/>
      <c r="E7" s="2555">
        <f>COVER!A13</f>
        <v>1009700045</v>
      </c>
      <c r="F7" s="2556"/>
      <c r="G7" s="2522" t="str">
        <f>COVER!T23</f>
        <v>060-004845</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Pehlman and Dold, P.C.</v>
      </c>
      <c r="H9" s="2529"/>
      <c r="I9" s="2529"/>
      <c r="J9" s="2529"/>
      <c r="K9" s="2529"/>
      <c r="L9" s="2530"/>
    </row>
    <row r="10" spans="1:29" ht="13.5" customHeight="1" x14ac:dyDescent="0.2">
      <c r="A10" s="2512" t="str">
        <f>COVER!A38</f>
        <v>Reggie Clinton, Director</v>
      </c>
      <c r="B10" s="2513"/>
      <c r="C10" s="2513"/>
      <c r="D10" s="2513"/>
      <c r="E10" s="2513"/>
      <c r="F10" s="2514"/>
      <c r="G10" s="2528" t="str">
        <f>COVER!T17</f>
        <v>100 North Amos Avenue</v>
      </c>
      <c r="H10" s="2541"/>
      <c r="I10" s="2541"/>
      <c r="J10" s="2541"/>
      <c r="K10" s="2541"/>
      <c r="L10" s="2542"/>
    </row>
    <row r="11" spans="1:29" ht="13.5" customHeight="1" x14ac:dyDescent="0.2">
      <c r="A11" s="963" t="s">
        <v>1502</v>
      </c>
      <c r="B11" s="964"/>
      <c r="C11" s="965"/>
      <c r="D11" s="970"/>
      <c r="E11" s="965"/>
      <c r="F11" s="969"/>
      <c r="G11" s="2528" t="str">
        <f>COVER!T19</f>
        <v>Springfield</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jnichols@p-dcpas.com</v>
      </c>
      <c r="J13" s="2550"/>
      <c r="K13" s="2550"/>
      <c r="L13" s="2551"/>
    </row>
    <row r="14" spans="1:29" ht="13.5" customHeight="1" x14ac:dyDescent="0.2">
      <c r="A14" s="2528" t="str">
        <f>COVER!A19</f>
        <v>651 S. Morgan Street Room 119</v>
      </c>
      <c r="B14" s="2541"/>
      <c r="C14" s="2541"/>
      <c r="D14" s="2541"/>
      <c r="E14" s="2541"/>
      <c r="F14" s="2542"/>
      <c r="G14" s="974" t="s">
        <v>1175</v>
      </c>
      <c r="H14" s="972"/>
      <c r="I14" s="972"/>
      <c r="J14" s="972"/>
      <c r="K14" s="972"/>
      <c r="L14" s="973"/>
    </row>
    <row r="15" spans="1:29" ht="13.5" customHeight="1" x14ac:dyDescent="0.2">
      <c r="A15" s="2528" t="str">
        <f>COVER!A21</f>
        <v>Virginia, IL</v>
      </c>
      <c r="B15" s="2541"/>
      <c r="C15" s="2541"/>
      <c r="D15" s="2541"/>
      <c r="E15" s="2541"/>
      <c r="F15" s="2542"/>
      <c r="G15" s="2538" t="str">
        <f>COVER!T15</f>
        <v>Jamie Nichols</v>
      </c>
      <c r="H15" s="2539"/>
      <c r="I15" s="2539"/>
      <c r="J15" s="2539"/>
      <c r="K15" s="2539"/>
      <c r="L15" s="2540"/>
    </row>
    <row r="16" spans="1:29" ht="12.2" customHeight="1" x14ac:dyDescent="0.2">
      <c r="A16" s="2518">
        <f>COVER!A25</f>
        <v>62691</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(217) 787-0563</v>
      </c>
      <c r="H18" s="2516"/>
      <c r="I18" s="2516"/>
      <c r="J18" s="2516"/>
      <c r="K18" s="2515" t="str">
        <f>COVER!X21</f>
        <v>(217) 787-9266</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I39" sqref="I3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Two Rivers Career Educ System</v>
      </c>
      <c r="B1" s="2558"/>
      <c r="C1" s="2558"/>
      <c r="D1" s="2558"/>
    </row>
    <row r="2" spans="1:11" s="991" customFormat="1" ht="12.75" x14ac:dyDescent="0.2">
      <c r="A2" s="2559">
        <f>'Single Audit Cover'!E7</f>
        <v>1009700045</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Two Rivers Career Educ System</v>
      </c>
      <c r="B1" s="2562"/>
      <c r="C1" s="2562"/>
      <c r="D1" s="2562"/>
      <c r="E1" s="2562"/>
    </row>
    <row r="2" spans="1:5" x14ac:dyDescent="0.2">
      <c r="A2" s="2563">
        <f>'Single Audit Cover'!E7</f>
        <v>1009700045</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80934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80934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80934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80934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E12" sqref="E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Two Rivers Career Educ System</v>
      </c>
      <c r="C1" s="2566"/>
      <c r="D1" s="2566"/>
      <c r="E1" s="2566"/>
      <c r="F1" s="2566"/>
      <c r="G1" s="2566"/>
      <c r="H1" s="2566"/>
      <c r="I1" s="2566"/>
      <c r="J1" s="2566"/>
      <c r="K1" s="2566"/>
      <c r="L1" s="2566"/>
      <c r="M1" s="2566"/>
    </row>
    <row r="2" spans="2:14" ht="15" x14ac:dyDescent="0.2">
      <c r="B2" s="2567">
        <f>'Single Audit Cover'!E7</f>
        <v>1009700045</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15" sqref="C15"/>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Two Rivers Career Educ System</v>
      </c>
      <c r="B1" s="2571"/>
      <c r="C1" s="2571"/>
      <c r="D1" s="2571"/>
      <c r="E1" s="2571"/>
      <c r="F1" s="2571"/>
    </row>
    <row r="2" spans="1:7" ht="13.5" customHeight="1" x14ac:dyDescent="0.2">
      <c r="A2" s="2567">
        <f>'Single Audit Cover'!E7</f>
        <v>1009700045</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5"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2067</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2068</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1" zoomScale="110" zoomScaleNormal="110" workbookViewId="0">
      <selection activeCell="B40" sqref="B40"/>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Two Rivers Career Educ System</v>
      </c>
      <c r="C1" s="2587"/>
      <c r="D1" s="2587"/>
      <c r="E1" s="2587"/>
      <c r="F1" s="2587"/>
      <c r="G1" s="2587"/>
      <c r="H1" s="2587"/>
      <c r="I1" s="2587"/>
      <c r="J1" s="1178"/>
    </row>
    <row r="2" spans="2:10" s="295" customFormat="1" ht="12.75" customHeight="1" x14ac:dyDescent="0.2">
      <c r="B2" s="2588">
        <f>'Single Audit Cover'!E7</f>
        <v>1009700045</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R23" sqref="R2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Two Rivers Career Educ System</v>
      </c>
      <c r="C1" s="2586"/>
      <c r="D1" s="2586"/>
      <c r="E1" s="2586"/>
      <c r="F1" s="2586"/>
      <c r="G1" s="2586"/>
      <c r="H1" s="2586"/>
      <c r="I1" s="2586"/>
      <c r="J1" s="2586"/>
      <c r="K1" s="2586"/>
      <c r="L1" s="1144"/>
      <c r="M1" s="1144"/>
    </row>
    <row r="2" spans="1:13" ht="12" customHeight="1" x14ac:dyDescent="0.2">
      <c r="B2" s="2588">
        <f>'Single Audit Cover'!E7</f>
        <v>1009700045</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J19" sqref="J1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Two Rivers Career Educ System</v>
      </c>
      <c r="C1" s="2613"/>
      <c r="D1" s="2613"/>
      <c r="E1" s="2613"/>
      <c r="F1" s="2613"/>
      <c r="G1" s="2613"/>
      <c r="H1" s="2613"/>
      <c r="I1" s="2613"/>
      <c r="J1" s="2613"/>
      <c r="K1" s="2613"/>
      <c r="L1" s="1221"/>
    </row>
    <row r="2" spans="1:12" ht="12.75" customHeight="1" x14ac:dyDescent="0.2">
      <c r="B2" s="2614">
        <f>'Single Audit Cover'!E7</f>
        <v>1009700045</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19" sqref="B1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Two Rivers Career Educ System</v>
      </c>
      <c r="C1" s="2586"/>
      <c r="D1" s="2586"/>
      <c r="E1" s="1240"/>
    </row>
    <row r="2" spans="2:5" s="1058" customFormat="1" ht="12.75" customHeight="1" x14ac:dyDescent="0.2">
      <c r="B2" s="2588">
        <f>'Single Audit Cover'!E7</f>
        <v>1009700045</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F10" sqref="F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322657</v>
      </c>
      <c r="E16" s="1547"/>
      <c r="F16" s="1546">
        <f>SUM('Acct Summary 7-8'!C17,'Acct Summary 7-8'!D17,'Acct Summary 7-8'!F17)</f>
        <v>280768</v>
      </c>
      <c r="G16" s="1547"/>
      <c r="H16" s="1546">
        <f>SUM(D16-F16)</f>
        <v>41889</v>
      </c>
      <c r="I16" s="1548"/>
      <c r="J16" s="1546">
        <f>SUM('Acct Summary 7-8'!C81,'Acct Summary 7-8'!D81,'Acct Summary 7-8'!F81,'Acct Summary 7-8'!I81)</f>
        <v>79892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18" sqref="F1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Two Rivers Career Educ System</v>
      </c>
      <c r="E7" s="368"/>
      <c r="G7" s="247"/>
      <c r="H7" s="364"/>
      <c r="I7" s="364"/>
      <c r="J7" s="364"/>
      <c r="K7" s="364"/>
      <c r="L7" s="307"/>
      <c r="M7" s="307"/>
      <c r="N7" s="307"/>
      <c r="O7" s="307"/>
      <c r="P7" s="307"/>
    </row>
    <row r="8" spans="1:18" ht="12.75" x14ac:dyDescent="0.2">
      <c r="A8" s="307"/>
      <c r="B8" s="307"/>
      <c r="C8" s="366" t="s">
        <v>1115</v>
      </c>
      <c r="D8" s="369">
        <f>COVER!A13</f>
        <v>1009700045</v>
      </c>
      <c r="E8" s="370"/>
      <c r="G8" s="307"/>
      <c r="H8" s="307"/>
      <c r="I8" s="307"/>
      <c r="J8" s="307"/>
      <c r="K8" s="307"/>
      <c r="L8" s="307"/>
      <c r="M8" s="307"/>
      <c r="N8" s="307"/>
      <c r="O8" s="307"/>
      <c r="P8" s="307"/>
    </row>
    <row r="9" spans="1:18" ht="12.75" x14ac:dyDescent="0.2">
      <c r="A9" s="307"/>
      <c r="B9" s="307"/>
      <c r="C9" s="366" t="s">
        <v>708</v>
      </c>
      <c r="D9" s="371" t="str">
        <f>COVER!A15</f>
        <v>Brown/Cass/Morgan/Scott/Schuyler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79892</v>
      </c>
      <c r="I12" s="380"/>
      <c r="J12" s="380"/>
      <c r="K12" s="1559">
        <f>TRUNC((H12/H13*100000),5)/100000</f>
        <v>0.2476065915</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322657</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280768</v>
      </c>
      <c r="I17" s="380"/>
      <c r="J17" s="389"/>
      <c r="K17" s="1559">
        <f>TRUNC((H17/H18*100000),5)/100000</f>
        <v>0.87017482959999992</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322657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81626</v>
      </c>
      <c r="I24" s="394"/>
      <c r="J24" s="394"/>
      <c r="K24" s="1555">
        <f>TRUNC(((H24/H25*100000)/100000),2)</f>
        <v>104.66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779.91111000000001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pane="bottomLeft" activeCell="I48" sqref="I4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81626</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81626</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953561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953561</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1734</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1734</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452</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79440</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953561</v>
      </c>
      <c r="N40" s="1604"/>
    </row>
    <row r="41" spans="1:14" ht="13.5" customHeight="1" thickBot="1" x14ac:dyDescent="0.25">
      <c r="A41" s="1426" t="s">
        <v>650</v>
      </c>
      <c r="B41" s="1405"/>
      <c r="C41" s="1594">
        <f>(SUM(C34,C37,C38,C39))</f>
        <v>81626</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953561</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7716</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234007</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80934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322657</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c r="D9" s="1613"/>
      <c r="E9" s="1586"/>
      <c r="F9" s="1586"/>
      <c r="G9" s="1614"/>
      <c r="H9" s="1586"/>
      <c r="I9" s="1609" t="s">
        <v>1159</v>
      </c>
      <c r="J9" s="1583"/>
      <c r="K9" s="1586"/>
      <c r="L9" s="325"/>
    </row>
    <row r="10" spans="1:13" s="452" customFormat="1" ht="13.5" thickBot="1" x14ac:dyDescent="0.25">
      <c r="A10" s="1426" t="s">
        <v>1163</v>
      </c>
      <c r="B10" s="1407"/>
      <c r="C10" s="1594">
        <f>SUM(C8:C9)</f>
        <v>322657</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176389</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104379</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280768</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280768</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41889</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41889</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38003</v>
      </c>
      <c r="D79" s="1630"/>
      <c r="E79" s="1630"/>
      <c r="F79" s="1630"/>
      <c r="G79" s="1630"/>
      <c r="H79" s="1630"/>
      <c r="I79" s="1630"/>
      <c r="J79" s="1630"/>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79892</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41889</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0.52432033244880594</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1"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45</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45</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500</v>
      </c>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7171</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7671</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7716</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234007</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234007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234007</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234007</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80934</v>
      </c>
      <c r="D220" s="1573"/>
      <c r="E220" s="1575"/>
      <c r="F220" s="1575"/>
      <c r="G220" s="1573"/>
      <c r="H220" s="1575"/>
      <c r="I220" s="1575"/>
      <c r="J220" s="1575"/>
      <c r="K220" s="1575"/>
    </row>
    <row r="221" spans="1:11" ht="12.75" customHeight="1" thickBot="1" x14ac:dyDescent="0.25">
      <c r="A221" s="1415" t="s">
        <v>1076</v>
      </c>
      <c r="B221" s="1416"/>
      <c r="C221" s="1633">
        <f>SUM(C219:C220)</f>
        <v>80934</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80934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80934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322657</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C50" sqref="C5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v>51500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v>26333</v>
      </c>
      <c r="F13" s="1573">
        <v>88726</v>
      </c>
      <c r="G13" s="1573">
        <v>61330</v>
      </c>
      <c r="H13" s="1573"/>
      <c r="I13" s="1574"/>
      <c r="J13" s="1574"/>
      <c r="K13" s="1672">
        <f t="shared" si="0"/>
        <v>176389</v>
      </c>
      <c r="L13" s="1573">
        <v>169000</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0</v>
      </c>
      <c r="D33" s="1674">
        <f t="shared" ref="D33:L33" si="1">SUM(D5:D32)</f>
        <v>0</v>
      </c>
      <c r="E33" s="1674">
        <f t="shared" si="1"/>
        <v>26333</v>
      </c>
      <c r="F33" s="1674">
        <f t="shared" si="1"/>
        <v>88726</v>
      </c>
      <c r="G33" s="1674">
        <f t="shared" si="1"/>
        <v>61330</v>
      </c>
      <c r="H33" s="1674">
        <f t="shared" si="1"/>
        <v>0</v>
      </c>
      <c r="I33" s="1674">
        <f t="shared" si="1"/>
        <v>0</v>
      </c>
      <c r="J33" s="1674">
        <f t="shared" si="1"/>
        <v>0</v>
      </c>
      <c r="K33" s="1674">
        <f t="shared" si="1"/>
        <v>176389</v>
      </c>
      <c r="L33" s="1674">
        <f t="shared" si="1"/>
        <v>220500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3414</v>
      </c>
      <c r="D37" s="1573"/>
      <c r="E37" s="1573"/>
      <c r="F37" s="1573"/>
      <c r="G37" s="1573"/>
      <c r="H37" s="1573"/>
      <c r="I37" s="1574"/>
      <c r="J37" s="1574"/>
      <c r="K37" s="1672">
        <f t="shared" si="2"/>
        <v>3414</v>
      </c>
      <c r="L37" s="1573">
        <v>7000</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3414</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3414</v>
      </c>
      <c r="L42" s="1674">
        <f t="shared" si="3"/>
        <v>7000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26033</v>
      </c>
      <c r="D44" s="1586">
        <v>5293</v>
      </c>
      <c r="E44" s="1586">
        <v>1873</v>
      </c>
      <c r="F44" s="1586">
        <v>995</v>
      </c>
      <c r="G44" s="1586"/>
      <c r="H44" s="1586"/>
      <c r="I44" s="1574"/>
      <c r="J44" s="1574"/>
      <c r="K44" s="1678">
        <f>SUM(C44:J44)</f>
        <v>34194</v>
      </c>
      <c r="L44" s="1586">
        <v>35850</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26033</v>
      </c>
      <c r="D47" s="1674">
        <f t="shared" ref="D47:K47" si="4">SUM(D44:D46)</f>
        <v>5293</v>
      </c>
      <c r="E47" s="1674">
        <f t="shared" si="4"/>
        <v>1873</v>
      </c>
      <c r="F47" s="1674">
        <f t="shared" si="4"/>
        <v>995</v>
      </c>
      <c r="G47" s="1674">
        <f t="shared" si="4"/>
        <v>0</v>
      </c>
      <c r="H47" s="1674">
        <f t="shared" si="4"/>
        <v>0</v>
      </c>
      <c r="I47" s="1674">
        <f t="shared" si="4"/>
        <v>0</v>
      </c>
      <c r="J47" s="1674">
        <f t="shared" si="4"/>
        <v>0</v>
      </c>
      <c r="K47" s="1674">
        <f t="shared" si="4"/>
        <v>34194</v>
      </c>
      <c r="L47" s="1674">
        <f>SUM(L44:L46)</f>
        <v>35850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v>40745</v>
      </c>
      <c r="D50" s="1573">
        <v>9447</v>
      </c>
      <c r="E50" s="1573">
        <f>8879-364-595</f>
        <v>7920</v>
      </c>
      <c r="F50" s="1573">
        <v>1002</v>
      </c>
      <c r="G50" s="1573"/>
      <c r="H50" s="1573"/>
      <c r="I50" s="1574"/>
      <c r="J50" s="1574"/>
      <c r="K50" s="1678">
        <f>SUM(C50:J50)</f>
        <v>59114</v>
      </c>
      <c r="L50" s="1573">
        <v>67200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40745</v>
      </c>
      <c r="D53" s="1674">
        <f t="shared" ref="D53:L53" si="5">SUM(D49:D52)</f>
        <v>9447</v>
      </c>
      <c r="E53" s="1674">
        <f t="shared" si="5"/>
        <v>7920</v>
      </c>
      <c r="F53" s="1674">
        <f t="shared" si="5"/>
        <v>1002</v>
      </c>
      <c r="G53" s="1674">
        <f t="shared" si="5"/>
        <v>0</v>
      </c>
      <c r="H53" s="1674">
        <f t="shared" si="5"/>
        <v>0</v>
      </c>
      <c r="I53" s="1674">
        <f t="shared" si="5"/>
        <v>0</v>
      </c>
      <c r="J53" s="1674">
        <f t="shared" si="5"/>
        <v>0</v>
      </c>
      <c r="K53" s="1674">
        <f t="shared" si="5"/>
        <v>59114</v>
      </c>
      <c r="L53" s="1674">
        <f t="shared" si="5"/>
        <v>67200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7657</v>
      </c>
      <c r="F60" s="1573"/>
      <c r="G60" s="1573"/>
      <c r="H60" s="1573"/>
      <c r="I60" s="1574"/>
      <c r="J60" s="1574"/>
      <c r="K60" s="1678">
        <f t="shared" si="7"/>
        <v>7657</v>
      </c>
      <c r="L60" s="1573">
        <v>8000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7657</v>
      </c>
      <c r="F65" s="1674">
        <f t="shared" si="8"/>
        <v>0</v>
      </c>
      <c r="G65" s="1674">
        <f t="shared" si="8"/>
        <v>0</v>
      </c>
      <c r="H65" s="1674">
        <f t="shared" si="8"/>
        <v>0</v>
      </c>
      <c r="I65" s="1674">
        <f t="shared" si="8"/>
        <v>0</v>
      </c>
      <c r="J65" s="1674">
        <f t="shared" si="8"/>
        <v>0</v>
      </c>
      <c r="K65" s="1674">
        <f t="shared" si="8"/>
        <v>7657</v>
      </c>
      <c r="L65" s="1674">
        <f t="shared" si="8"/>
        <v>8000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70192</v>
      </c>
      <c r="D74" s="1681">
        <f t="shared" ref="D74:K74" si="10">SUM(D42,D47,D53,D57,D65,D72,D73)</f>
        <v>14740</v>
      </c>
      <c r="E74" s="1681">
        <f t="shared" si="10"/>
        <v>17450</v>
      </c>
      <c r="F74" s="1681">
        <f t="shared" si="10"/>
        <v>1997</v>
      </c>
      <c r="G74" s="1681">
        <f t="shared" si="10"/>
        <v>0</v>
      </c>
      <c r="H74" s="1681">
        <f t="shared" si="10"/>
        <v>0</v>
      </c>
      <c r="I74" s="1681">
        <f t="shared" si="10"/>
        <v>0</v>
      </c>
      <c r="J74" s="1681">
        <f t="shared" si="10"/>
        <v>0</v>
      </c>
      <c r="K74" s="1681">
        <f t="shared" si="10"/>
        <v>104379</v>
      </c>
      <c r="L74" s="1681">
        <f>SUM(L42,L47,L53,L57,L65,L72,L73)</f>
        <v>118050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0</v>
      </c>
      <c r="I102" s="1582"/>
      <c r="J102" s="1582"/>
      <c r="K102" s="1681">
        <f>SUM(K84,K92,K100,K101)</f>
        <v>0</v>
      </c>
      <c r="L102" s="1681">
        <f>SUM(L84,L92,L100,L101)</f>
        <v>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70192</v>
      </c>
      <c r="D114" s="1674">
        <f t="shared" ref="D114:K114" si="13">SUM(D33,D74,D75,D102,D112,D113)</f>
        <v>14740</v>
      </c>
      <c r="E114" s="1674">
        <f t="shared" si="13"/>
        <v>43783</v>
      </c>
      <c r="F114" s="1674">
        <f t="shared" si="13"/>
        <v>90723</v>
      </c>
      <c r="G114" s="1674">
        <f t="shared" si="13"/>
        <v>61330</v>
      </c>
      <c r="H114" s="1674">
        <f>SUM(H33,H74,H75,H102,H112,H113)</f>
        <v>0</v>
      </c>
      <c r="I114" s="1674">
        <f t="shared" si="13"/>
        <v>0</v>
      </c>
      <c r="J114" s="1674">
        <f t="shared" si="13"/>
        <v>0</v>
      </c>
      <c r="K114" s="1674">
        <f t="shared" si="13"/>
        <v>280768</v>
      </c>
      <c r="L114" s="1674">
        <f>SUM(L33,L74,L75,L102,L112,L113)</f>
        <v>338550</v>
      </c>
    </row>
    <row r="115" spans="1:14" ht="13.5" thickTop="1" x14ac:dyDescent="0.2">
      <c r="A115" s="2261" t="s">
        <v>989</v>
      </c>
      <c r="B115" s="2262"/>
      <c r="C115" s="1675"/>
      <c r="D115" s="1675"/>
      <c r="E115" s="1675"/>
      <c r="F115" s="1675"/>
      <c r="G115" s="1675"/>
      <c r="H115" s="1675"/>
      <c r="I115" s="1675"/>
      <c r="J115" s="1675"/>
      <c r="K115" s="1689">
        <f>'Revenues 9-14'!C268-'Expenditures 15-22'!K114</f>
        <v>41889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1" t="s">
        <v>989</v>
      </c>
      <c r="B211" s="2262"/>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1" t="s">
        <v>989</v>
      </c>
      <c r="B296" s="2262"/>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4d435f69-8686-490b-bd6d-b153bf22ab50"/>
    <ds:schemaRef ds:uri="http://purl.org/dc/elements/1.1/"/>
    <ds:schemaRef ds:uri="d21dc803-237d-4c68-8692-8d731fd29118"/>
    <ds:schemaRef ds:uri="6ce3111e-7420-4802-b50a-75d4e9a0b980"/>
    <ds:schemaRef ds:uri="http://schemas.microsoft.com/sharepoint/v3"/>
    <ds:schemaRef ds:uri="http://www.w3.org/XML/1998/namespac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2020-11-20T17:01:49Z</cp:lastPrinted>
  <dcterms:created xsi:type="dcterms:W3CDTF">2003-10-29T19:06:34Z</dcterms:created>
  <dcterms:modified xsi:type="dcterms:W3CDTF">2020-12-03T00:12:54Z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