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664975E-0F94-418C-AAC7-E8DDF5AB7510}" xr6:coauthVersionLast="36" xr6:coauthVersionMax="36" xr10:uidLastSave="{00000000-0000-0000-0000-000000000000}"/>
  <bookViews>
    <workbookView xWindow="0" yWindow="0" windowWidth="28800" windowHeight="1161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D7883" i="106" s="1"/>
  <c r="B7882" i="106"/>
  <c r="D7882" i="106" s="1"/>
  <c r="D7884"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D24" i="37"/>
  <c r="B4270" i="106" s="1"/>
  <c r="D4270" i="106" s="1"/>
  <c r="H28" i="118" l="1"/>
  <c r="H76" i="4"/>
  <c r="B3298" i="106" s="1"/>
  <c r="D3298" i="106" s="1"/>
  <c r="J129" i="29"/>
  <c r="B7038" i="106" s="1"/>
  <c r="D7038" i="106" s="1"/>
  <c r="I129" i="29"/>
  <c r="B7037" i="106" s="1"/>
  <c r="D7037" i="106" s="1"/>
  <c r="F36" i="108"/>
  <c r="B7074" i="106"/>
  <c r="D7074" i="106" s="1"/>
  <c r="F64" i="34"/>
  <c r="F50" i="34"/>
  <c r="G30" i="108"/>
  <c r="D69" i="36"/>
  <c r="B7047" i="106"/>
  <c r="D7047" i="106" s="1"/>
  <c r="F37" i="34"/>
  <c r="B7829" i="106" s="1"/>
  <c r="D7829" i="106" s="1"/>
  <c r="G26" i="108"/>
  <c r="L22" i="37"/>
  <c r="F34" i="34"/>
  <c r="B7826" i="106" s="1"/>
  <c r="D7826" i="106" s="1"/>
  <c r="H33" i="118"/>
  <c r="C129" i="29"/>
  <c r="B1225" i="106" s="1"/>
  <c r="D1225" i="106" s="1"/>
  <c r="H15" i="184"/>
  <c r="B1274" i="106"/>
  <c r="D1274" i="106" s="1"/>
  <c r="F42" i="34"/>
  <c r="F36" i="34"/>
  <c r="B7828" i="106" s="1"/>
  <c r="D7828" i="106" s="1"/>
  <c r="C342" i="29"/>
  <c r="B7216" i="106" s="1"/>
  <c r="D7216"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B7705" i="106"/>
  <c r="D7705" i="106" s="1"/>
  <c r="E67" i="184"/>
  <c r="N67" i="184" s="1"/>
  <c r="B7180" i="106"/>
  <c r="D7180" i="106" s="1"/>
  <c r="E63" i="184"/>
  <c r="N63" i="184" s="1"/>
  <c r="J210" i="29"/>
  <c r="B7072" i="106" s="1"/>
  <c r="D7072" i="106" s="1"/>
  <c r="D31" i="108"/>
  <c r="E16" i="184"/>
  <c r="H16" i="184" s="1"/>
  <c r="H12" i="184"/>
  <c r="B7696" i="106"/>
  <c r="D7696" i="106" s="1"/>
  <c r="E66" i="184"/>
  <c r="N66" i="184" s="1"/>
  <c r="B7171" i="106"/>
  <c r="D7171" i="106" s="1"/>
  <c r="E62" i="184"/>
  <c r="N62" i="184" s="1"/>
  <c r="B7135" i="106"/>
  <c r="D7135" i="106" s="1"/>
  <c r="E58" i="184"/>
  <c r="N58" i="184" s="1"/>
  <c r="G33" i="108"/>
  <c r="E17" i="184"/>
  <c r="H17" i="184" s="1"/>
  <c r="B7824" i="106"/>
  <c r="H342" i="29"/>
  <c r="B7221" i="106" s="1"/>
  <c r="D7221" i="106" s="1"/>
  <c r="I210" i="29"/>
  <c r="B7071" i="106" s="1"/>
  <c r="D7071" i="106" s="1"/>
  <c r="H365" i="29"/>
  <c r="B7242" i="106" s="1"/>
  <c r="D7242" i="106" s="1"/>
  <c r="C352" i="29"/>
  <c r="B3621" i="106" s="1"/>
  <c r="D3621"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C151" i="29" l="1"/>
  <c r="B1226" i="106" s="1"/>
  <c r="D1226" i="106" s="1"/>
  <c r="K365" i="29"/>
  <c r="I7" i="4"/>
  <c r="B4444" i="106" s="1"/>
  <c r="D4444" i="106" s="1"/>
  <c r="C367" i="29"/>
  <c r="B3622" i="106" s="1"/>
  <c r="D3622" i="106" s="1"/>
  <c r="F41" i="108"/>
  <c r="G43" i="108" s="1"/>
  <c r="B5527" i="106"/>
  <c r="D5527" i="106" s="1"/>
  <c r="B7215" i="106"/>
  <c r="D7215" i="106" s="1"/>
  <c r="B5770" i="106"/>
  <c r="D5770" i="106" s="1"/>
  <c r="N23" i="3"/>
  <c r="B284" i="106" s="1"/>
  <c r="D284" i="106" s="1"/>
  <c r="K77" i="4"/>
  <c r="B3587" i="106" s="1"/>
  <c r="D3587" i="106" s="1"/>
  <c r="B7222" i="106"/>
  <c r="D7222" i="106" s="1"/>
  <c r="F76" i="34"/>
  <c r="B7887" i="106" s="1"/>
  <c r="D7887" i="106" s="1"/>
  <c r="E19" i="184"/>
  <c r="B7220" i="106"/>
  <c r="D7220" i="106" s="1"/>
  <c r="F75" i="34"/>
  <c r="B7886" i="106" s="1"/>
  <c r="D7886" i="106" s="1"/>
  <c r="H19" i="184"/>
  <c r="L20" i="184" s="1"/>
  <c r="N57" i="184"/>
  <c r="N68" i="184" s="1"/>
  <c r="E68" i="184"/>
  <c r="E367" i="29"/>
  <c r="B3635" i="106"/>
  <c r="B7235" i="106"/>
  <c r="D7235" i="106" s="1"/>
  <c r="B6216" i="106"/>
  <c r="D6216" i="106" s="1"/>
  <c r="D44" i="36"/>
  <c r="L16" i="11"/>
  <c r="B2061" i="106" s="1"/>
  <c r="D2061" i="106" s="1"/>
  <c r="L114" i="29"/>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B3575" i="106" s="1"/>
  <c r="D3575" i="106" s="1"/>
  <c r="B6223" i="106"/>
  <c r="D6223" i="106" s="1"/>
  <c r="F77" i="34"/>
  <c r="B7834" i="106" s="1"/>
  <c r="D7834" i="106" s="1"/>
  <c r="J20" i="4"/>
  <c r="B6230" i="106" s="1"/>
  <c r="D6230" i="106" s="1"/>
  <c r="B6227" i="106"/>
  <c r="D6227"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D81" i="4"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<sst xmlns="http://schemas.openxmlformats.org/spreadsheetml/2006/main" count="5139" uniqueCount="2077">
  <si>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</si>
  <si>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</si>
  <si>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</si>
  <si>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</si>
  <si>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</si>
  <si>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</si>
  <si>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</si>
  <si>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</si>
  <si>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</si>
  <si>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</si>
  <si>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</si>
  <si>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</si>
  <si>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</si>
  <si>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</si>
  <si>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</si>
  <si>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</si>
  <si>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</si>
  <si>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</si>
  <si>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</si>
  <si>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</si>
  <si>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</si>
  <si>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</si>
  <si>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</si>
  <si>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</si>
  <si>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</si>
  <si>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</si>
  <si>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</si>
  <si>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</si>
  <si>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</si>
  <si>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</si>
  <si>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</si>
  <si>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</si>
  <si>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</si>
  <si>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</si>
  <si>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</si>
  <si>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</si>
  <si>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</si>
  <si>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</si>
  <si>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</si>
  <si>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</si>
  <si>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</si>
  <si>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</si>
  <si>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</si>
  <si>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</si>
  <si>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</si>
  <si>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</si>
  <si>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</si>
  <si>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</si>
  <si>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</si>
  <si>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</si>
  <si>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</si>
  <si>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</si>
  <si>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</si>
  <si>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</si>
  <si>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</si>
  <si>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</si>
  <si>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</si>
  <si>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</si>
  <si>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</si>
  <si>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</si>
  <si>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</si>
  <si>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</si>
  <si>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</si>
  <si>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</si>
  <si>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</si>
  <si>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</si>
  <si>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</si>
  <si>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</si>
  <si>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</si>
  <si>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</si>
  <si>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</si>
  <si>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</si>
  <si>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</si>
  <si>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</si>
  <si>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</si>
  <si>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</si>
  <si>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</si>
  <si>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</si>
  <si>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</si>
  <si>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</si>
  <si>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</si>
  <si>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</si>
  <si>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</si>
  <si>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</si>
  <si>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</si>
  <si>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</si>
  <si>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</si>
  <si>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</si>
  <si>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</si>
  <si>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</si>
  <si>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</si>
  <si>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</si>
  <si>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</si>
  <si>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</si>
  <si>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</si>
  <si>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</si>
  <si>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</si>
  <si>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</si>
  <si>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</si>
  <si>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</si>
  <si>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</si>
  <si>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</si>
  <si>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</si>
  <si>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</si>
  <si>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</si>
  <si>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</si>
  <si>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</si>
  <si>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</si>
  <si>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</si>
  <si>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</si>
  <si>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</si>
  <si>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</si>
  <si>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</si>
  <si>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</si>
  <si>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</si>
  <si>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</si>
  <si>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</si>
  <si>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</si>
  <si>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</si>
  <si>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</si>
  <si>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</si>
  <si>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</si>
  <si>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</si>
  <si>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</si>
  <si>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</si>
  <si>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</si>
  <si>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</si>
  <si>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</si>
  <si>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</si>
  <si>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</si>
  <si>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</si>
  <si>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</si>
  <si>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</si>
  <si>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</si>
  <si>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</si>
  <si>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</si>
  <si>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</si>
  <si>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</si>
  <si>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</si>
  <si>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</si>
  <si>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</si>
  <si>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</si>
  <si>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</si>
  <si>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</si>
  <si>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</si>
  <si>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</si>
  <si>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</si>
  <si>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</si>
  <si>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</si>
  <si>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</si>
  <si>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</si>
  <si>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</si>
  <si>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</si>
  <si>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</si>
  <si>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</si>
  <si>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</si>
  <si>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</si>
  <si>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</si>
  <si>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</si>
  <si>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</si>
  <si>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</si>
  <si>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</si>
  <si>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</si>
  <si>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</si>
  <si>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</si>
  <si>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</si>
  <si>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</si>
  <si>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</si>
  <si>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</si>
  <si>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</si>
  <si>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</si>
  <si>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</si>
  <si>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</si>
  <si>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</si>
  <si>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</si>
  <si>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</si>
  <si>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</si>
  <si>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</si>
  <si>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</si>
  <si>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</si>
  <si>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</si>
  <si>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</si>
  <si>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</si>
  <si>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</si>
  <si>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</si>
  <si>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</si>
  <si>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</si>
  <si>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</si>
  <si>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</si>
  <si>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</si>
  <si>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</si>
  <si>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</si>
  <si>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</si>
  <si>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</si>
  <si>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</si>
  <si>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</si>
  <si>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</si>
  <si>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</si>
  <si>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</si>
  <si>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</si>
  <si>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</si>
  <si>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</si>
  <si>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</si>
  <si>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</si>
  <si>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</si>
  <si>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</si>
  <si>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</si>
  <si>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</si>
  <si>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</si>
  <si>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</si>
  <si>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</si>
  <si>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</si>
  <si>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</si>
  <si>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</si>
  <si>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</si>
  <si>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</si>
  <si>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</si>
  <si>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</si>
  <si>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</si>
  <si>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</si>
  <si>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</si>
  <si>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</si>
  <si>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</si>
  <si>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</si>
  <si>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</si>
  <si>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</si>
  <si>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</si>
  <si>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</si>
  <si>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</si>
  <si>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</si>
  <si>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</si>
  <si>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</si>
  <si>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</si>
  <si>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</si>
  <si>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</si>
  <si>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</si>
  <si>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</si>
  <si>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</si>
  <si>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</si>
  <si>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</si>
  <si>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</si>
  <si>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</si>
  <si>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</si>
  <si>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</si>
  <si>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</si>
  <si>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</si>
  <si>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</si>
  <si>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</si>
  <si>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</si>
  <si>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</si>
  <si>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</si>
  <si>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</si>
  <si>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</si>
  <si>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</si>
  <si>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</si>
  <si>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</si>
  <si>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</si>
  <si>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</si>
  <si>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</si>
  <si>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</si>
  <si>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</si>
  <si>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</si>
  <si>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</si>
  <si>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</si>
  <si>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</si>
  <si>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</si>
  <si>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</si>
  <si>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</si>
  <si>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</si>
  <si>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</si>
  <si>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</si>
  <si>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</si>
  <si>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</si>
  <si>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</si>
  <si>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</si>
  <si>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</si>
  <si>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</si>
  <si>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</si>
  <si>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</si>
  <si>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</si>
  <si>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</si>
  <si>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</si>
  <si>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</si>
  <si>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</si>
  <si>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</si>
  <si>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</si>
  <si>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</si>
  <si>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</si>
  <si>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</si>
  <si>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</si>
  <si>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</si>
  <si>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</si>
  <si>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</si>
  <si>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</si>
  <si>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</si>
  <si>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</si>
  <si>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</si>
  <si>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</si>
  <si>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</si>
  <si>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</si>
  <si>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</si>
  <si>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</si>
  <si>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</si>
  <si>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</si>
  <si>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</si>
  <si>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</si>
  <si>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</si>
  <si>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</si>
  <si>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</si>
  <si>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</si>
  <si>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</si>
  <si>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</si>
  <si>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</si>
  <si>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</si>
  <si>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</si>
  <si>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</si>
  <si>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</si>
  <si>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</si>
  <si>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</si>
  <si>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</si>
  <si>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</si>
  <si>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</si>
  <si>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</si>
  <si>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</si>
  <si>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</si>
  <si>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</si>
  <si>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</si>
  <si>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</si>
  <si>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</si>
  <si>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</si>
  <si>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</si>
  <si>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</si>
  <si>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</si>
  <si>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</si>
  <si>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</si>
  <si>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</si>
  <si>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</si>
  <si>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</si>
  <si>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</si>
  <si>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</si>
  <si>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</si>
  <si>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</si>
  <si>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</si>
  <si>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</si>
  <si>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</si>
  <si>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</si>
  <si>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</si>
  <si>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</si>
  <si>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</si>
  <si>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</si>
  <si>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</si>
  <si>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</si>
  <si>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</si>
  <si>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</si>
  <si>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</si>
  <si>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</si>
  <si>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</si>
  <si>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</si>
  <si>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</si>
  <si>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</si>
  <si>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</si>
  <si>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</si>
  <si>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</si>
  <si>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</si>
  <si>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</si>
  <si>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</si>
  <si>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</si>
  <si>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</si>
  <si>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</si>
  <si>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</si>
  <si>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</si>
  <si>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</si>
  <si>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</si>
  <si>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</si>
  <si>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</si>
  <si>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</si>
  <si>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</si>
  <si>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</si>
  <si>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</si>
  <si>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</si>
  <si>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</si>
  <si>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</si>
  <si>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</si>
  <si>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</si>
  <si>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</si>
  <si>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</si>
  <si>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</si>
  <si>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</si>
  <si>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</si>
  <si>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</si>
  <si>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</si>
  <si>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</si>
  <si>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</si>
  <si>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</si>
  <si>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</si>
  <si>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</si>
  <si>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</si>
  <si>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</si>
  <si>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</si>
  <si>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</si>
  <si>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</si>
  <si>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</si>
  <si>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</si>
  <si>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</si>
  <si>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</si>
  <si>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</si>
  <si>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</si>
  <si>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</si>
  <si>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</si>
  <si>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</si>
  <si>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</si>
  <si>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</si>
  <si>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</si>
  <si>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</si>
  <si>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</si>
  <si>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</si>
  <si>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</si>
  <si>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</si>
  <si>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</si>
  <si>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</si>
  <si>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</si>
  <si>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</si>
  <si>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</si>
  <si>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</si>
  <si>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</si>
  <si>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</si>
  <si>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</si>
  <si>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</si>
  <si>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</si>
  <si>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</si>
  <si>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</si>
  <si>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</si>
  <si>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</si>
  <si>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</si>
  <si>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</si>
  <si>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</si>
  <si>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</si>
  <si>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</si>
  <si>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</si>
  <si>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</si>
  <si>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</si>
  <si>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</si>
  <si>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</si>
  <si>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</si>
  <si>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</si>
  <si>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</si>
  <si>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</si>
  <si>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</si>
  <si>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</si>
  <si>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</si>
  <si>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</si>
  <si>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</si>
  <si>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</si>
  <si>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</si>
  <si>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</si>
  <si>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</si>
  <si>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</si>
  <si>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</si>
  <si>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</si>
  <si>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</si>
  <si>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</si>
  <si>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</si>
  <si>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</si>
  <si>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</si>
  <si>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</si>
  <si>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</si>
  <si>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</si>
  <si>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</si>
  <si>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</si>
  <si>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</si>
  <si>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</si>
  <si>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</si>
  <si>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</si>
  <si>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</si>
  <si>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</si>
  <si>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</si>
  <si>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</si>
  <si>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</si>
  <si>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</si>
  <si>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</si>
  <si>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</si>
  <si>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</si>
  <si>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</si>
  <si>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</si>
  <si>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</si>
  <si>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</si>
  <si>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</si>
  <si>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</si>
  <si>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</si>
  <si>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</si>
  <si>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</si>
  <si>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</si>
  <si>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</si>
  <si>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</si>
  <si>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</si>
  <si>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</si>
  <si>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</si>
  <si>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</si>
  <si>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</si>
  <si>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</si>
  <si>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</si>
  <si>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</si>
  <si>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</si>
  <si>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</si>
  <si>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</si>
  <si>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</si>
  <si>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</si>
  <si>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</si>
  <si>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</si>
  <si>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</si>
  <si>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</si>
  <si>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</si>
  <si>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</si>
  <si>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</si>
  <si>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</si>
  <si>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</si>
  <si>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</si>
  <si>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</si>
  <si>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</si>
  <si>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</si>
  <si>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</si>
  <si>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</si>
  <si>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</si>
  <si>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</si>
  <si>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</si>
  <si>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</si>
  <si>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</si>
  <si>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</si>
  <si>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</si>
  <si>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</si>
  <si>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</si>
  <si>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</si>
  <si>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</si>
  <si>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</si>
  <si>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</si>
  <si>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</si>
  <si>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</si>
  <si>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</si>
  <si>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</si>
  <si>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</si>
  <si>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</si>
  <si>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</si>
  <si>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</si>
  <si>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</si>
  <si>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</si>
  <si>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</si>
  <si>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</si>
  <si>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</si>
  <si>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</si>
  <si>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</si>
  <si>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</si>
  <si>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</si>
  <si>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</si>
  <si>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</si>
  <si>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</si>
  <si>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</si>
  <si>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</si>
  <si>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</si>
  <si>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</si>
  <si>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</si>
  <si>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</si>
  <si>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</si>
  <si>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</si>
  <si>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</si>
  <si>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</si>
  <si>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</si>
  <si>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</si>
  <si>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</si>
  <si>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</si>
  <si>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</si>
  <si>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</si>
  <si>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</si>
  <si>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</si>
  <si>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</si>
  <si>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</si>
  <si>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</si>
  <si>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</si>
  <si>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</si>
  <si>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</si>
  <si>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</si>
  <si>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</si>
  <si>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</si>
  <si>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</si>
  <si>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</si>
  <si>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</si>
  <si>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</si>
  <si>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</si>
  <si>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</si>
  <si>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</si>
  <si>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</si>
  <si>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</si>
  <si>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</si>
  <si>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</si>
  <si>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</si>
  <si>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</si>
  <si>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</si>
  <si>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</si>
  <si>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</si>
  <si>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</si>
  <si>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</si>
  <si>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</si>
  <si>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</si>
  <si>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</si>
  <si>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</si>
  <si>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</si>
  <si>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</si>
  <si>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</si>
  <si>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</si>
  <si>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</si>
  <si>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</si>
  <si>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</si>
  <si>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</si>
  <si>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</si>
  <si>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</si>
  <si>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</si>
  <si>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</si>
  <si>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</si>
  <si>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</si>
  <si>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</si>
  <si>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</si>
  <si>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</si>
  <si>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</si>
  <si>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</si>
  <si>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</si>
  <si>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</si>
  <si>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</si>
  <si>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</si>
  <si>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</si>
  <si>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</si>
  <si>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</si>
  <si>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</si>
  <si>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</si>
  <si>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</si>
  <si>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</si>
  <si>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</si>
  <si>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</si>
  <si>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</si>
  <si>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</si>
  <si>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</si>
  <si>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</si>
  <si>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</si>
  <si>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</si>
  <si>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</si>
  <si>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</si>
  <si>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</si>
  <si>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</si>
  <si>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</si>
  <si>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</si>
  <si>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</si>
  <si>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</si>
  <si>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</si>
  <si>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</si>
  <si>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</si>
  <si>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</si>
  <si>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</si>
  <si>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</si>
  <si>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</si>
  <si>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</si>
  <si>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</si>
  <si>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</si>
  <si>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</si>
  <si>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</si>
  <si>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</si>
  <si>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</si>
  <si>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</si>
  <si>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</si>
  <si>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</si>
  <si>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</si>
  <si>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</si>
  <si>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</si>
  <si>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</si>
  <si>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</si>
  <si>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</si>
  <si>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</si>
  <si>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</si>
  <si>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</si>
  <si>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</si>
  <si>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</si>
  <si>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</si>
  <si>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</si>
  <si>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</si>
  <si>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</si>
  <si>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</si>
  <si>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</si>
  <si>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</si>
  <si>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</si>
  <si>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</si>
  <si>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</si>
  <si>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</si>
  <si>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</si>
  <si>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</si>
  <si>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</si>
  <si>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</si>
  <si>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</si>
  <si>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</si>
  <si>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</si>
  <si>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</si>
  <si>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</si>
  <si>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</si>
  <si>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</si>
  <si>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</si>
  <si>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</si>
  <si>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</si>
  <si>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</si>
  <si>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</si>
  <si>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</si>
  <si>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</si>
  <si>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</si>
  <si>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</si>
  <si>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</si>
  <si>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</si>
  <si>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</si>
  <si>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</si>
  <si>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</si>
  <si>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</si>
  <si>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</si>
  <si>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</si>
  <si>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</si>
  <si>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</si>
  <si>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</si>
  <si>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</si>
  <si>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</si>
  <si>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</si>
  <si>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</si>
  <si>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</si>
  <si>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</si>
  <si>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</si>
  <si>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</si>
  <si>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</si>
  <si>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</si>
  <si>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</si>
  <si>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</si>
  <si>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</si>
  <si>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</si>
  <si>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</si>
  <si>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</si>
  <si>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</si>
  <si>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</si>
  <si>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</si>
  <si>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</si>
  <si>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</si>
  <si>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</si>
  <si>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</si>
  <si>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</si>
  <si>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</si>
  <si>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</si>
  <si>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</si>
  <si>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</si>
  <si>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</si>
  <si>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</si>
  <si>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</si>
  <si>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</si>
  <si>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</si>
  <si>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</si>
  <si>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</si>
  <si>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</si>
  <si>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</si>
  <si>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</si>
  <si>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</si>
  <si>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</si>
  <si>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</si>
  <si>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</si>
  <si>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</si>
  <si>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</si>
  <si>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</si>
  <si>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</si>
  <si>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</si>
  <si>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</si>
  <si>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</si>
  <si>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</si>
  <si>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</si>
  <si>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</si>
  <si>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</si>
  <si>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</si>
  <si>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</si>
  <si>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</si>
  <si>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</si>
  <si>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</si>
  <si>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</si>
  <si>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</si>
  <si>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</si>
  <si>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</si>
  <si>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</si>
  <si>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</si>
  <si>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</si>
  <si>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</si>
  <si>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</si>
  <si>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</si>
  <si>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</si>
  <si>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</si>
  <si>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</si>
  <si>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</si>
  <si>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</si>
  <si>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</si>
  <si>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</si>
  <si>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</si>
  <si>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</si>
  <si>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</si>
  <si>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</si>
  <si>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</si>
  <si>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</si>
  <si>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</si>
  <si>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</si>
  <si>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</si>
  <si>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</si>
  <si>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</si>
  <si>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</si>
  <si>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</si>
  <si>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</si>
  <si>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</si>
  <si>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</si>
  <si>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</si>
  <si>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</si>
  <si>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</si>
  <si>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</si>
  <si>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</si>
  <si>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</si>
  <si>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</si>
  <si>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</si>
  <si>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</si>
  <si>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</si>
  <si>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</si>
  <si>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</si>
  <si>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</si>
  <si>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</si>
  <si>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</si>
  <si>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</si>
  <si>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</si>
  <si>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</si>
  <si>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</si>
  <si>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</si>
  <si>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</si>
  <si>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</si>
  <si>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</si>
  <si>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</si>
  <si>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</si>
  <si>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</si>
  <si>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</si>
  <si>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</si>
  <si>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</si>
  <si>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</si>
  <si>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</si>
  <si>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</si>
  <si>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</si>
  <si>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</si>
  <si>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</si>
  <si>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</si>
  <si>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</si>
  <si>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</si>
  <si>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</si>
  <si>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</si>
  <si>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</si>
  <si>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</si>
  <si>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</si>
  <si>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</si>
  <si>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</si>
  <si>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</si>
  <si>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</si>
  <si>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</si>
  <si>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</si>
  <si>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</si>
  <si>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</si>
  <si>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</si>
  <si>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</si>
  <si>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</si>
  <si>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</si>
  <si>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</si>
  <si>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</si>
  <si>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</si>
  <si>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</si>
  <si>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</si>
  <si>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</si>
  <si>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</si>
  <si>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</si>
  <si>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</si>
  <si>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</si>
  <si>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</si>
  <si>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</si>
  <si>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</si>
  <si>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</si>
  <si>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</si>
  <si>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</si>
  <si>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</si>
  <si>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</si>
  <si>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</si>
  <si>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</si>
  <si>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</si>
  <si>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</si>
  <si>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</si>
  <si>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</si>
  <si>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</si>
  <si>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</si>
  <si>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</si>
  <si>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</si>
  <si>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</si>
  <si>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</si>
  <si>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</si>
  <si>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</si>
  <si>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</si>
  <si>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</si>
  <si>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</si>
  <si>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</si>
  <si>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</si>
  <si>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</si>
  <si>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</si>
  <si>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</si>
  <si>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</si>
  <si>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</si>
  <si>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</si>
  <si>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</si>
  <si>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</si>
  <si>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</si>
  <si>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</si>
  <si>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</si>
  <si>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</si>
  <si>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</si>
  <si>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</si>
  <si>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</si>
  <si>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</si>
  <si>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</si>
  <si>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</si>
  <si>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</si>
  <si>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</si>
  <si>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</si>
  <si>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</si>
  <si>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</si>
  <si>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</si>
  <si>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</si>
  <si>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</si>
  <si>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</si>
  <si>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</si>
  <si>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</si>
  <si>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</si>
  <si>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</si>
  <si>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</si>
  <si>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</si>
  <si>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</si>
  <si>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</si>
  <si>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</si>
  <si>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</si>
  <si>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</si>
  <si>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</si>
  <si>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</si>
  <si>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</si>
  <si>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</si>
  <si>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</si>
  <si>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</si>
  <si>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</si>
  <si>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</si>
  <si>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</si>
  <si>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</si>
  <si>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</si>
  <si>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</si>
  <si>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</si>
  <si>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</si>
  <si>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</si>
  <si>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</si>
  <si>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</si>
  <si>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</si>
  <si>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</si>
  <si>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</si>
  <si>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</si>
  <si>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</si>
  <si>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</si>
  <si>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</si>
  <si>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</si>
  <si>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</si>
  <si>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</si>
  <si>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</si>
  <si>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</si>
  <si>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</si>
  <si>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</si>
  <si>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</si>
  <si>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</si>
  <si>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</si>
  <si>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</si>
  <si>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</si>
  <si>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</si>
  <si>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</si>
  <si>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</si>
  <si>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</si>
  <si>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</si>
  <si>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</si>
  <si>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</si>
  <si>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</si>
  <si>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</si>
  <si>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</si>
  <si>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</si>
  <si>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</si>
  <si>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</si>
  <si>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</si>
  <si>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</si>
  <si>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</si>
  <si>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</si>
  <si>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</si>
  <si>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</si>
  <si>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</si>
  <si>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</si>
  <si>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</si>
  <si>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</si>
  <si>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</si>
  <si>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</si>
  <si>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</si>
  <si>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</si>
  <si>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</si>
  <si>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</si>
  <si>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</si>
  <si>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</si>
  <si>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</si>
  <si>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</si>
  <si>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</si>
  <si>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</si>
  <si>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</si>
  <si>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</si>
  <si>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</si>
  <si>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</si>
  <si>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</si>
  <si>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</si>
  <si>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</si>
  <si>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</si>
  <si>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</si>
  <si>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</si>
  <si>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</si>
  <si>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</si>
  <si>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</si>
  <si>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</si>
  <si>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</si>
  <si>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</si>
  <si>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</si>
  <si>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</si>
  <si>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</si>
  <si>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</si>
  <si>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</si>
  <si>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</si>
  <si>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</si>
  <si>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</si>
  <si>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</si>
  <si>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</si>
  <si>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</si>
  <si>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</si>
  <si>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</si>
  <si>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</si>
  <si>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</si>
  <si>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</si>
  <si>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</si>
  <si>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</si>
  <si>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</si>
  <si>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</si>
  <si>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</si>
  <si>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</si>
  <si>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</si>
  <si>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</si>
  <si>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</si>
  <si>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</si>
  <si>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</si>
  <si>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</si>
  <si>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</si>
  <si>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</si>
  <si>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</si>
  <si>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</si>
  <si>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</si>
  <si>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</si>
  <si>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</si>
  <si>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</si>
  <si>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</si>
  <si>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</si>
  <si>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</si>
  <si>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</si>
  <si>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</si>
  <si>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</si>
  <si>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</si>
  <si>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</si>
  <si>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</si>
  <si>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</si>
  <si>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</si>
  <si>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</si>
  <si>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</si>
  <si>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</si>
  <si>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</si>
  <si>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</si>
  <si>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</si>
  <si>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</si>
  <si>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</si>
  <si>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</si>
  <si>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</si>
  <si>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</si>
  <si>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</si>
  <si>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</si>
  <si>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</si>
  <si>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</si>
  <si>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</si>
  <si>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</si>
  <si>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</si>
  <si>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</si>
  <si>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</si>
  <si>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</si>
  <si>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</si>
  <si>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</si>
  <si>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</si>
  <si>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</si>
  <si>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</si>
  <si>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</si>
  <si>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</si>
  <si>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</si>
  <si>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</si>
  <si>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</si>
  <si>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</si>
  <si>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</si>
  <si>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</si>
  <si>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</si>
  <si>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</si>
  <si>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</si>
  <si>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</si>
  <si>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</si>
  <si>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</si>
  <si>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</si>
  <si>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</si>
  <si>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</si>
  <si>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</si>
  <si>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</si>
  <si>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</si>
  <si>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</si>
  <si>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</si>
  <si>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</si>
  <si>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</si>
  <si>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</si>
  <si>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</si>
  <si>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</si>
  <si>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</si>
  <si>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</si>
  <si>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</si>
  <si>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</si>
  <si>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</si>
  <si>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</si>
  <si>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</si>
  <si>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</si>
  <si>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</si>
  <si>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</si>
  <si>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</si>
  <si>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</si>
  <si>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</si>
  <si>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</si>
  <si>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</si>
  <si>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</si>
  <si>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</si>
  <si>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</si>
  <si>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</si>
  <si>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</si>
  <si>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</si>
  <si>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</si>
  <si>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</si>
  <si>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</si>
  <si>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</si>
  <si>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</si>
  <si>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</si>
  <si>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</si>
  <si>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</si>
  <si>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</si>
  <si>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</si>
  <si>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</si>
  <si>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</si>
  <si>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</si>
  <si>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</si>
  <si>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</si>
  <si>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</si>
  <si>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</si>
  <si>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</si>
  <si>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</si>
  <si>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</si>
  <si>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</si>
  <si>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</si>
  <si>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</si>
  <si>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</si>
  <si>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</si>
  <si>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</si>
  <si>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</si>
  <si>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</si>
  <si>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</si>
  <si>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</si>
  <si>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</si>
  <si>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</si>
  <si>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</si>
  <si>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</si>
  <si>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</si>
  <si>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</si>
  <si>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</si>
  <si>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</si>
  <si>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</si>
  <si>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</si>
  <si>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</si>
  <si>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</si>
  <si>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</si>
  <si>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</si>
  <si>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</si>
  <si>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</si>
  <si>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</si>
  <si>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</si>
  <si>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</si>
  <si>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</si>
  <si>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</si>
  <si>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</si>
  <si>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</si>
  <si>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</si>
  <si>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</si>
  <si>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</si>
  <si>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</si>
  <si>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</si>
  <si>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</si>
  <si>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</si>
  <si>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</si>
  <si>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</si>
  <si>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</si>
  <si>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</si>
  <si>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</si>
  <si>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</si>
  <si>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</si>
  <si>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</si>
  <si>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</si>
  <si>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</si>
  <si>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</si>
  <si>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</si>
  <si>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</si>
  <si>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</si>
  <si>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</si>
  <si>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</si>
  <si>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</si>
  <si>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</si>
  <si>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</si>
  <si>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</si>
  <si>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</si>
  <si>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</si>
  <si>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</si>
  <si>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</si>
  <si>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</si>
  <si>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</si>
  <si>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</si>
  <si>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</si>
  <si>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</si>
  <si>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</si>
  <si>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</si>
  <si>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</si>
  <si>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</si>
  <si>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</si>
  <si>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</si>
  <si>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</si>
  <si>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</si>
  <si>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</si>
  <si>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</si>
  <si>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</si>
  <si>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</si>
  <si>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</si>
  <si>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</si>
  <si>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</si>
  <si>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</si>
  <si>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</si>
  <si>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</si>
  <si>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</si>
  <si>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</si>
  <si>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</si>
  <si>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</si>
  <si>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</si>
  <si>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</si>
  <si>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</si>
  <si>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</si>
  <si>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</si>
  <si>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</si>
  <si>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</si>
  <si>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</si>
  <si>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</si>
  <si>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</si>
  <si>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</si>
  <si>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</si>
  <si>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</si>
  <si>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</si>
  <si>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</si>
  <si>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</si>
  <si>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</si>
  <si>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</si>
  <si>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</si>
  <si>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</si>
  <si>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</si>
  <si>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</si>
  <si>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</si>
  <si>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</si>
  <si>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</si>
  <si>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</si>
  <si>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</si>
  <si>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</si>
  <si>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</si>
  <si>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</si>
  <si>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</si>
  <si>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</si>
  <si>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</si>
  <si>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</si>
  <si>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</si>
  <si>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</si>
  <si>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</si>
  <si>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</si>
  <si>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</si>
  <si>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</si>
  <si>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</si>
  <si>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</si>
  <si>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</si>
  <si>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</si>
  <si>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</si>
  <si>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</si>
  <si>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</si>
  <si>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</si>
  <si>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</si>
  <si>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</si>
  <si>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</si>
  <si>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</si>
  <si>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</si>
  <si>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</si>
  <si>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</si>
  <si>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</si>
  <si>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</si>
  <si>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</si>
  <si>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</si>
  <si>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</si>
  <si>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</si>
  <si>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</si>
  <si>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</si>
  <si>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</si>
  <si>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</si>
  <si>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</si>
  <si>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</si>
  <si>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</si>
  <si>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</si>
  <si>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</si>
  <si>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</si>
  <si>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</si>
  <si>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</si>
  <si>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</si>
  <si>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</si>
  <si>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</si>
  <si>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</si>
  <si>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</si>
  <si>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</si>
  <si>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</si>
  <si>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</si>
  <si>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</si>
  <si>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</si>
  <si>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</si>
  <si>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</si>
  <si>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</si>
  <si>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</si>
  <si>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</si>
  <si>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</si>
  <si>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</si>
  <si>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</si>
  <si>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</si>
  <si>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</si>
  <si>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</si>
  <si>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</si>
  <si>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</si>
  <si>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</si>
  <si>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</si>
  <si>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</si>
  <si>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</si>
  <si>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</si>
  <si>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</si>
  <si>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</si>
  <si>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</si>
  <si>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</si>
  <si>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</si>
  <si>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</si>
  <si>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</si>
  <si>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</si>
  <si>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</si>
  <si>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</si>
  <si>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</si>
  <si>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</si>
  <si>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</si>
  <si>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</si>
  <si>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</si>
  <si>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</si>
  <si>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</si>
  <si>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</si>
  <si>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</si>
  <si>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</si>
  <si>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</si>
  <si>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</si>
  <si>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</si>
  <si>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</si>
  <si>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</si>
  <si>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</si>
  <si>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</si>
  <si>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</si>
  <si>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</si>
  <si>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</si>
  <si>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</si>
  <si>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</si>
  <si>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</si>
  <si>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</si>
  <si>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</si>
  <si>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</si>
  <si>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</si>
  <si>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</si>
  <si>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</si>
  <si>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</si>
  <si>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</si>
  <si>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</si>
  <si>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</si>
  <si>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</si>
  <si>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</si>
  <si>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</si>
  <si>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</si>
  <si>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</si>
  <si>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</si>
  <si>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</si>
  <si>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</si>
  <si>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</si>
  <si>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</si>
  <si>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</si>
  <si>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</si>
  <si>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</si>
  <si>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</si>
  <si>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</si>
  <si>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</si>
  <si>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</si>
  <si>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</si>
  <si>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</si>
  <si>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</si>
  <si>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</si>
  <si>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</si>
  <si>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</si>
  <si>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</si>
  <si>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</si>
  <si>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</si>
  <si>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</si>
  <si>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</si>
  <si>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</si>
  <si>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</si>
  <si>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</si>
  <si>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</si>
  <si>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</si>
  <si>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</si>
  <si>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</si>
  <si>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</si>
  <si>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</si>
  <si>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</si>
  <si>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</si>
  <si>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</si>
  <si>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</si>
  <si>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</si>
  <si>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</si>
  <si>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</si>
  <si>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</si>
  <si>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</si>
  <si>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</si>
  <si>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</si>
  <si>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</si>
  <si>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</si>
  <si>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</si>
  <si>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</si>
  <si>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</si>
  <si>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</si>
  <si>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</si>
  <si>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</si>
  <si>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</si>
  <si>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</si>
  <si>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</si>
  <si>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</si>
  <si>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</si>
  <si>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</si>
  <si>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</si>
  <si>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</si>
  <si>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</si>
  <si>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</si>
  <si>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</si>
  <si>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</si>
  <si>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</si>
  <si>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</si>
  <si>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</si>
  <si>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</si>
  <si>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</si>
  <si>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</si>
  <si>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</si>
  <si>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</si>
  <si>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</si>
  <si>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</si>
  <si>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</si>
  <si>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</si>
  <si>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</si>
  <si>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</si>
  <si>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</si>
  <si>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</si>
  <si>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</si>
  <si>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</si>
  <si>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</si>
  <si>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</si>
  <si>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</si>
  <si>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</si>
  <si>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</si>
  <si>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</si>
  <si>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</si>
  <si>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</si>
  <si>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</si>
  <si>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</si>
  <si>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</si>
  <si>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</si>
  <si>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</si>
  <si>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</si>
  <si>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</si>
  <si>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</si>
  <si>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</si>
  <si>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</si>
  <si>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</si>
  <si>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</si>
  <si>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</si>
  <si>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</si>
  <si>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</si>
  <si>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</si>
  <si>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</si>
  <si>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</si>
  <si>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</si>
  <si>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</si>
  <si>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</si>
  <si>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</si>
  <si>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</si>
  <si>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</si>
  <si>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</si>
  <si>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</si>
  <si>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</si>
  <si>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</si>
  <si>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</si>
  <si>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</si>
  <si>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</si>
  <si>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</si>
  <si>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</si>
  <si>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</si>
  <si>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</si>
  <si>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</si>
  <si>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</si>
  <si>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</si>
  <si>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</si>
  <si>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</si>
  <si>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</si>
  <si>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</si>
  <si>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</si>
  <si>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</si>
  <si>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</si>
  <si>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</si>
  <si>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</si>
  <si>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</si>
  <si>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</si>
  <si>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</si>
  <si>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</si>
  <si>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</si>
  <si>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</si>
  <si>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</si>
  <si>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</si>
  <si>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</si>
  <si>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</si>
  <si>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</si>
  <si>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</si>
  <si>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</si>
  <si>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</si>
  <si>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</si>
  <si>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</si>
  <si>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</si>
  <si>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</si>
  <si>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</si>
  <si>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</si>
  <si>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</si>
  <si>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</si>
  <si>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</si>
  <si>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</si>
  <si>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</si>
  <si>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</si>
  <si>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</si>
  <si>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</si>
  <si>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</si>
  <si>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</si>
  <si>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</si>
  <si>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</si>
  <si>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</si>
  <si>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</si>
  <si>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</si>
  <si>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</si>
  <si>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</si>
  <si>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</si>
  <si>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</si>
  <si>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</si>
  <si>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</si>
  <si>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</si>
  <si>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</si>
  <si>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</si>
  <si>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</si>
  <si>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</si>
  <si>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</si>
  <si>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</si>
  <si>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</si>
  <si>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</si>
  <si>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</si>
  <si>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</si>
  <si>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</si>
  <si>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</si>
  <si>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</si>
  <si>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</si>
  <si>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</si>
  <si>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</si>
  <si>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</si>
  <si>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</si>
  <si>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</si>
  <si>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</si>
  <si>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</si>
  <si>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</si>
  <si>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</si>
  <si>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</si>
  <si>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</si>
  <si>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</si>
  <si>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</si>
  <si>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</si>
  <si>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</si>
  <si>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</si>
  <si>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</si>
  <si>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</si>
  <si>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</si>
  <si>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</si>
  <si>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</si>
  <si>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</si>
  <si>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</si>
  <si>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</si>
  <si>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</si>
  <si>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</si>
  <si>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</si>
  <si>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</si>
  <si>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</si>
  <si>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</si>
  <si>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</si>
  <si>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</si>
  <si>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</si>
  <si>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</si>
  <si>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</si>
  <si>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</si>
  <si>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</si>
  <si>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</si>
  <si>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</si>
  <si>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</si>
  <si>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</si>
  <si>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</si>
  <si>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</si>
  <si>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</si>
  <si>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</si>
  <si>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</si>
  <si>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</si>
  <si>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</si>
  <si>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</si>
  <si>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</si>
  <si>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</si>
  <si>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</si>
  <si>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</si>
  <si>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</si>
  <si>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</si>
  <si>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</si>
  <si>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</si>
  <si>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</si>
  <si>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</si>
  <si>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</si>
  <si>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</si>
  <si>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</si>
  <si>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</si>
  <si>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</si>
  <si>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</si>
  <si>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</si>
  <si>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</si>
  <si>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</si>
  <si>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</si>
  <si>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</si>
  <si>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</si>
  <si>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</si>
  <si>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</si>
  <si>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</si>
  <si>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</si>
  <si>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</si>
  <si>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</si>
  <si>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</si>
  <si>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</si>
  <si>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</si>
  <si>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</si>
  <si>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</si>
  <si>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</si>
  <si>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</si>
  <si>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</si>
  <si>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</si>
  <si>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</si>
  <si>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</si>
  <si>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</si>
  <si>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</si>
  <si>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</si>
  <si>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</si>
  <si>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</si>
  <si>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</si>
  <si>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</si>
  <si>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</si>
  <si>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</si>
  <si>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</si>
  <si>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</si>
  <si>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</si>
  <si>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</si>
  <si>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</si>
  <si>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</si>
  <si>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</si>
  <si>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</si>
  <si>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</si>
  <si>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</si>
  <si>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</si>
  <si>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</si>
  <si>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</si>
  <si>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</si>
  <si>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</si>
  <si>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</si>
  <si>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</si>
  <si>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</si>
  <si>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</si>
  <si>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</si>
  <si>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</si>
  <si>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</si>
  <si>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</si>
  <si>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</si>
  <si>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</si>
  <si>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</si>
  <si>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</si>
  <si>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</si>
  <si>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</si>
  <si>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</si>
  <si>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</si>
  <si>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</si>
  <si>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</si>
  <si>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</si>
  <si>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</si>
  <si>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</si>
  <si>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</si>
  <si>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</si>
  <si>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</si>
  <si>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</si>
  <si>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</si>
  <si>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</si>
  <si>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</si>
  <si>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</si>
  <si>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</si>
  <si>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</si>
  <si>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</si>
  <si>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</si>
  <si>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</si>
  <si>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</si>
  <si>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</si>
  <si>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</si>
  <si>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</si>
  <si>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</si>
  <si>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</si>
  <si>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</si>
  <si>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</si>
  <si>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</si>
  <si>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</si>
  <si>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</si>
  <si>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</si>
  <si>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</si>
  <si>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</si>
  <si>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</si>
  <si>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</si>
  <si>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</si>
  <si>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</si>
  <si>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</si>
  <si>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</si>
  <si>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</si>
  <si>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</si>
  <si>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</si>
  <si>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</si>
  <si>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</si>
  <si>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</si>
  <si>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</si>
  <si>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</si>
  <si>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</si>
  <si>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</si>
  <si>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</si>
  <si>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</si>
  <si>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</si>
  <si>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</si>
  <si>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</si>
  <si>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</si>
  <si>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</si>
  <si>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</si>
  <si>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</si>
  <si>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</si>
  <si>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</si>
  <si>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</si>
  <si>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</si>
  <si>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</si>
  <si>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</si>
  <si>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</si>
  <si>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</si>
  <si>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</si>
  <si>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</si>
  <si>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</si>
  <si>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</si>
  <si>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</si>
  <si>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</si>
  <si>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</si>
  <si>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</si>
  <si>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</si>
  <si>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</si>
  <si>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</si>
  <si>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</si>
  <si>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</si>
  <si>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</si>
  <si>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</si>
  <si>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</si>
  <si>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</si>
  <si>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</si>
  <si>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</si>
  <si>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</si>
  <si>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</si>
  <si>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</si>
  <si>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</si>
  <si>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</si>
  <si>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</si>
  <si>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</si>
  <si>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</si>
  <si>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</si>
  <si>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</si>
  <si>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</si>
  <si>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</si>
  <si>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</si>
  <si>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</si>
  <si>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</si>
  <si>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</si>
  <si>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</si>
  <si>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</si>
  <si>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</si>
  <si>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</si>
  <si>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</si>
  <si>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</si>
  <si>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</si>
  <si>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</si>
  <si>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</si>
  <si>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</si>
  <si>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</si>
  <si>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</si>
  <si>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</si>
  <si>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</si>
  <si>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</si>
  <si>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</si>
  <si>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</si>
  <si>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</si>
  <si>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</si>
  <si>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</si>
  <si>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</si>
  <si>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</si>
  <si>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</si>
  <si>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</si>
  <si>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</si>
  <si>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</si>
  <si>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</si>
  <si>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</si>
  <si>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</si>
  <si>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</si>
  <si>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</si>
  <si>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</si>
  <si>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</si>
  <si>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</si>
  <si>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</si>
  <si>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</si>
  <si>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</si>
  <si>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</si>
  <si>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</si>
  <si>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</si>
  <si>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</si>
  <si>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</si>
  <si>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</si>
  <si>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</si>
  <si>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</si>
  <si>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</si>
  <si>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</si>
  <si>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</si>
  <si>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</si>
  <si>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</si>
  <si>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</si>
  <si>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</si>
  <si>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</si>
  <si>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</si>
  <si>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</si>
  <si>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</si>
  <si>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</si>
  <si>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</si>
  <si>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</si>
  <si>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</si>
  <si>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</si>
  <si>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</si>
  <si>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</si>
  <si>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</si>
  <si>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</si>
  <si>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</si>
  <si>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</si>
  <si>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</si>
  <si>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</si>
  <si>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</si>
  <si>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</si>
  <si>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</si>
  <si>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</si>
  <si>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</si>
  <si>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</si>
  <si>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</si>
  <si>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</si>
  <si>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</si>
  <si>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</si>
  <si>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</si>
  <si>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</si>
  <si>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</si>
  <si>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</si>
  <si>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</si>
  <si>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</si>
  <si>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</si>
  <si>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</si>
  <si>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</si>
  <si>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</si>
  <si>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</si>
  <si>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</si>
  <si>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</si>
  <si>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</si>
  <si>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</si>
  <si>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</si>
  <si>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</si>
  <si>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</si>
  <si>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</si>
  <si>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</si>
  <si>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</si>
  <si>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</si>
  <si>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</si>
  <si>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</si>
  <si>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</si>
  <si>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</si>
  <si>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</si>
  <si>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</si>
  <si>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</si>
  <si>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</si>
  <si>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</si>
  <si>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</si>
  <si>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</si>
  <si>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</si>
  <si>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</si>
  <si>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</si>
  <si>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</si>
  <si>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</si>
  <si>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</si>
  <si>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</si>
  <si>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</si>
  <si>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</si>
  <si>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</si>
  <si>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</si>
  <si>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</si>
  <si>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</si>
  <si>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</si>
  <si>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</si>
  <si>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</si>
  <si>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</si>
  <si>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</si>
  <si>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</si>
  <si>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</si>
  <si>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</si>
  <si>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</si>
  <si>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</si>
  <si>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</si>
  <si>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</si>
  <si>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</si>
  <si>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</si>
  <si>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</si>
  <si>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</si>
  <si>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</si>
  <si>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</si>
  <si>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</si>
  <si>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</si>
  <si>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</si>
  <si>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</si>
  <si>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</si>
  <si>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</si>
  <si>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</si>
  <si>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</si>
  <si>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</si>
  <si>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</si>
  <si>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</si>
  <si>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</si>
  <si>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</si>
  <si>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</si>
  <si>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</si>
  <si>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</si>
  <si>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</si>
  <si>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</si>
  <si>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</si>
  <si>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</si>
  <si>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</si>
  <si>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</si>
  <si>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</si>
  <si>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</si>
  <si>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</si>
  <si>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</si>
  <si>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</si>
  <si>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</si>
  <si>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</si>
  <si>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</si>
  <si>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</si>
  <si>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</si>
  <si>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</si>
  <si>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</si>
  <si>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</si>
  <si>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</si>
  <si>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</si>
  <si>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</si>
  <si>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</si>
  <si>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</si>
  <si>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</si>
  <si>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</si>
  <si>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</si>
  <si>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</si>
  <si>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</si>
  <si>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</si>
  <si>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</si>
  <si>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</si>
  <si>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</si>
  <si>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</si>
  <si>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</si>
  <si>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</si>
  <si>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</si>
  <si>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</si>
  <si>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</si>
  <si>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</si>
  <si>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</si>
  <si>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</si>
  <si>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</si>
  <si>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</si>
  <si>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</si>
  <si>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</si>
  <si>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</si>
  <si>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</si>
  <si>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</si>
  <si>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</si>
  <si>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</si>
  <si>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</si>
  <si>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</si>
  <si>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</si>
  <si>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</si>
  <si>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</si>
  <si>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</si>
  <si>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</si>
  <si>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</si>
  <si>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</si>
  <si>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</si>
  <si>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</si>
  <si>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</si>
  <si>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Adams</t>
  </si>
  <si>
    <t>219 Baldwin Dr</t>
  </si>
  <si>
    <t>Quincy</t>
  </si>
  <si>
    <t>morrisev@qps.org</t>
  </si>
  <si>
    <t>X</t>
  </si>
  <si>
    <t>Zumbahlen, Eyth, Surratt, Foote &amp; Flynn, Ltd.</t>
  </si>
  <si>
    <t>Adam Withee</t>
  </si>
  <si>
    <t>1395 Lincoln Ave</t>
  </si>
  <si>
    <t>Jacksonville</t>
  </si>
  <si>
    <t>IL</t>
  </si>
  <si>
    <t>217-245-5121</t>
  </si>
  <si>
    <t>217-243-3356</t>
  </si>
  <si>
    <t>066-004993</t>
  </si>
  <si>
    <t>awithee@zescpa.com</t>
  </si>
  <si>
    <t>Evelyn Morris</t>
  </si>
  <si>
    <t>217-224-3775</t>
  </si>
  <si>
    <t>217-221-4800</t>
  </si>
  <si>
    <t>Quincy Area Vocational Technical Center (see below)</t>
  </si>
  <si>
    <t>Member Districts: Quincy Public School District #172, Central CUSD #2, Liberty CUSD #2, Griggsville Perry CUSD #4, Pikeland CUSD #10, Pleasant Hill CUSD #3, Payson CUSD #1, Southeastern CUSD #337, Unity CUSD #4</t>
  </si>
  <si>
    <t>No Contracts</t>
  </si>
  <si>
    <t>Page 10, Line 81- $875 Lab and Parking Fees</t>
  </si>
  <si>
    <t>Page 11, Line 106- $755 Local Fees</t>
  </si>
  <si>
    <t>Page 11, Line 107- $100,820 Revenue from live work on customer vehicles in auto Tech and Diesel Tech Programs and Sale of Lots</t>
  </si>
  <si>
    <t>Page 13, Line 220- $84,250 Carl Perkins Flow Through Grant Revenue</t>
  </si>
  <si>
    <t>Page 29, No contracts per district.</t>
  </si>
  <si>
    <t xml:space="preserve">  Quincy Area Voc Ctr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</si>
</sst>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264102</xdr:colOff>
          <xdr:row>3</xdr:row>
          <xdr:rowOff>93518</xdr:rowOff>
        </xdr:from>
        <xdr:to>
          <xdr:col>1</xdr:col>
          <xdr:colOff>1178502</xdr:colOff>
          <xdr:row>7</xdr:row>
          <xdr:rowOff>142009</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FF00"/>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c r="C5" s="26" t="s">
        <v>904</v>
      </c>
      <c r="D5" s="81"/>
      <c r="E5" s="81"/>
      <c r="H5" s="38"/>
      <c r="I5" s="2089" t="s">
        <v>675</v>
      </c>
      <c r="J5" s="2088"/>
      <c r="K5" s="2088"/>
      <c r="L5" s="2088"/>
      <c r="M5" s="2088"/>
      <c r="N5" s="2088"/>
      <c r="O5" s="2088"/>
      <c r="P5" s="2088"/>
      <c r="Q5" s="2088"/>
      <c r="R5" s="2088"/>
      <c r="S5" s="2088"/>
      <c r="AF5" s="1827"/>
    </row>
    <row r="6" spans="1:32" ht="14.1" customHeight="1" x14ac:dyDescent="0.2">
      <c r="B6" s="101" t="s">
        <v>2055</v>
      </c>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2055</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1001172041</v>
      </c>
      <c r="B13" s="2101"/>
      <c r="C13" s="2101"/>
      <c r="D13" s="2101"/>
      <c r="E13" s="2101"/>
      <c r="F13" s="2101"/>
      <c r="G13" s="2101"/>
      <c r="H13" s="2102"/>
      <c r="I13" s="31"/>
      <c r="J13" s="30"/>
      <c r="K13" s="28"/>
      <c r="L13" s="30"/>
      <c r="M13" s="30"/>
      <c r="N13" s="30"/>
      <c r="O13" s="30"/>
      <c r="P13" s="30"/>
      <c r="Q13" s="30"/>
      <c r="R13" s="30"/>
      <c r="S13" s="30"/>
      <c r="T13" s="2106" t="s">
        <v>2056</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2051</v>
      </c>
      <c r="B15" s="2104"/>
      <c r="C15" s="2104"/>
      <c r="D15" s="2104"/>
      <c r="E15" s="2104"/>
      <c r="F15" s="2104"/>
      <c r="G15" s="2104"/>
      <c r="H15" s="2105"/>
      <c r="T15" s="2110" t="s">
        <v>2057</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2076</v>
      </c>
      <c r="B17" s="2074"/>
      <c r="C17" s="2074"/>
      <c r="D17" s="2074"/>
      <c r="E17" s="2074"/>
      <c r="F17" s="2074"/>
      <c r="G17" s="2074"/>
      <c r="H17" s="2099"/>
      <c r="T17" s="2117" t="s">
        <v>2058</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2052</v>
      </c>
      <c r="B19" s="2059"/>
      <c r="C19" s="2059"/>
      <c r="D19" s="2059"/>
      <c r="E19" s="2059"/>
      <c r="F19" s="2059"/>
      <c r="G19" s="2059"/>
      <c r="H19" s="2039"/>
      <c r="I19" s="30"/>
      <c r="J19" s="96"/>
      <c r="K19" s="40"/>
      <c r="L19" s="38"/>
      <c r="M19" s="109" t="s">
        <v>312</v>
      </c>
      <c r="P19" s="27"/>
      <c r="Q19" s="27"/>
      <c r="R19" s="27"/>
      <c r="S19" s="31"/>
      <c r="T19" s="2103" t="s">
        <v>2059</v>
      </c>
      <c r="U19" s="2038"/>
      <c r="V19" s="2038"/>
      <c r="W19" s="2039"/>
      <c r="X19" s="2115" t="s">
        <v>2060</v>
      </c>
      <c r="Y19" s="2116"/>
      <c r="Z19" s="2113">
        <v>62650</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2053</v>
      </c>
      <c r="B21" s="2038"/>
      <c r="C21" s="2038"/>
      <c r="D21" s="2038"/>
      <c r="E21" s="2038"/>
      <c r="F21" s="2038"/>
      <c r="G21" s="2038"/>
      <c r="H21" s="2039"/>
      <c r="I21" s="2093" t="s">
        <v>673</v>
      </c>
      <c r="J21" s="2088"/>
      <c r="K21" s="2088"/>
      <c r="L21" s="2088"/>
      <c r="M21" s="2088"/>
      <c r="N21" s="2088"/>
      <c r="O21" s="2088"/>
      <c r="P21" s="2088"/>
      <c r="Q21" s="2088"/>
      <c r="R21" s="2088"/>
      <c r="S21" s="2094"/>
      <c r="T21" s="2128" t="s">
        <v>2061</v>
      </c>
      <c r="U21" s="2129"/>
      <c r="V21" s="2129"/>
      <c r="W21" s="2129"/>
      <c r="X21" s="2134" t="s">
        <v>2062</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2054</v>
      </c>
      <c r="B23" s="2091"/>
      <c r="C23" s="2091"/>
      <c r="D23" s="2091"/>
      <c r="E23" s="2091"/>
      <c r="F23" s="2091"/>
      <c r="G23" s="2091"/>
      <c r="H23" s="2092"/>
      <c r="T23" s="2073" t="s">
        <v>2063</v>
      </c>
      <c r="U23" s="2127"/>
      <c r="V23" s="2127"/>
      <c r="W23" s="2127"/>
      <c r="X23" s="2131">
        <v>44530</v>
      </c>
      <c r="Y23" s="2132"/>
      <c r="Z23" s="2132"/>
      <c r="AA23" s="2133"/>
    </row>
    <row r="24" spans="1:27" ht="14.1" customHeight="1" x14ac:dyDescent="0.2">
      <c r="A24" s="85" t="s">
        <v>672</v>
      </c>
      <c r="B24" s="46"/>
      <c r="C24" s="46"/>
      <c r="D24" s="46"/>
      <c r="E24" s="46"/>
      <c r="F24" s="46"/>
      <c r="G24" s="46"/>
      <c r="H24" s="58"/>
      <c r="J24" s="2060" t="str">
        <f>IF(B5="x",IF(AUDITCHECK!D29="AFR form Incomplete.","",IF(AUDITCHECK!D29="Deficit reduction plan is required.","School District must complete a deficit reduction plan in the 2020-2021 Budget",)),"")</f>
        <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62301</v>
      </c>
      <c r="B25" s="2038"/>
      <c r="C25" s="2038"/>
      <c r="D25" s="2038"/>
      <c r="E25" s="2038"/>
      <c r="F25" s="2038"/>
      <c r="G25" s="2038"/>
      <c r="H25" s="2039"/>
      <c r="I25" s="110"/>
      <c r="J25" s="2062"/>
      <c r="K25" s="2062"/>
      <c r="L25" s="2062"/>
      <c r="M25" s="2062"/>
      <c r="N25" s="2062"/>
      <c r="O25" s="2062"/>
      <c r="P25" s="2062"/>
      <c r="Q25" s="2062"/>
      <c r="R25" s="2062"/>
      <c r="S25" s="2063"/>
      <c r="T25" s="2124" t="s">
        <v>2064</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2055</v>
      </c>
      <c r="M29" s="40" t="s">
        <v>99</v>
      </c>
      <c r="N29" s="32" t="s">
        <v>1506</v>
      </c>
      <c r="O29" s="32"/>
      <c r="P29" s="32"/>
      <c r="Q29" s="32"/>
      <c r="R29" s="32"/>
      <c r="S29" s="120"/>
      <c r="T29" s="6"/>
      <c r="U29" s="6"/>
      <c r="V29" s="6"/>
      <c r="W29" s="6"/>
      <c r="X29" s="6"/>
      <c r="Y29" s="6"/>
      <c r="Z29" s="6"/>
      <c r="AA29" s="129"/>
    </row>
    <row r="30" spans="1:27" ht="13.5" customHeight="1" x14ac:dyDescent="0.2">
      <c r="A30" s="149"/>
      <c r="B30" s="133" t="s">
        <v>2055</v>
      </c>
      <c r="C30" s="121" t="s">
        <v>1154</v>
      </c>
      <c r="D30" s="28"/>
      <c r="E30" s="28"/>
      <c r="F30" s="136"/>
      <c r="G30" s="111"/>
      <c r="H30" s="111"/>
      <c r="I30" s="51"/>
      <c r="J30" s="99"/>
      <c r="K30" s="28" t="s">
        <v>572</v>
      </c>
      <c r="L30" s="144" t="s">
        <v>2055</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2055</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2065</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2054</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2066</v>
      </c>
      <c r="B42" s="2057"/>
      <c r="C42" s="2058"/>
      <c r="D42" s="2056" t="s">
        <v>2067</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I84"/>
  <sheetViews>
    <sheetView showGridLines="0" topLeftCell="A7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FF00"/>
  </sheetPr>
  <dimension ref="A1:K143"/>
  <sheetViews>
    <sheetView showGridLines="0" defaultGridColor="0" topLeftCell="A98"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2056</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FF00"/>
  </sheetPr>
  <dimension ref="A1:N72"/>
  <sheetViews>
    <sheetView showGridLines="0" defaultGridColor="0" topLeftCell="A28"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4">
        <f>ROUND(D10+F10+H10,5)</f>
        <v>0</v>
      </c>
      <c r="K10" s="217"/>
      <c r="L10" s="332"/>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1168112</v>
      </c>
      <c r="E16" s="1547"/>
      <c r="F16" s="1546">
        <f>SUM('Acct Summary 7-8'!C17,'Acct Summary 7-8'!D17,'Acct Summary 7-8'!F17)</f>
        <v>909710</v>
      </c>
      <c r="G16" s="1547"/>
      <c r="H16" s="1546">
        <f>SUM(D16-F16)</f>
        <v>258402</v>
      </c>
      <c r="I16" s="1548"/>
      <c r="J16" s="1546">
        <f>SUM('Acct Summary 7-8'!C81,'Acct Summary 7-8'!D81,'Acct Summary 7-8'!F81,'Acct Summary 7-8'!I81)</f>
        <v>532918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FF00"/>
  </sheetPr>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Quincy Area Voc Ctr</v>
      </c>
      <c r="E7" s="368"/>
      <c r="G7" s="247"/>
      <c r="H7" s="364"/>
      <c r="I7" s="364"/>
      <c r="J7" s="364"/>
      <c r="K7" s="364"/>
      <c r="L7" s="307"/>
      <c r="M7" s="307"/>
      <c r="N7" s="307"/>
      <c r="O7" s="307"/>
      <c r="P7" s="307"/>
    </row>
    <row r="8" spans="1:18" ht="12.75" x14ac:dyDescent="0.2">
      <c r="A8" s="307"/>
      <c r="B8" s="307"/>
      <c r="C8" s="366" t="s">
        <v>1115</v>
      </c>
      <c r="D8" s="369">
        <f>COVER!A13</f>
        <v>1001172041</v>
      </c>
      <c r="E8" s="370"/>
      <c r="G8" s="307"/>
      <c r="H8" s="307"/>
      <c r="I8" s="307"/>
      <c r="J8" s="307"/>
      <c r="K8" s="307"/>
      <c r="L8" s="307"/>
      <c r="M8" s="307"/>
      <c r="N8" s="307"/>
      <c r="O8" s="307"/>
      <c r="P8" s="307"/>
    </row>
    <row r="9" spans="1:18" ht="12.75" x14ac:dyDescent="0.2">
      <c r="A9" s="307"/>
      <c r="B9" s="307"/>
      <c r="C9" s="366" t="s">
        <v>708</v>
      </c>
      <c r="D9" s="371" t="str">
        <f>COVER!A15</f>
        <v>Adams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532918</v>
      </c>
      <c r="I12" s="380"/>
      <c r="J12" s="380"/>
      <c r="K12" s="1559">
        <f>TRUNC((H12/H13*100000),5)/100000</f>
        <v>0.45622166360000005</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1168112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909710</v>
      </c>
      <c r="I17" s="380"/>
      <c r="J17" s="389"/>
      <c r="K17" s="1559">
        <f>TRUNC((H17/H18*100000),5)/100000</f>
        <v>0.77878662320000003</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1168112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532918</v>
      </c>
      <c r="I24" s="394"/>
      <c r="J24" s="394"/>
      <c r="K24" s="1555">
        <f>TRUNC(((H24/H25*100000)/100000),2)</f>
        <v>210.89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2526.9722200000001</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e">
        <f>IF(K28&gt;=75,"4",IF(K28&gt;=50,"3",IF(K28&gt;=25,"2",1)))</f>
        <v>#DIV/0!</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t="e">
        <f>TRUNC(100-((((H28/H29*100))*100)/100),2)</f>
        <v>#DIV/0!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0</v>
      </c>
      <c r="I29" s="397"/>
      <c r="J29" s="397"/>
      <c r="K29" s="1558"/>
      <c r="L29" s="213"/>
      <c r="M29" s="337" t="s">
        <v>1135</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e">
        <f>IF(K32&gt;=75,"4",IF(K32&gt;=50,"3",IF(K32&gt;=25,"2",1)))</f>
        <v>#VALUE!</v>
      </c>
      <c r="P31" s="211"/>
    </row>
    <row r="32" spans="1:18" s="382" customFormat="1" ht="11.25" x14ac:dyDescent="0.2">
      <c r="A32" s="213"/>
      <c r="B32" s="377"/>
      <c r="C32" s="213" t="s">
        <v>842</v>
      </c>
      <c r="D32" s="213"/>
      <c r="E32" s="213"/>
      <c r="F32" s="213"/>
      <c r="G32" s="378"/>
      <c r="H32" s="1551">
        <f>'FP Info 3'!H37</f>
        <v>0</v>
      </c>
      <c r="I32" s="392"/>
      <c r="J32" s="392"/>
      <c r="K32" s="1555" t="e">
        <f>TRUNC(100-((((H32/H33*100))*100)/100),2)</f>
        <v>#VALUE!</v>
      </c>
      <c r="L32" s="381"/>
      <c r="M32" s="337" t="s">
        <v>1134</v>
      </c>
      <c r="N32" s="337"/>
      <c r="O32" s="156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00"/>
  </sheetPr>
  <dimension ref="A1:N44"/>
  <sheetViews>
    <sheetView showGridLines="0" defaultGridColor="0" colorId="8" zoomScale="110" zoomScaleNormal="110" workbookViewId="0">
      <pane ySplit="2" topLeftCell="A3" activePane="bottomLeft" state="frozen"/>
      <selection pane="bottomLeft" activeCell="C40" sqref="C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532918</v>
      </c>
      <c r="D4" s="1573"/>
      <c r="E4" s="1573"/>
      <c r="F4" s="1573"/>
      <c r="G4" s="1573"/>
      <c r="H4" s="1573"/>
      <c r="I4" s="1573"/>
      <c r="J4" s="1574"/>
      <c r="K4" s="1573"/>
      <c r="L4" s="1573"/>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532918</v>
      </c>
      <c r="D13" s="1587">
        <f t="shared" ref="D13:L13" si="0">SUM(D4:D12)</f>
        <v>0</v>
      </c>
      <c r="E13" s="1587">
        <f t="shared" si="0"/>
        <v>0</v>
      </c>
      <c r="F13" s="1587">
        <f t="shared" si="0"/>
        <v>0</v>
      </c>
      <c r="G13" s="1587">
        <f t="shared" si="0"/>
        <v>0</v>
      </c>
      <c r="H13" s="1587">
        <f t="shared" si="0"/>
        <v>0</v>
      </c>
      <c r="I13" s="1587">
        <f t="shared" si="0"/>
        <v>0</v>
      </c>
      <c r="J13" s="1587">
        <f t="shared" si="0"/>
        <v>0</v>
      </c>
      <c r="K13" s="1587">
        <f t="shared" si="0"/>
        <v>0</v>
      </c>
      <c r="L13" s="1587">
        <f t="shared" si="0"/>
        <v>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c r="N16" s="1592"/>
    </row>
    <row r="17" spans="1:14" s="433" customFormat="1" ht="12.75" customHeight="1" x14ac:dyDescent="0.2">
      <c r="A17" s="431" t="s">
        <v>1386</v>
      </c>
      <c r="B17" s="432">
        <v>230</v>
      </c>
      <c r="C17" s="1582"/>
      <c r="D17" s="1582"/>
      <c r="E17" s="1582"/>
      <c r="F17" s="1582"/>
      <c r="G17" s="1582"/>
      <c r="H17" s="1582"/>
      <c r="I17" s="1582"/>
      <c r="J17" s="1582"/>
      <c r="K17" s="1582"/>
      <c r="L17" s="1582"/>
      <c r="M17" s="1574"/>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418490</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418490</v>
      </c>
      <c r="N23" s="1594">
        <f>SUM(N21:N22)</f>
        <v>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v>532918</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418490</v>
      </c>
      <c r="N40" s="1604"/>
    </row>
    <row r="41" spans="1:14" ht="13.5" customHeight="1" thickBot="1" x14ac:dyDescent="0.25">
      <c r="A41" s="1426" t="s">
        <v>650</v>
      </c>
      <c r="B41" s="1405"/>
      <c r="C41" s="1594">
        <f>(SUM(C34,C37,C38,C39))</f>
        <v>532918</v>
      </c>
      <c r="D41" s="1594">
        <f t="shared" ref="D41:L41" si="2">SUM(D34,D37,D38:D39)</f>
        <v>0</v>
      </c>
      <c r="E41" s="1594">
        <f t="shared" si="2"/>
        <v>0</v>
      </c>
      <c r="F41" s="1594">
        <f t="shared" si="2"/>
        <v>0</v>
      </c>
      <c r="G41" s="1594">
        <f t="shared" si="2"/>
        <v>0</v>
      </c>
      <c r="H41" s="1594">
        <f t="shared" si="2"/>
        <v>0</v>
      </c>
      <c r="I41" s="1594">
        <f t="shared" si="2"/>
        <v>0</v>
      </c>
      <c r="J41" s="1594">
        <f t="shared" si="2"/>
        <v>0</v>
      </c>
      <c r="K41" s="1594">
        <f t="shared" si="2"/>
        <v>0</v>
      </c>
      <c r="L41" s="1594">
        <f t="shared" si="2"/>
        <v>0</v>
      </c>
      <c r="M41" s="1594">
        <f>SUM(M40)</f>
        <v>418490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FF00"/>
  </sheetPr>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620232</v>
      </c>
      <c r="D4" s="1606">
        <f>'Revenues 9-14'!D109</f>
        <v>0</v>
      </c>
      <c r="E4" s="1606">
        <f>'Revenues 9-14'!E109</f>
        <v>0</v>
      </c>
      <c r="F4" s="1606">
        <f>'Revenues 9-14'!F109</f>
        <v>0</v>
      </c>
      <c r="G4" s="1606">
        <f>'Revenues 9-14'!G109</f>
        <v>0</v>
      </c>
      <c r="H4" s="1606">
        <f>'Revenues 9-14'!H109</f>
        <v>0</v>
      </c>
      <c r="I4" s="1606">
        <f>'Revenues 9-14'!I109</f>
        <v>0</v>
      </c>
      <c r="J4" s="1606">
        <f>'Revenues 9-14'!J109</f>
        <v>0</v>
      </c>
      <c r="K4" s="1606">
        <f>'Revenues 9-14'!K109</f>
        <v>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463630</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84250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1168112</v>
      </c>
      <c r="D8" s="1594">
        <f t="shared" ref="D8:K8" si="0">SUM(D4:D7)</f>
        <v>0</v>
      </c>
      <c r="E8" s="1594">
        <f t="shared" si="0"/>
        <v>0</v>
      </c>
      <c r="F8" s="1594">
        <f t="shared" si="0"/>
        <v>0</v>
      </c>
      <c r="G8" s="1594">
        <f t="shared" si="0"/>
        <v>0</v>
      </c>
      <c r="H8" s="1594">
        <f t="shared" si="0"/>
        <v>0</v>
      </c>
      <c r="I8" s="1594">
        <f t="shared" si="0"/>
        <v>0</v>
      </c>
      <c r="J8" s="1594">
        <f t="shared" si="0"/>
        <v>0</v>
      </c>
      <c r="K8" s="1594">
        <f t="shared" si="0"/>
        <v>0</v>
      </c>
      <c r="L8" s="325"/>
    </row>
    <row r="9" spans="1:13" ht="15.75" thickTop="1" x14ac:dyDescent="0.2">
      <c r="A9" s="449" t="s">
        <v>1634</v>
      </c>
      <c r="B9" s="450">
        <v>3998</v>
      </c>
      <c r="C9" s="1586">
        <v>0</v>
      </c>
      <c r="D9" s="1613"/>
      <c r="E9" s="1586"/>
      <c r="F9" s="1586"/>
      <c r="G9" s="1614"/>
      <c r="H9" s="1586"/>
      <c r="I9" s="1609" t="s">
        <v>1159</v>
      </c>
      <c r="J9" s="1583"/>
      <c r="K9" s="1586"/>
      <c r="L9" s="325"/>
    </row>
    <row r="10" spans="1:13" s="452" customFormat="1" ht="13.5" thickBot="1" x14ac:dyDescent="0.25">
      <c r="A10" s="1426" t="s">
        <v>1163</v>
      </c>
      <c r="B10" s="1407"/>
      <c r="C10" s="1594">
        <f>SUM(C8:C9)</f>
        <v>1168112</v>
      </c>
      <c r="D10" s="1594">
        <f t="shared" ref="D10:K10" si="1">SUM(D8:D9)</f>
        <v>0</v>
      </c>
      <c r="E10" s="1594">
        <f t="shared" si="1"/>
        <v>0</v>
      </c>
      <c r="F10" s="1594">
        <f t="shared" si="1"/>
        <v>0</v>
      </c>
      <c r="G10" s="1594">
        <f t="shared" si="1"/>
        <v>0</v>
      </c>
      <c r="H10" s="1594">
        <f t="shared" si="1"/>
        <v>0</v>
      </c>
      <c r="I10" s="1594">
        <f t="shared" si="1"/>
        <v>0</v>
      </c>
      <c r="J10" s="1594">
        <f t="shared" si="1"/>
        <v>0</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682742</v>
      </c>
      <c r="D12" s="1616" t="s">
        <v>1159</v>
      </c>
      <c r="E12" s="1575" t="s">
        <v>1159</v>
      </c>
      <c r="F12" s="1575" t="s">
        <v>1159</v>
      </c>
      <c r="G12" s="1606">
        <f>'Expenditures 15-22'!K229</f>
        <v>0</v>
      </c>
      <c r="H12" s="1617"/>
      <c r="I12" s="1575" t="s">
        <v>1159</v>
      </c>
      <c r="J12" s="1575" t="s">
        <v>1159</v>
      </c>
      <c r="K12" s="1617" t="s">
        <v>1159</v>
      </c>
      <c r="L12" s="325"/>
    </row>
    <row r="13" spans="1:13" ht="15.75" customHeight="1" x14ac:dyDescent="0.2">
      <c r="A13" s="1314" t="s">
        <v>454</v>
      </c>
      <c r="B13" s="1316">
        <v>2000</v>
      </c>
      <c r="C13" s="1607">
        <f>'Expenditures 15-22'!K74</f>
        <v>226968</v>
      </c>
      <c r="D13" s="1607">
        <f>'Expenditures 15-22'!K129</f>
        <v>0</v>
      </c>
      <c r="E13" s="1576" t="s">
        <v>1159</v>
      </c>
      <c r="F13" s="1607">
        <f>'Expenditures 15-22'!K184</f>
        <v>0</v>
      </c>
      <c r="G13" s="1607">
        <f>'Expenditures 15-22'!K279</f>
        <v>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0</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909710</v>
      </c>
      <c r="D17" s="1594">
        <f t="shared" si="2"/>
        <v>0</v>
      </c>
      <c r="E17" s="1594">
        <f t="shared" si="2"/>
        <v>0</v>
      </c>
      <c r="F17" s="1594">
        <f t="shared" si="2"/>
        <v>0</v>
      </c>
      <c r="G17" s="1594">
        <f t="shared" si="2"/>
        <v>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909710</v>
      </c>
      <c r="D19" s="1594">
        <f t="shared" si="4"/>
        <v>0</v>
      </c>
      <c r="E19" s="1594">
        <f t="shared" si="4"/>
        <v>0</v>
      </c>
      <c r="F19" s="1594">
        <f t="shared" si="4"/>
        <v>0</v>
      </c>
      <c r="G19" s="1594">
        <f t="shared" si="4"/>
        <v>0</v>
      </c>
      <c r="H19" s="1594">
        <f t="shared" si="4"/>
        <v>0</v>
      </c>
      <c r="I19" s="1575"/>
      <c r="J19" s="1594">
        <f>SUM(J17:J18)</f>
        <v>0</v>
      </c>
      <c r="K19" s="1594">
        <f>SUM(K17:K18)</f>
        <v>0</v>
      </c>
      <c r="L19" s="325"/>
    </row>
    <row r="20" spans="1:12" ht="16.5" thickTop="1" thickBot="1" x14ac:dyDescent="0.25">
      <c r="A20" s="2231" t="s">
        <v>1636</v>
      </c>
      <c r="B20" s="2232"/>
      <c r="C20" s="1622">
        <f>C8-C17</f>
        <v>258402</v>
      </c>
      <c r="D20" s="1622">
        <f t="shared" ref="D20:K20" si="5">D8-D17</f>
        <v>0</v>
      </c>
      <c r="E20" s="1622">
        <f t="shared" si="5"/>
        <v>0</v>
      </c>
      <c r="F20" s="1622">
        <f t="shared" si="5"/>
        <v>0</v>
      </c>
      <c r="G20" s="1622">
        <f t="shared" si="5"/>
        <v>0</v>
      </c>
      <c r="H20" s="1622">
        <f t="shared" si="5"/>
        <v>0</v>
      </c>
      <c r="I20" s="1622">
        <f t="shared" si="5"/>
        <v>0</v>
      </c>
      <c r="J20" s="1622">
        <f t="shared" si="5"/>
        <v>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258402</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274516</v>
      </c>
      <c r="D79" s="1630"/>
      <c r="E79" s="1630"/>
      <c r="F79" s="1630"/>
      <c r="G79" s="1630"/>
      <c r="H79" s="1630"/>
      <c r="I79" s="1630"/>
      <c r="J79" s="1630"/>
      <c r="K79" s="1630"/>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532918</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340</v>
      </c>
      <c r="B82" s="460"/>
      <c r="C82" s="461">
        <f>(C81-C79)</f>
        <v>258402</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0.48488135135236565</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FF00"/>
  </sheetPr>
  <dimension ref="A1:L279"/>
  <sheetViews>
    <sheetView showGridLines="0" defaultGridColor="0" colorId="8" zoomScale="110" zoomScaleNormal="110" zoomScaleSheetLayoutView="75" workbookViewId="0">
      <pane ySplit="2" topLeftCell="A205" activePane="bottomLeft" state="frozen"/>
      <selection pane="bottomLeft" activeCell="C220" sqref="C22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c r="D5" s="1586"/>
      <c r="E5" s="1573"/>
      <c r="F5" s="1631"/>
      <c r="G5" s="1573"/>
      <c r="H5" s="1573"/>
      <c r="I5" s="1573"/>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410</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c r="D16" s="1573"/>
      <c r="E16" s="1573"/>
      <c r="F16" s="1573"/>
      <c r="G16" s="1573"/>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v>14375</v>
      </c>
      <c r="D28" s="1575"/>
      <c r="E28" s="1575"/>
      <c r="F28" s="1575"/>
      <c r="G28" s="1575"/>
      <c r="H28" s="1575"/>
      <c r="I28" s="1575"/>
      <c r="J28" s="1575"/>
      <c r="K28" s="1575"/>
    </row>
    <row r="29" spans="1:11" ht="12.75" customHeight="1" x14ac:dyDescent="0.2">
      <c r="A29" s="427" t="s">
        <v>829</v>
      </c>
      <c r="B29" s="429">
        <v>1332</v>
      </c>
      <c r="C29" s="1632">
        <v>461350</v>
      </c>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v>900</v>
      </c>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476625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3985</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3985</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875</v>
      </c>
      <c r="D81" s="1573"/>
      <c r="E81" s="1575"/>
      <c r="F81" s="1575"/>
      <c r="G81" s="1575"/>
      <c r="H81" s="1575"/>
      <c r="I81" s="1575"/>
      <c r="J81" s="1575"/>
      <c r="K81" s="1575"/>
    </row>
    <row r="82" spans="1:11" ht="12.75" customHeight="1" thickBot="1" x14ac:dyDescent="0.25">
      <c r="A82" s="1406" t="s">
        <v>239</v>
      </c>
      <c r="B82" s="1407"/>
      <c r="C82" s="1633">
        <f>SUM(C77:C81)</f>
        <v>875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660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660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12920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23592</v>
      </c>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755</v>
      </c>
      <c r="D106" s="1598"/>
      <c r="E106" s="1574"/>
      <c r="F106" s="1574"/>
      <c r="G106" s="1574"/>
      <c r="H106" s="1574"/>
      <c r="I106" s="1617"/>
      <c r="J106" s="1574"/>
      <c r="K106" s="1574"/>
    </row>
    <row r="107" spans="1:12" ht="12.75" customHeight="1" x14ac:dyDescent="0.2">
      <c r="A107" s="427" t="s">
        <v>78</v>
      </c>
      <c r="B107" s="429">
        <v>1999</v>
      </c>
      <c r="C107" s="1632">
        <v>100820</v>
      </c>
      <c r="D107" s="1573"/>
      <c r="E107" s="1573"/>
      <c r="F107" s="1573"/>
      <c r="G107" s="1573"/>
      <c r="H107" s="1573"/>
      <c r="I107" s="1573"/>
      <c r="J107" s="1574"/>
      <c r="K107" s="1573"/>
    </row>
    <row r="108" spans="1:12" ht="12.75" customHeight="1" thickBot="1" x14ac:dyDescent="0.25">
      <c r="A108" s="1406" t="s">
        <v>484</v>
      </c>
      <c r="B108" s="1408"/>
      <c r="C108" s="1633">
        <f>SUM(C95:C107)</f>
        <v>138087</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620232</v>
      </c>
      <c r="D109" s="1641">
        <f t="shared" si="4"/>
        <v>0</v>
      </c>
      <c r="E109" s="1641">
        <f t="shared" si="4"/>
        <v>0</v>
      </c>
      <c r="F109" s="1641">
        <f t="shared" si="4"/>
        <v>0</v>
      </c>
      <c r="G109" s="1641">
        <f t="shared" si="4"/>
        <v>0</v>
      </c>
      <c r="H109" s="1641">
        <f t="shared" si="4"/>
        <v>0</v>
      </c>
      <c r="I109" s="1641">
        <f t="shared" si="4"/>
        <v>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463630</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463630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c r="G152" s="1574"/>
      <c r="H152" s="1575"/>
      <c r="I152" s="1575"/>
      <c r="J152" s="1575"/>
      <c r="K152" s="1575"/>
    </row>
    <row r="153" spans="1:11" ht="12.75" customHeight="1" x14ac:dyDescent="0.2">
      <c r="A153" s="427" t="s">
        <v>1048</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463630</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463630</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0</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v>84250</v>
      </c>
      <c r="D220" s="1573"/>
      <c r="E220" s="1575"/>
      <c r="F220" s="1575"/>
      <c r="G220" s="1573"/>
      <c r="H220" s="1575"/>
      <c r="I220" s="1575"/>
      <c r="J220" s="1575"/>
      <c r="K220" s="1575"/>
    </row>
    <row r="221" spans="1:11" ht="12.75" customHeight="1" thickBot="1" x14ac:dyDescent="0.25">
      <c r="A221" s="1415" t="s">
        <v>1076</v>
      </c>
      <c r="B221" s="1416"/>
      <c r="C221" s="1633">
        <f>SUM(C219:C220)</f>
        <v>84250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84250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84250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1168112</v>
      </c>
      <c r="D268" s="1641">
        <f t="shared" si="12"/>
        <v>0</v>
      </c>
      <c r="E268" s="1641">
        <f t="shared" si="12"/>
        <v>0</v>
      </c>
      <c r="F268" s="1641">
        <f t="shared" si="12"/>
        <v>0</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sheetPr>
  <dimension ref="A1:N368"/>
  <sheetViews>
    <sheetView showGridLines="0" defaultGridColor="0" colorId="8" zoomScale="110" zoomScaleNormal="110" workbookViewId="0">
      <pane ySplit="2" topLeftCell="A105" activePane="bottomLeft" state="frozen"/>
      <selection pane="bottomLeft" activeCell="L114" sqref="L1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c r="D5" s="1573"/>
      <c r="E5" s="1573"/>
      <c r="F5" s="1573"/>
      <c r="G5" s="1573"/>
      <c r="H5" s="1573"/>
      <c r="I5" s="1574"/>
      <c r="J5" s="1574"/>
      <c r="K5" s="1672">
        <f>SUM(C5:J5)</f>
        <v>0</v>
      </c>
      <c r="L5" s="1573"/>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387911</v>
      </c>
      <c r="D13" s="1573">
        <v>92281</v>
      </c>
      <c r="E13" s="1573">
        <v>17461</v>
      </c>
      <c r="F13" s="1573">
        <v>98461</v>
      </c>
      <c r="G13" s="1573">
        <v>86628</v>
      </c>
      <c r="H13" s="1573"/>
      <c r="I13" s="1574"/>
      <c r="J13" s="1574"/>
      <c r="K13" s="1672">
        <f t="shared" si="0"/>
        <v>682742</v>
      </c>
      <c r="L13" s="1573">
        <v>760246</v>
      </c>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387911</v>
      </c>
      <c r="D33" s="1674">
        <f t="shared" ref="D33:L33" si="1">SUM(D5:D32)</f>
        <v>92281</v>
      </c>
      <c r="E33" s="1674">
        <f t="shared" si="1"/>
        <v>17461</v>
      </c>
      <c r="F33" s="1674">
        <f t="shared" si="1"/>
        <v>98461</v>
      </c>
      <c r="G33" s="1674">
        <f t="shared" si="1"/>
        <v>86628</v>
      </c>
      <c r="H33" s="1674">
        <f t="shared" si="1"/>
        <v>0</v>
      </c>
      <c r="I33" s="1674">
        <f t="shared" si="1"/>
        <v>0</v>
      </c>
      <c r="J33" s="1674">
        <f t="shared" si="1"/>
        <v>0</v>
      </c>
      <c r="K33" s="1674">
        <f t="shared" si="1"/>
        <v>682742</v>
      </c>
      <c r="L33" s="1674">
        <f t="shared" si="1"/>
        <v>760246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v>4000</v>
      </c>
      <c r="F46" s="1573"/>
      <c r="G46" s="1573"/>
      <c r="H46" s="1573"/>
      <c r="I46" s="1574"/>
      <c r="J46" s="1574"/>
      <c r="K46" s="1678">
        <f>SUM(C46:J46)</f>
        <v>4000</v>
      </c>
      <c r="L46" s="1573">
        <v>4000</v>
      </c>
    </row>
    <row r="47" spans="1:14" ht="12.75" customHeight="1" thickBot="1" x14ac:dyDescent="0.25">
      <c r="A47" s="1380" t="s">
        <v>557</v>
      </c>
      <c r="B47" s="1381" t="s">
        <v>32</v>
      </c>
      <c r="C47" s="1674">
        <f>SUM(C44:C46)</f>
        <v>0</v>
      </c>
      <c r="D47" s="1674">
        <f t="shared" ref="D47:K47" si="4">SUM(D44:D46)</f>
        <v>0</v>
      </c>
      <c r="E47" s="1674">
        <f t="shared" si="4"/>
        <v>4000</v>
      </c>
      <c r="F47" s="1674">
        <f t="shared" si="4"/>
        <v>0</v>
      </c>
      <c r="G47" s="1674">
        <f t="shared" si="4"/>
        <v>0</v>
      </c>
      <c r="H47" s="1674">
        <f t="shared" si="4"/>
        <v>0</v>
      </c>
      <c r="I47" s="1674">
        <f t="shared" si="4"/>
        <v>0</v>
      </c>
      <c r="J47" s="1674">
        <f t="shared" si="4"/>
        <v>0</v>
      </c>
      <c r="K47" s="1674">
        <f t="shared" si="4"/>
        <v>4000</v>
      </c>
      <c r="L47" s="1674">
        <f>SUM(L44:L46)</f>
        <v>4000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5035</v>
      </c>
      <c r="F49" s="1586"/>
      <c r="G49" s="1586"/>
      <c r="H49" s="1586"/>
      <c r="I49" s="1574"/>
      <c r="J49" s="1574"/>
      <c r="K49" s="1678">
        <f>SUM(C49:J49)</f>
        <v>5035</v>
      </c>
      <c r="L49" s="1586">
        <v>6935</v>
      </c>
    </row>
    <row r="50" spans="1:14" x14ac:dyDescent="0.2">
      <c r="A50" s="1274" t="s">
        <v>813</v>
      </c>
      <c r="B50" s="503">
        <v>2320</v>
      </c>
      <c r="C50" s="1573"/>
      <c r="D50" s="1573"/>
      <c r="E50" s="1573"/>
      <c r="F50" s="1573"/>
      <c r="G50" s="1573"/>
      <c r="H50" s="1573"/>
      <c r="I50" s="1574"/>
      <c r="J50" s="1574"/>
      <c r="K50" s="1678">
        <f>SUM(C50:J50)</f>
        <v>0</v>
      </c>
      <c r="L50" s="1573"/>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v>833</v>
      </c>
      <c r="F52" s="1579"/>
      <c r="G52" s="1579"/>
      <c r="H52" s="1579"/>
      <c r="I52" s="1579"/>
      <c r="J52" s="1579"/>
      <c r="K52" s="1678">
        <f>SUM(C52:J52)</f>
        <v>833</v>
      </c>
      <c r="L52" s="1579"/>
    </row>
    <row r="53" spans="1:14" ht="12.75" customHeight="1" thickBot="1" x14ac:dyDescent="0.25">
      <c r="A53" s="1380" t="s">
        <v>712</v>
      </c>
      <c r="B53" s="1381" t="s">
        <v>33</v>
      </c>
      <c r="C53" s="1674">
        <f>SUM(C49:C52)</f>
        <v>0</v>
      </c>
      <c r="D53" s="1674">
        <f t="shared" ref="D53:L53" si="5">SUM(D49:D52)</f>
        <v>0</v>
      </c>
      <c r="E53" s="1674">
        <f t="shared" si="5"/>
        <v>5868</v>
      </c>
      <c r="F53" s="1674">
        <f t="shared" si="5"/>
        <v>0</v>
      </c>
      <c r="G53" s="1674">
        <f t="shared" si="5"/>
        <v>0</v>
      </c>
      <c r="H53" s="1674">
        <f t="shared" si="5"/>
        <v>0</v>
      </c>
      <c r="I53" s="1674">
        <f t="shared" si="5"/>
        <v>0</v>
      </c>
      <c r="J53" s="1674">
        <f t="shared" si="5"/>
        <v>0</v>
      </c>
      <c r="K53" s="1674">
        <f t="shared" si="5"/>
        <v>5868</v>
      </c>
      <c r="L53" s="1674">
        <f t="shared" si="5"/>
        <v>6935</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128534</v>
      </c>
      <c r="D55" s="1586">
        <v>25808</v>
      </c>
      <c r="E55" s="1586">
        <v>854</v>
      </c>
      <c r="F55" s="1586">
        <v>1792</v>
      </c>
      <c r="G55" s="1586"/>
      <c r="H55" s="1586"/>
      <c r="I55" s="1574"/>
      <c r="J55" s="1574"/>
      <c r="K55" s="1678">
        <f>SUM(C55:J55)</f>
        <v>156988</v>
      </c>
      <c r="L55" s="1586">
        <v>161070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128534</v>
      </c>
      <c r="D57" s="1679">
        <f t="shared" ref="D57:K57" si="6">SUM(D55:D56)</f>
        <v>25808</v>
      </c>
      <c r="E57" s="1679">
        <f t="shared" si="6"/>
        <v>854</v>
      </c>
      <c r="F57" s="1679">
        <f t="shared" si="6"/>
        <v>1792</v>
      </c>
      <c r="G57" s="1679">
        <f t="shared" si="6"/>
        <v>0</v>
      </c>
      <c r="H57" s="1679">
        <f t="shared" si="6"/>
        <v>0</v>
      </c>
      <c r="I57" s="1679">
        <f t="shared" si="6"/>
        <v>0</v>
      </c>
      <c r="J57" s="1679">
        <f t="shared" si="6"/>
        <v>0</v>
      </c>
      <c r="K57" s="1679">
        <f t="shared" si="6"/>
        <v>156988</v>
      </c>
      <c r="L57" s="1674">
        <f>SUM(L55:L56)</f>
        <v>161070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c r="D60" s="1573"/>
      <c r="E60" s="1573"/>
      <c r="F60" s="1573"/>
      <c r="G60" s="1573"/>
      <c r="H60" s="1573"/>
      <c r="I60" s="1574"/>
      <c r="J60" s="1574"/>
      <c r="K60" s="1678">
        <f t="shared" si="7"/>
        <v>0</v>
      </c>
      <c r="L60" s="1573"/>
      <c r="M60" s="501"/>
      <c r="N60" s="501"/>
    </row>
    <row r="61" spans="1:14" s="321" customFormat="1" x14ac:dyDescent="0.2">
      <c r="A61" s="1274" t="s">
        <v>195</v>
      </c>
      <c r="B61" s="503">
        <v>2540</v>
      </c>
      <c r="C61" s="1573"/>
      <c r="D61" s="1573"/>
      <c r="E61" s="1573"/>
      <c r="F61" s="1573">
        <v>60112</v>
      </c>
      <c r="G61" s="1573"/>
      <c r="H61" s="1573"/>
      <c r="I61" s="1574"/>
      <c r="J61" s="1574"/>
      <c r="K61" s="1678">
        <f t="shared" si="7"/>
        <v>60112</v>
      </c>
      <c r="L61" s="1573">
        <v>71000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0</v>
      </c>
      <c r="D65" s="1674">
        <f t="shared" ref="D65:L65" si="8">SUM(D59:D64)</f>
        <v>0</v>
      </c>
      <c r="E65" s="1674">
        <f t="shared" si="8"/>
        <v>0</v>
      </c>
      <c r="F65" s="1674">
        <f t="shared" si="8"/>
        <v>60112</v>
      </c>
      <c r="G65" s="1674">
        <f t="shared" si="8"/>
        <v>0</v>
      </c>
      <c r="H65" s="1674">
        <f t="shared" si="8"/>
        <v>0</v>
      </c>
      <c r="I65" s="1674">
        <f t="shared" si="8"/>
        <v>0</v>
      </c>
      <c r="J65" s="1674">
        <f t="shared" si="8"/>
        <v>0</v>
      </c>
      <c r="K65" s="1674">
        <f t="shared" si="8"/>
        <v>60112</v>
      </c>
      <c r="L65" s="1674">
        <f t="shared" si="8"/>
        <v>71000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128534</v>
      </c>
      <c r="D74" s="1681">
        <f t="shared" ref="D74:K74" si="10">SUM(D42,D47,D53,D57,D65,D72,D73)</f>
        <v>25808</v>
      </c>
      <c r="E74" s="1681">
        <f t="shared" si="10"/>
        <v>10722</v>
      </c>
      <c r="F74" s="1681">
        <f t="shared" si="10"/>
        <v>61904</v>
      </c>
      <c r="G74" s="1681">
        <f t="shared" si="10"/>
        <v>0</v>
      </c>
      <c r="H74" s="1681">
        <f t="shared" si="10"/>
        <v>0</v>
      </c>
      <c r="I74" s="1681">
        <f t="shared" si="10"/>
        <v>0</v>
      </c>
      <c r="J74" s="1681">
        <f t="shared" si="10"/>
        <v>0</v>
      </c>
      <c r="K74" s="1681">
        <f t="shared" si="10"/>
        <v>226968</v>
      </c>
      <c r="L74" s="1681">
        <f>SUM(L42,L47,L53,L57,L65,L72,L73)</f>
        <v>243005</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0</v>
      </c>
      <c r="I102" s="1582"/>
      <c r="J102" s="1582"/>
      <c r="K102" s="1681">
        <f>SUM(K84,K92,K100,K101)</f>
        <v>0</v>
      </c>
      <c r="L102" s="1681">
        <f>SUM(L84,L92,L100,L101)</f>
        <v>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1000</v>
      </c>
      <c r="M113" s="502"/>
      <c r="N113" s="502"/>
    </row>
    <row r="114" spans="1:14" ht="12.75" customHeight="1" thickTop="1" thickBot="1" x14ac:dyDescent="0.25">
      <c r="A114" s="1380" t="s">
        <v>48</v>
      </c>
      <c r="B114" s="1388"/>
      <c r="C114" s="1674">
        <f>SUM(C33,C74,C75,C102,C112,C113)</f>
        <v>516445</v>
      </c>
      <c r="D114" s="1674">
        <f t="shared" ref="D114:K114" si="13">SUM(D33,D74,D75,D102,D112,D113)</f>
        <v>118089</v>
      </c>
      <c r="E114" s="1674">
        <f t="shared" si="13"/>
        <v>28183</v>
      </c>
      <c r="F114" s="1674">
        <f t="shared" si="13"/>
        <v>160365</v>
      </c>
      <c r="G114" s="1674">
        <f t="shared" si="13"/>
        <v>86628</v>
      </c>
      <c r="H114" s="1674">
        <f>SUM(H33,H74,H75,H102,H112,H113)</f>
        <v>0</v>
      </c>
      <c r="I114" s="1674">
        <f t="shared" si="13"/>
        <v>0</v>
      </c>
      <c r="J114" s="1674">
        <f t="shared" si="13"/>
        <v>0</v>
      </c>
      <c r="K114" s="1674">
        <f t="shared" si="13"/>
        <v>909710</v>
      </c>
      <c r="L114" s="1674">
        <f>SUM(L33,L74,L75,L102,L112,L113)</f>
        <v>1004251</v>
      </c>
    </row>
    <row r="115" spans="1:14" ht="13.5" thickTop="1" x14ac:dyDescent="0.2">
      <c r="A115" s="2261" t="s">
        <v>989</v>
      </c>
      <c r="B115" s="2262"/>
      <c r="C115" s="1675"/>
      <c r="D115" s="1675"/>
      <c r="E115" s="1675"/>
      <c r="F115" s="1675"/>
      <c r="G115" s="1675"/>
      <c r="H115" s="1675"/>
      <c r="I115" s="1675"/>
      <c r="J115" s="1675"/>
      <c r="K115" s="1689">
        <f>'Revenues 9-14'!C268-'Expenditures 15-22'!K114</f>
        <v>258402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c r="F124" s="1573"/>
      <c r="G124" s="1573"/>
      <c r="H124" s="1573"/>
      <c r="I124" s="1574"/>
      <c r="J124" s="1574"/>
      <c r="K124" s="1674">
        <f>SUM(C124:J124)</f>
        <v>0</v>
      </c>
      <c r="L124" s="1573"/>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0</v>
      </c>
      <c r="F127" s="1674">
        <f t="shared" si="14"/>
        <v>0</v>
      </c>
      <c r="G127" s="1674">
        <f t="shared" si="14"/>
        <v>0</v>
      </c>
      <c r="H127" s="1674">
        <f t="shared" si="14"/>
        <v>0</v>
      </c>
      <c r="I127" s="1674">
        <f t="shared" si="14"/>
        <v>0</v>
      </c>
      <c r="J127" s="1674">
        <f t="shared" si="14"/>
        <v>0</v>
      </c>
      <c r="K127" s="1674">
        <f t="shared" si="14"/>
        <v>0</v>
      </c>
      <c r="L127" s="1674">
        <f t="shared" si="14"/>
        <v>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0</v>
      </c>
      <c r="F129" s="1681">
        <f t="shared" si="15"/>
        <v>0</v>
      </c>
      <c r="G129" s="1681">
        <f t="shared" si="15"/>
        <v>0</v>
      </c>
      <c r="H129" s="1681">
        <f t="shared" si="15"/>
        <v>0</v>
      </c>
      <c r="I129" s="1681">
        <f t="shared" si="15"/>
        <v>0</v>
      </c>
      <c r="J129" s="1681">
        <f t="shared" si="15"/>
        <v>0</v>
      </c>
      <c r="K129" s="1681">
        <f t="shared" si="15"/>
        <v>0</v>
      </c>
      <c r="L129" s="1681">
        <f t="shared" si="15"/>
        <v>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0</v>
      </c>
      <c r="D151" s="1674">
        <f t="shared" ref="D151:K151" si="16">SUM(D129,D130,D139,D149,D150)</f>
        <v>0</v>
      </c>
      <c r="E151" s="1674">
        <f t="shared" si="16"/>
        <v>0</v>
      </c>
      <c r="F151" s="1674">
        <f t="shared" si="16"/>
        <v>0</v>
      </c>
      <c r="G151" s="1674">
        <f t="shared" si="16"/>
        <v>0</v>
      </c>
      <c r="H151" s="1674">
        <f t="shared" si="16"/>
        <v>0</v>
      </c>
      <c r="I151" s="1674">
        <f t="shared" si="16"/>
        <v>0</v>
      </c>
      <c r="J151" s="1674">
        <f t="shared" si="16"/>
        <v>0</v>
      </c>
      <c r="K151" s="1674">
        <f t="shared" si="16"/>
        <v>0</v>
      </c>
      <c r="L151" s="1674">
        <f>SUM(L129,L130,L139,L149,L150)</f>
        <v>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1651</v>
      </c>
      <c r="B170" s="545" t="s">
        <v>31</v>
      </c>
      <c r="C170" s="1673"/>
      <c r="D170" s="1673"/>
      <c r="E170" s="1673"/>
      <c r="F170" s="1673"/>
      <c r="G170" s="1673"/>
      <c r="H170" s="1646"/>
      <c r="I170" s="1673"/>
      <c r="J170" s="1673"/>
      <c r="K170" s="1672">
        <f>SUM(C170:J170)</f>
        <v>0</v>
      </c>
      <c r="L170" s="1646"/>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1" t="s">
        <v>989</v>
      </c>
      <c r="B175" s="2262"/>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c r="F182" s="1573"/>
      <c r="G182" s="1573"/>
      <c r="H182" s="1573"/>
      <c r="I182" s="1574"/>
      <c r="J182" s="1574"/>
      <c r="K182" s="1672">
        <f>SUM(C182:J182)</f>
        <v>0</v>
      </c>
      <c r="L182" s="1573"/>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0</v>
      </c>
      <c r="F184" s="1681">
        <f t="shared" si="17"/>
        <v>0</v>
      </c>
      <c r="G184" s="1681">
        <f t="shared" si="17"/>
        <v>0</v>
      </c>
      <c r="H184" s="1681">
        <f t="shared" si="17"/>
        <v>0</v>
      </c>
      <c r="I184" s="1681">
        <f t="shared" si="17"/>
        <v>0</v>
      </c>
      <c r="J184" s="1681">
        <f t="shared" si="17"/>
        <v>0</v>
      </c>
      <c r="K184" s="1681">
        <f>SUM(K180,K182,K183)</f>
        <v>0</v>
      </c>
      <c r="L184" s="1681">
        <f>SUM(L180, L182:L183)</f>
        <v>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0</v>
      </c>
      <c r="F210" s="1674">
        <f>SUM(F184,F185)</f>
        <v>0</v>
      </c>
      <c r="G210" s="1674">
        <f>SUM(G184,G185)</f>
        <v>0</v>
      </c>
      <c r="H210" s="1674">
        <f>SUM(H184,H185,H196,H208,H209)</f>
        <v>0</v>
      </c>
      <c r="I210" s="1674">
        <f>SUM(I184,I185)</f>
        <v>0</v>
      </c>
      <c r="J210" s="1674">
        <f>SUM(J184,J185)</f>
        <v>0</v>
      </c>
      <c r="K210" s="1672">
        <f>SUM(K184,K185,K196,K208,K209)</f>
        <v>0</v>
      </c>
      <c r="L210" s="1674">
        <f>SUM(L184,L185,L196,L208,L209)</f>
        <v>0</v>
      </c>
    </row>
    <row r="211" spans="1:14" ht="13.5" thickTop="1" x14ac:dyDescent="0.2">
      <c r="A211" s="2261" t="s">
        <v>989</v>
      </c>
      <c r="B211" s="2262"/>
      <c r="C211" s="1675"/>
      <c r="D211" s="1675"/>
      <c r="E211" s="1675"/>
      <c r="F211" s="1675"/>
      <c r="G211" s="1675"/>
      <c r="H211" s="1675"/>
      <c r="I211" s="1673"/>
      <c r="J211" s="1673"/>
      <c r="K211" s="1689">
        <f>'Revenues 9-14'!F268-'Expenditures 15-22'!K210</f>
        <v>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c r="E215" s="1673"/>
      <c r="F215" s="1673"/>
      <c r="G215" s="1673"/>
      <c r="H215" s="1673"/>
      <c r="I215" s="1673"/>
      <c r="J215" s="1673"/>
      <c r="K215" s="1672">
        <f>D215</f>
        <v>0</v>
      </c>
      <c r="L215" s="1573"/>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c r="E223" s="1673"/>
      <c r="F223" s="1673"/>
      <c r="G223" s="1673"/>
      <c r="H223" s="1673"/>
      <c r="I223" s="1673"/>
      <c r="J223" s="1673"/>
      <c r="K223" s="1672">
        <f t="shared" si="19"/>
        <v>0</v>
      </c>
      <c r="L223" s="1573"/>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c r="E246" s="1673"/>
      <c r="F246" s="1673"/>
      <c r="G246" s="1673"/>
      <c r="H246" s="1673"/>
      <c r="I246" s="1673"/>
      <c r="J246" s="1673"/>
      <c r="K246" s="1678">
        <f t="shared" ref="K246:K256" si="21">D246</f>
        <v>0</v>
      </c>
      <c r="L246" s="1573"/>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c r="E259" s="1673"/>
      <c r="F259" s="1673"/>
      <c r="G259" s="1673"/>
      <c r="H259" s="1673"/>
      <c r="I259" s="1673"/>
      <c r="J259" s="1673"/>
      <c r="K259" s="1678">
        <f>D259</f>
        <v>0</v>
      </c>
      <c r="L259" s="1586"/>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1" t="s">
        <v>989</v>
      </c>
      <c r="B296" s="2262"/>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&amp;F&amp;CSee accompanying notes to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0</v>
      </c>
      <c r="C4" s="1722"/>
      <c r="D4" s="1723">
        <f>B4-C4</f>
        <v>0</v>
      </c>
      <c r="E4" s="1722"/>
      <c r="F4" s="1723">
        <f>E4-C4</f>
        <v>0</v>
      </c>
    </row>
    <row r="5" spans="1:8" ht="13.7" customHeight="1" x14ac:dyDescent="0.2">
      <c r="A5" s="579" t="s">
        <v>865</v>
      </c>
      <c r="B5" s="1724">
        <f>'Revenues 9-14'!D5</f>
        <v>0</v>
      </c>
      <c r="C5" s="1664"/>
      <c r="D5" s="1725">
        <f t="shared" ref="D5:D18" si="0">B5-C5</f>
        <v>0</v>
      </c>
      <c r="E5" s="1664"/>
      <c r="F5" s="1725">
        <f>E5-C5</f>
        <v>0</v>
      </c>
    </row>
    <row r="6" spans="1:8" ht="13.7" customHeight="1" x14ac:dyDescent="0.2">
      <c r="A6" s="579" t="s">
        <v>408</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1169</v>
      </c>
      <c r="B8" s="1724">
        <f>'Revenues 9-14'!G5</f>
        <v>0</v>
      </c>
      <c r="C8" s="1664"/>
      <c r="D8" s="1725">
        <f t="shared" si="0"/>
        <v>0</v>
      </c>
      <c r="E8" s="1664"/>
      <c r="F8" s="1725">
        <f t="shared" si="1"/>
        <v>0</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0</v>
      </c>
      <c r="C10" s="1664"/>
      <c r="D10" s="1725">
        <f t="shared" si="0"/>
        <v>0</v>
      </c>
      <c r="E10" s="1664"/>
      <c r="F10" s="1725">
        <f t="shared" si="1"/>
        <v>0</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0</v>
      </c>
      <c r="C14" s="1664"/>
      <c r="D14" s="1725">
        <f t="shared" si="0"/>
        <v>0</v>
      </c>
      <c r="E14" s="1664"/>
      <c r="F14" s="1725">
        <f t="shared" si="1"/>
        <v>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0</v>
      </c>
      <c r="C16" s="1664"/>
      <c r="D16" s="1725">
        <f t="shared" si="0"/>
        <v>0</v>
      </c>
      <c r="E16" s="1664"/>
      <c r="F16" s="1725">
        <f t="shared" si="1"/>
        <v>0</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0</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FF00"/>
  </sheetPr>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c r="D8" s="1771"/>
      <c r="E8" s="1771"/>
      <c r="F8" s="1765">
        <f>(C8+D8)-E8</f>
        <v>0</v>
      </c>
      <c r="G8" s="681">
        <v>50</v>
      </c>
      <c r="H8" s="619"/>
      <c r="I8" s="619"/>
      <c r="J8" s="619"/>
      <c r="K8" s="1442">
        <f>(H8+I8)-J8</f>
        <v>0</v>
      </c>
      <c r="L8" s="1442">
        <f>F8-K8</f>
        <v>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339943</v>
      </c>
      <c r="D12" s="1771">
        <v>86628</v>
      </c>
      <c r="E12" s="1771">
        <v>8081</v>
      </c>
      <c r="F12" s="1765">
        <f>(C12+D12)-E12</f>
        <v>418490</v>
      </c>
      <c r="G12" s="681">
        <v>10</v>
      </c>
      <c r="H12" s="619">
        <v>133300</v>
      </c>
      <c r="I12" s="619">
        <v>37517</v>
      </c>
      <c r="J12" s="619">
        <v>8081</v>
      </c>
      <c r="K12" s="1442">
        <f>(H12+I12)-J12</f>
        <v>162736</v>
      </c>
      <c r="L12" s="1442">
        <f>F12-K12</f>
        <v>255754</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339943</v>
      </c>
      <c r="D16" s="1765">
        <f>SUM(D3,D5:D6,D8:D10,D12:D15)</f>
        <v>86628</v>
      </c>
      <c r="E16" s="1765">
        <f>SUM(E3,E5:E6,E8:E10,E12:E15)</f>
        <v>8081</v>
      </c>
      <c r="F16" s="1765">
        <f>SUM(F3,F5:F6,F8:F10,F12:F15)</f>
        <v>418490</v>
      </c>
      <c r="G16" s="681"/>
      <c r="H16" s="1435">
        <f>SUM(H3,H6,H8:H10,H12:H14,)</f>
        <v>133300</v>
      </c>
      <c r="I16" s="1435">
        <f>SUM(I3,I6,I8:I10,I12:I14,)</f>
        <v>37517</v>
      </c>
      <c r="J16" s="1435">
        <f>SUM(J3,J6,J8:J10,J12:J14,)</f>
        <v>8081</v>
      </c>
      <c r="K16" s="1435">
        <f>(H16+I16)-J16</f>
        <v>162736</v>
      </c>
      <c r="L16" s="1435">
        <f>F16-K16</f>
        <v>255754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37517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FF00"/>
  </sheetPr>
  <dimension ref="A1:I203"/>
  <sheetViews>
    <sheetView showGridLines="0" defaultGridColor="0"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909710</v>
      </c>
      <c r="G8" s="701"/>
    </row>
    <row r="9" spans="1:9" x14ac:dyDescent="0.2">
      <c r="A9" s="705" t="s">
        <v>457</v>
      </c>
      <c r="B9" s="706" t="s">
        <v>1848</v>
      </c>
      <c r="C9" s="707"/>
      <c r="D9" s="705" t="s">
        <v>498</v>
      </c>
      <c r="E9" s="704"/>
      <c r="F9" s="1775">
        <f>'Expenditures 15-22'!K151</f>
        <v>0</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0</v>
      </c>
      <c r="G11" s="708"/>
    </row>
    <row r="12" spans="1:9" x14ac:dyDescent="0.2">
      <c r="A12" s="705" t="s">
        <v>459</v>
      </c>
      <c r="B12" s="706" t="s">
        <v>1851</v>
      </c>
      <c r="C12" s="707"/>
      <c r="D12" s="705" t="s">
        <v>498</v>
      </c>
      <c r="E12" s="704"/>
      <c r="F12" s="1775">
        <f>'Expenditures 15-22'!K295</f>
        <v>0</v>
      </c>
      <c r="G12" s="708"/>
    </row>
    <row r="13" spans="1:9" x14ac:dyDescent="0.2">
      <c r="A13" s="705" t="s">
        <v>106</v>
      </c>
      <c r="B13" s="706" t="s">
        <v>1852</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909710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0</v>
      </c>
      <c r="G53" s="701"/>
    </row>
    <row r="54" spans="1:7" x14ac:dyDescent="0.2">
      <c r="A54" s="705" t="s">
        <v>456</v>
      </c>
      <c r="B54" s="705" t="s">
        <v>1459</v>
      </c>
      <c r="C54" s="724" t="s">
        <v>975</v>
      </c>
      <c r="D54" s="720" t="s">
        <v>1086</v>
      </c>
      <c r="E54" s="704"/>
      <c r="F54" s="1782">
        <f>'Expenditures 15-22'!G114</f>
        <v>86628</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86628</v>
      </c>
      <c r="G77" s="701"/>
    </row>
    <row r="78" spans="1:9" s="728" customFormat="1" ht="12" customHeight="1" thickTop="1" thickBot="1" x14ac:dyDescent="0.25">
      <c r="A78" s="1450"/>
      <c r="B78" s="1448"/>
      <c r="C78" s="1445"/>
      <c r="D78" s="1449" t="s">
        <v>2012</v>
      </c>
      <c r="E78" s="1447"/>
      <c r="F78" s="1788">
        <f>(F14-F77)</f>
        <v>823082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2013</v>
      </c>
      <c r="E80" s="1447" t="s">
        <v>952</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875</v>
      </c>
      <c r="G96" s="745"/>
    </row>
    <row r="97" spans="1:7" x14ac:dyDescent="0.2">
      <c r="A97" s="741" t="s">
        <v>456</v>
      </c>
      <c r="B97" s="741" t="s">
        <v>175</v>
      </c>
      <c r="C97" s="743">
        <f>'Revenues 9-14'!B84</f>
        <v>1811</v>
      </c>
      <c r="D97" s="744" t="str">
        <f>'Revenues 9-14'!A84</f>
        <v>Rentals - Regular Textbooks</v>
      </c>
      <c r="E97" s="739"/>
      <c r="F97" s="1793">
        <f>'Revenues 9-14'!C84</f>
        <v>660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23592</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755</v>
      </c>
      <c r="G105" s="745"/>
    </row>
    <row r="106" spans="1:7" x14ac:dyDescent="0.2">
      <c r="A106" s="741" t="s">
        <v>500</v>
      </c>
      <c r="B106" s="741" t="s">
        <v>1910</v>
      </c>
      <c r="C106" s="746">
        <v>3100</v>
      </c>
      <c r="D106" s="752" t="str">
        <f>'Revenues 9-14'!A132</f>
        <v>Total Special Education</v>
      </c>
      <c r="E106" s="739"/>
      <c r="F106" s="1793">
        <f>SUM('Revenues 9-14'!C132:D132,'Revenues 9-14'!F132)</f>
        <v>0</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463630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0</v>
      </c>
      <c r="G126" s="763"/>
    </row>
    <row r="127" spans="1:7" x14ac:dyDescent="0.2">
      <c r="A127" s="760" t="s">
        <v>663</v>
      </c>
      <c r="B127" s="760" t="s">
        <v>1931</v>
      </c>
      <c r="C127" s="765">
        <v>4300</v>
      </c>
      <c r="D127" s="766" t="str">
        <f>'Revenues 9-14'!A204</f>
        <v>Total Title I</v>
      </c>
      <c r="E127" s="739"/>
      <c r="F127" s="1793">
        <f>SUM('Revenues 9-14'!C204,'Revenues 9-14'!D204,'Revenues 9-14'!F204,'Revenues 9-14'!G204)</f>
        <v>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84250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c r="G172" s="760"/>
    </row>
    <row r="173" spans="1:7" x14ac:dyDescent="0.2">
      <c r="A173" s="1529" t="s">
        <v>659</v>
      </c>
      <c r="B173" s="1530" t="s">
        <v>1885</v>
      </c>
      <c r="C173" s="1531">
        <v>3300</v>
      </c>
      <c r="D173" s="1532" t="s">
        <v>1888</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573762</v>
      </c>
    </row>
    <row r="176" spans="1:7" ht="12" customHeight="1" x14ac:dyDescent="0.2">
      <c r="A176" s="1443"/>
      <c r="B176" s="1453"/>
      <c r="C176" s="1454"/>
      <c r="D176" s="1455" t="s">
        <v>2014</v>
      </c>
      <c r="E176" s="1456"/>
      <c r="F176" s="1793">
        <f>'PCTC-OEPP 27-28'!F78-F175</f>
        <v>249320</v>
      </c>
    </row>
    <row r="177" spans="1:9" ht="12" customHeight="1" x14ac:dyDescent="0.2">
      <c r="A177" s="1443"/>
      <c r="B177" s="1453"/>
      <c r="C177" s="1454"/>
      <c r="D177" s="1455" t="s">
        <v>1794</v>
      </c>
      <c r="E177" s="1456"/>
      <c r="F177" s="1793">
        <f>'Cap Outlay Deprec 26'!I18</f>
        <v>37517</v>
      </c>
    </row>
    <row r="178" spans="1:9" ht="12" customHeight="1" x14ac:dyDescent="0.2">
      <c r="A178" s="1443"/>
      <c r="B178" s="1453"/>
      <c r="C178" s="1454"/>
      <c r="D178" s="1455" t="s">
        <v>2015</v>
      </c>
      <c r="E178" s="1456"/>
      <c r="F178" s="1793">
        <f>F176+F177</f>
        <v>286837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2017</v>
      </c>
      <c r="E180" s="1456" t="s">
        <v>1528</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G142"/>
  <sheetViews>
    <sheetView showGridLines="0" zoomScaleNormal="100" workbookViewId="0">
      <selection activeCell="A19" sqref="A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2070</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FF00"/>
  </sheetPr>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596114</v>
      </c>
      <c r="F19" s="1802"/>
      <c r="G19" s="1804">
        <f>'Expenditures 15-22'!K33-SUM('Expenditures 15-22'!G33,'Expenditures 15-22'!I33)+'Expenditures 15-22'!D229</f>
        <v>596114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560</v>
      </c>
      <c r="B22" s="825"/>
      <c r="C22" s="823">
        <v>2200</v>
      </c>
      <c r="D22" s="1805"/>
      <c r="E22" s="1807">
        <f>'Expenditures 15-22'!K47-SUM('Expenditures 15-22'!G47,'Expenditures 15-22'!I47)+'Expenditures 15-22'!D243</f>
        <v>4000</v>
      </c>
      <c r="F22" s="1805"/>
      <c r="G22" s="1808">
        <f>'Expenditures 15-22'!K47-SUM('Expenditures 15-22'!G47,'Expenditures 15-22'!I47)+'Expenditures 15-22'!D243</f>
        <v>4000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5868</v>
      </c>
      <c r="F23" s="1805"/>
      <c r="G23" s="1807">
        <f>'Expenditures 15-22'!K53-SUM('Expenditures 15-22'!G53,'Expenditures 15-22'!I53)+'Expenditures 15-22'!D257+'Expenditures 15-22'!K330-SUM('Expenditures 15-22'!G330,'Expenditures 15-22'!I330)</f>
        <v>5868</v>
      </c>
      <c r="H23" s="817"/>
      <c r="I23" s="157"/>
    </row>
    <row r="24" spans="1:9" s="542" customFormat="1" ht="12" customHeight="1" x14ac:dyDescent="0.2">
      <c r="A24" s="824" t="s">
        <v>562</v>
      </c>
      <c r="B24" s="825"/>
      <c r="C24" s="823">
        <v>2400</v>
      </c>
      <c r="D24" s="1805"/>
      <c r="E24" s="1807">
        <f>'Expenditures 15-22'!K57-SUM('Expenditures 15-22'!G57,'Expenditures 15-22'!I57)+'Expenditures 15-22'!D261</f>
        <v>156988</v>
      </c>
      <c r="F24" s="1805"/>
      <c r="G24" s="1808">
        <f>'Expenditures 15-22'!K57-SUM('Expenditures 15-22'!G57,'Expenditures 15-22'!I57)+'Expenditures 15-22'!D261</f>
        <v>156988</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0</v>
      </c>
      <c r="F27" s="1807">
        <f>'Expenditures 15-22'!K60-SUM('Expenditures 15-22'!G60,'Expenditures 15-22'!I60)+'Expenditures 15-22'!D264-E8</f>
        <v>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60112</v>
      </c>
      <c r="F28" s="1809">
        <f>'Expenditures 15-22'!K61-SUM('Expenditures 15-22'!G61,'Expenditures 15-22'!I61)+'Expenditures 15-22'!K124-SUM('Expenditures 15-22'!G124,'Expenditures 15-22'!I124)+'Expenditures 15-22'!D266-E9</f>
        <v>60112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0</v>
      </c>
      <c r="F29" s="1805"/>
      <c r="G29" s="1808">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0</v>
      </c>
      <c r="E41" s="1809">
        <f>SUM(E19:E40)</f>
        <v>823082</v>
      </c>
      <c r="F41" s="1809">
        <f>SUM(F19:F39)</f>
        <v>60112</v>
      </c>
      <c r="G41" s="1809">
        <f>SUM(G19:G40)</f>
        <v>762970</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0</v>
      </c>
      <c r="F43" s="1458" t="s">
        <v>470</v>
      </c>
      <c r="G43" s="1810">
        <f>F41</f>
        <v>60112</v>
      </c>
    </row>
    <row r="44" spans="1:7" ht="12" customHeight="1" x14ac:dyDescent="0.2">
      <c r="A44" s="817"/>
      <c r="B44" s="157"/>
      <c r="C44" s="831"/>
      <c r="D44" s="1458" t="s">
        <v>471</v>
      </c>
      <c r="E44" s="1810">
        <f>E41</f>
        <v>823082</v>
      </c>
      <c r="F44" s="1458" t="s">
        <v>471</v>
      </c>
      <c r="G44" s="1810">
        <f>G41</f>
        <v>762970</v>
      </c>
    </row>
    <row r="45" spans="1:7" ht="12" customHeight="1" x14ac:dyDescent="0.2">
      <c r="A45" s="817"/>
      <c r="B45" s="157"/>
      <c r="C45" s="157"/>
      <c r="D45" s="1459" t="s">
        <v>999</v>
      </c>
      <c r="E45" s="1811">
        <f>(E43/E44)</f>
        <v>0</v>
      </c>
      <c r="F45" s="1459" t="s">
        <v>999</v>
      </c>
      <c r="G45" s="1811">
        <f>(G43/G44)</f>
        <v>7.8786846140739483E-2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FF00"/>
    <pageSetUpPr fitToPage="1"/>
  </sheetPr>
  <dimension ref="A1:O97"/>
  <sheetViews>
    <sheetView showGridLines="0" topLeftCell="A16" zoomScale="110" zoomScaleNormal="110" workbookViewId="0">
      <selection activeCell="E31" sqref="E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Quincy Area Voc Ctr</v>
      </c>
      <c r="D6" s="2415"/>
      <c r="E6" s="2415"/>
      <c r="F6" s="1482"/>
      <c r="G6" s="1507"/>
      <c r="L6" s="1507"/>
      <c r="M6" s="1855"/>
      <c r="N6" s="1855"/>
      <c r="O6" s="1855"/>
    </row>
    <row r="7" spans="1:15" ht="11.25" customHeight="1" thickBot="1" x14ac:dyDescent="0.3">
      <c r="A7" s="1480"/>
      <c r="B7" s="1481"/>
      <c r="C7" s="2416">
        <f>COVER!A13</f>
        <v>1001172041</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2055</v>
      </c>
      <c r="D31" s="1495" t="s">
        <v>2055</v>
      </c>
      <c r="E31" s="1498"/>
      <c r="F31" s="1497" t="s">
        <v>2068</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0</v>
      </c>
      <c r="K34" s="1507">
        <f>SUM(H34:J34)</f>
        <v>10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t="s">
        <v>2069</v>
      </c>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N83"/>
  <sheetViews>
    <sheetView showGridLines="0" topLeftCell="A13" zoomScaleNormal="100" workbookViewId="0">
      <selection activeCell="F30" sqref="F30:H30"/>
    </sheetView>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7" t="str">
        <f>COVER!A17</f>
        <v xml:space="preserve">  Quincy Area Voc Ctr</v>
      </c>
      <c r="K6" s="2437"/>
      <c r="L6" s="2451"/>
      <c r="M6" s="838"/>
      <c r="N6" s="1999"/>
    </row>
    <row r="7" spans="1:14" x14ac:dyDescent="0.2">
      <c r="A7" s="2452" t="s">
        <v>864</v>
      </c>
      <c r="B7" s="2453"/>
      <c r="C7" s="2453"/>
      <c r="D7" s="2453"/>
      <c r="E7" s="2454"/>
      <c r="F7" s="839"/>
      <c r="G7" s="838"/>
      <c r="H7" s="838"/>
      <c r="I7" s="1925" t="s">
        <v>369</v>
      </c>
      <c r="J7" s="2439">
        <f>COVER!A13</f>
        <v>1001172041</v>
      </c>
      <c r="K7" s="2439"/>
      <c r="L7" s="2439"/>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5" t="s">
        <v>478</v>
      </c>
      <c r="B11" s="2456"/>
      <c r="C11" s="2457"/>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8" t="s">
        <v>7</v>
      </c>
      <c r="C18" s="2459"/>
      <c r="D18" s="2460"/>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0</v>
      </c>
      <c r="F19" s="1951">
        <f t="shared" si="2"/>
        <v>0</v>
      </c>
      <c r="G19" s="1951">
        <f t="shared" ref="G19" si="3">SUM(G12:G17)-G18</f>
        <v>0</v>
      </c>
      <c r="H19" s="1951">
        <f t="shared" si="2"/>
        <v>0</v>
      </c>
      <c r="I19" s="1951">
        <f t="shared" si="2"/>
        <v>0</v>
      </c>
      <c r="J19" s="1951">
        <f t="shared" si="2"/>
        <v>0</v>
      </c>
      <c r="K19" s="1951">
        <f t="shared" si="2"/>
        <v>0</v>
      </c>
      <c r="L19" s="1951">
        <f t="shared" si="2"/>
        <v>0</v>
      </c>
      <c r="M19" s="838"/>
      <c r="N19" s="1999"/>
    </row>
    <row r="20" spans="1:14" ht="13.5" thickTop="1" x14ac:dyDescent="0.2">
      <c r="A20" s="2004">
        <v>9</v>
      </c>
      <c r="B20" s="2461" t="s">
        <v>2021</v>
      </c>
      <c r="C20" s="2461"/>
      <c r="D20" s="2462"/>
      <c r="E20" s="1952"/>
      <c r="F20" s="1952"/>
      <c r="G20" s="1952"/>
      <c r="H20" s="1952"/>
      <c r="I20" s="1952"/>
      <c r="J20" s="1952"/>
      <c r="K20" s="1952"/>
      <c r="L20" s="1953" t="str">
        <f>IF(AND(H19&gt;0,L19&gt;0),(((L19-H19)/H19)),"Enter Budget Data")</f>
        <v>Enter Budget Data</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3"/>
      <c r="D27" s="2463"/>
      <c r="E27" s="843"/>
      <c r="F27" s="2464"/>
      <c r="G27" s="2464"/>
      <c r="H27" s="2464"/>
      <c r="I27" s="838"/>
      <c r="J27" s="838"/>
      <c r="K27" s="838"/>
      <c r="L27" s="838"/>
      <c r="M27" s="838"/>
      <c r="N27" s="1999"/>
    </row>
    <row r="28" spans="1:14" x14ac:dyDescent="0.2">
      <c r="A28" s="1998"/>
      <c r="B28" s="2008"/>
      <c r="C28" s="1958" t="s">
        <v>1026</v>
      </c>
      <c r="D28" s="844"/>
      <c r="E28" s="1959"/>
      <c r="F28" s="2465" t="s">
        <v>1492</v>
      </c>
      <c r="G28" s="2465"/>
      <c r="H28" s="2465"/>
      <c r="I28" s="838"/>
      <c r="J28" s="838"/>
      <c r="K28" s="838"/>
      <c r="L28" s="838"/>
      <c r="M28" s="838"/>
      <c r="N28" s="1999"/>
    </row>
    <row r="29" spans="1:14" x14ac:dyDescent="0.2">
      <c r="A29" s="1998"/>
      <c r="B29" s="2008"/>
      <c r="C29" s="2466" t="s">
        <v>2065</v>
      </c>
      <c r="D29" s="2466"/>
      <c r="E29" s="845"/>
      <c r="F29" s="2466" t="s">
        <v>2066</v>
      </c>
      <c r="G29" s="2466"/>
      <c r="H29" s="2466"/>
      <c r="I29" s="838"/>
      <c r="J29" s="838"/>
      <c r="K29" s="838"/>
      <c r="L29" s="838"/>
      <c r="M29" s="838"/>
      <c r="N29" s="1999"/>
    </row>
    <row r="30" spans="1:14" x14ac:dyDescent="0.2">
      <c r="A30" s="1998"/>
      <c r="B30" s="2008"/>
      <c r="C30" s="1961" t="s">
        <v>1544</v>
      </c>
      <c r="D30" s="838"/>
      <c r="E30" s="1960"/>
      <c r="F30" s="2450" t="s">
        <v>1493</v>
      </c>
      <c r="G30" s="2450"/>
      <c r="H30" s="2450"/>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7" t="s">
        <v>2024</v>
      </c>
      <c r="D34" s="2428"/>
      <c r="E34" s="2428"/>
      <c r="F34" s="2428"/>
      <c r="G34" s="2428"/>
      <c r="H34" s="2428"/>
      <c r="I34" s="2428"/>
      <c r="J34" s="2428"/>
      <c r="K34" s="2017"/>
      <c r="L34" s="838"/>
      <c r="M34" s="838"/>
      <c r="N34" s="1999"/>
    </row>
    <row r="35" spans="1:14" x14ac:dyDescent="0.2">
      <c r="A35" s="1998"/>
      <c r="B35" s="838"/>
      <c r="C35" s="2428"/>
      <c r="D35" s="2428"/>
      <c r="E35" s="2428"/>
      <c r="F35" s="2428"/>
      <c r="G35" s="2428"/>
      <c r="H35" s="2428"/>
      <c r="I35" s="2428"/>
      <c r="J35" s="2428"/>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7" t="s">
        <v>2025</v>
      </c>
      <c r="D37" s="2428"/>
      <c r="E37" s="2428"/>
      <c r="F37" s="2428"/>
      <c r="G37" s="2428"/>
      <c r="H37" s="2428"/>
      <c r="I37" s="2428"/>
      <c r="J37" s="2428"/>
      <c r="K37" s="2017"/>
      <c r="L37" s="2019"/>
      <c r="M37" s="838"/>
      <c r="N37" s="1999"/>
    </row>
    <row r="38" spans="1:14" x14ac:dyDescent="0.2">
      <c r="A38" s="1998"/>
      <c r="B38" s="838"/>
      <c r="C38" s="2428"/>
      <c r="D38" s="2428"/>
      <c r="E38" s="2428"/>
      <c r="F38" s="2428"/>
      <c r="G38" s="2428"/>
      <c r="H38" s="2428"/>
      <c r="I38" s="2428"/>
      <c r="J38" s="2428"/>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29" t="s">
        <v>2026</v>
      </c>
      <c r="D40" s="2430"/>
      <c r="E40" s="2430"/>
      <c r="F40" s="2430"/>
      <c r="G40" s="2430"/>
      <c r="H40" s="2430"/>
      <c r="I40" s="2430"/>
      <c r="J40" s="2430"/>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7" t="str">
        <f>J6</f>
        <v xml:space="preserve">  Quincy Area Voc Ctr</v>
      </c>
      <c r="M52" s="2437"/>
      <c r="N52" s="2438"/>
    </row>
    <row r="53" spans="1:14" x14ac:dyDescent="0.2">
      <c r="A53" s="1983"/>
      <c r="B53" s="1984"/>
      <c r="C53" s="1984"/>
      <c r="D53" s="1984"/>
      <c r="E53" s="1984"/>
      <c r="F53" s="1984"/>
      <c r="G53" s="1984"/>
      <c r="H53" s="1984"/>
      <c r="I53" s="1984"/>
      <c r="J53" s="1984"/>
      <c r="K53" s="1925" t="s">
        <v>369</v>
      </c>
      <c r="L53" s="2439">
        <f>J7</f>
        <v>1001172041</v>
      </c>
      <c r="M53" s="2439"/>
      <c r="N53" s="2440"/>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1"/>
      <c r="B55" s="2442"/>
      <c r="C55" s="2442"/>
      <c r="D55" s="1971"/>
      <c r="E55" s="1971"/>
      <c r="F55" s="1971"/>
      <c r="G55" s="2443" t="s">
        <v>2030</v>
      </c>
      <c r="H55" s="2443"/>
      <c r="I55" s="2443"/>
      <c r="J55" s="2443"/>
      <c r="K55" s="2443"/>
      <c r="L55" s="2443"/>
      <c r="M55" s="2443"/>
      <c r="N55" s="2444"/>
    </row>
    <row r="56" spans="1:14" ht="63.75" x14ac:dyDescent="0.2">
      <c r="A56" s="2445" t="s">
        <v>2031</v>
      </c>
      <c r="B56" s="2446"/>
      <c r="C56" s="2447"/>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48" t="s">
        <v>296</v>
      </c>
      <c r="B57" s="2449"/>
      <c r="C57" s="2449"/>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5" t="s">
        <v>2041</v>
      </c>
      <c r="B58" s="2426"/>
      <c r="C58" s="2426"/>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19" t="s">
        <v>297</v>
      </c>
      <c r="B59" s="2420"/>
      <c r="C59" s="2420"/>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19" t="s">
        <v>236</v>
      </c>
      <c r="B60" s="2420"/>
      <c r="C60" s="2420"/>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19" t="s">
        <v>697</v>
      </c>
      <c r="B61" s="2420"/>
      <c r="C61" s="2420"/>
      <c r="D61" s="1968">
        <v>2365</v>
      </c>
      <c r="E61" s="1978">
        <f>'Expenditures 15-22'!K323</f>
        <v>0</v>
      </c>
      <c r="F61" s="1973"/>
      <c r="G61" s="2032"/>
      <c r="H61" s="2033"/>
      <c r="I61" s="2033"/>
      <c r="J61" s="2033"/>
      <c r="K61" s="2033"/>
      <c r="L61" s="2033"/>
      <c r="M61" s="2033"/>
      <c r="N61" s="1976">
        <f t="shared" si="4"/>
        <v>0</v>
      </c>
    </row>
    <row r="62" spans="1:14" ht="24" customHeight="1" x14ac:dyDescent="0.2">
      <c r="A62" s="2419" t="s">
        <v>237</v>
      </c>
      <c r="B62" s="2420"/>
      <c r="C62" s="2420"/>
      <c r="D62" s="1968">
        <v>2366</v>
      </c>
      <c r="E62" s="1978">
        <f>'Expenditures 15-22'!K324</f>
        <v>0</v>
      </c>
      <c r="F62" s="1973"/>
      <c r="G62" s="2032"/>
      <c r="H62" s="2033"/>
      <c r="I62" s="2033"/>
      <c r="J62" s="2033"/>
      <c r="K62" s="2033"/>
      <c r="L62" s="2033"/>
      <c r="M62" s="2033"/>
      <c r="N62" s="1976">
        <f t="shared" si="4"/>
        <v>0</v>
      </c>
    </row>
    <row r="63" spans="1:14" ht="24" customHeight="1" x14ac:dyDescent="0.2">
      <c r="A63" s="2425" t="s">
        <v>1022</v>
      </c>
      <c r="B63" s="2426"/>
      <c r="C63" s="2426"/>
      <c r="D63" s="1968">
        <v>2367</v>
      </c>
      <c r="E63" s="1978">
        <f>'Expenditures 15-22'!K325</f>
        <v>0</v>
      </c>
      <c r="F63" s="1973"/>
      <c r="G63" s="2032"/>
      <c r="H63" s="2033"/>
      <c r="I63" s="2033"/>
      <c r="J63" s="2033"/>
      <c r="K63" s="2033"/>
      <c r="L63" s="2033"/>
      <c r="M63" s="2033"/>
      <c r="N63" s="1976">
        <f t="shared" si="4"/>
        <v>0</v>
      </c>
    </row>
    <row r="64" spans="1:14" ht="24" customHeight="1" x14ac:dyDescent="0.2">
      <c r="A64" s="2419" t="s">
        <v>1023</v>
      </c>
      <c r="B64" s="2420"/>
      <c r="C64" s="2420"/>
      <c r="D64" s="1968">
        <v>2368</v>
      </c>
      <c r="E64" s="1978">
        <f>'Expenditures 15-22'!K326</f>
        <v>0</v>
      </c>
      <c r="F64" s="1973"/>
      <c r="G64" s="2032"/>
      <c r="H64" s="2033"/>
      <c r="I64" s="2033"/>
      <c r="J64" s="2033"/>
      <c r="K64" s="2033"/>
      <c r="L64" s="2033"/>
      <c r="M64" s="2033"/>
      <c r="N64" s="1976">
        <f t="shared" si="4"/>
        <v>0</v>
      </c>
    </row>
    <row r="65" spans="1:14" ht="24" customHeight="1" x14ac:dyDescent="0.2">
      <c r="A65" s="2419" t="s">
        <v>965</v>
      </c>
      <c r="B65" s="2420"/>
      <c r="C65" s="2420"/>
      <c r="D65" s="1968">
        <v>2369</v>
      </c>
      <c r="E65" s="1978">
        <f>'Expenditures 15-22'!K327</f>
        <v>0</v>
      </c>
      <c r="F65" s="1973"/>
      <c r="G65" s="2032"/>
      <c r="H65" s="2033"/>
      <c r="I65" s="2033"/>
      <c r="J65" s="2033"/>
      <c r="K65" s="2033"/>
      <c r="L65" s="2033"/>
      <c r="M65" s="2033"/>
      <c r="N65" s="1976">
        <f t="shared" si="4"/>
        <v>0</v>
      </c>
    </row>
    <row r="66" spans="1:14" ht="24" customHeight="1" x14ac:dyDescent="0.2">
      <c r="A66" s="2419" t="s">
        <v>469</v>
      </c>
      <c r="B66" s="2420"/>
      <c r="C66" s="2420"/>
      <c r="D66" s="1968">
        <v>2371</v>
      </c>
      <c r="E66" s="1978">
        <f>'Expenditures 15-22'!K328</f>
        <v>0</v>
      </c>
      <c r="F66" s="1973"/>
      <c r="G66" s="2032"/>
      <c r="H66" s="2033"/>
      <c r="I66" s="2033"/>
      <c r="J66" s="2033"/>
      <c r="K66" s="2033"/>
      <c r="L66" s="2033"/>
      <c r="M66" s="2033"/>
      <c r="N66" s="1976">
        <f t="shared" si="4"/>
        <v>0</v>
      </c>
    </row>
    <row r="67" spans="1:14" ht="24.75" customHeight="1" x14ac:dyDescent="0.2">
      <c r="A67" s="2421" t="s">
        <v>2042</v>
      </c>
      <c r="B67" s="2422"/>
      <c r="C67" s="2422"/>
      <c r="D67" s="1970">
        <v>2372</v>
      </c>
      <c r="E67" s="1979">
        <f>'Expenditures 15-22'!K329</f>
        <v>0</v>
      </c>
      <c r="F67" s="1973"/>
      <c r="G67" s="2034"/>
      <c r="H67" s="2035"/>
      <c r="I67" s="2035"/>
      <c r="J67" s="2035"/>
      <c r="K67" s="2035"/>
      <c r="L67" s="2035"/>
      <c r="M67" s="2035"/>
      <c r="N67" s="1976">
        <f t="shared" si="4"/>
        <v>0</v>
      </c>
    </row>
    <row r="68" spans="1:14" x14ac:dyDescent="0.2">
      <c r="A68" s="2423" t="s">
        <v>1151</v>
      </c>
      <c r="B68" s="2424"/>
      <c r="C68" s="2424"/>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FF00"/>
    <pageSetUpPr fitToPage="1"/>
  </sheetPr>
  <dimension ref="A2:B65"/>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2071</v>
      </c>
    </row>
    <row r="6" spans="1:2" x14ac:dyDescent="0.2">
      <c r="A6" s="847">
        <v>2</v>
      </c>
      <c r="B6" s="307" t="s">
        <v>2072</v>
      </c>
    </row>
    <row r="7" spans="1:2" x14ac:dyDescent="0.2">
      <c r="A7" s="847">
        <v>3</v>
      </c>
      <c r="B7" s="307" t="s">
        <v>2073</v>
      </c>
    </row>
    <row r="8" spans="1:2" x14ac:dyDescent="0.2">
      <c r="A8" s="847">
        <v>4</v>
      </c>
      <c r="B8" s="307" t="s">
        <v>2074</v>
      </c>
    </row>
    <row r="9" spans="1:2" x14ac:dyDescent="0.2">
      <c r="A9" s="848">
        <v>5</v>
      </c>
      <c r="B9" s="307" t="s">
        <v>2075</v>
      </c>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Quincy Area Voc Ctr</v>
      </c>
    </row>
    <row r="65" spans="2:2" x14ac:dyDescent="0.2">
      <c r="B65" s="849">
        <f>COVER!A13</f>
        <v>1001172041</v>
      </c>
    </row>
  </sheetData>
  <phoneticPr fontId="16" type="noConversion"/>
  <pageMargins left="0.2" right="0.2" top="1.17" bottom="0.75" header="0.19" footer="0.16"/>
  <pageSetup scale="78"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FF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8" sqref="C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266700</xdr:colOff>
                <xdr:row>3</xdr:row>
                <xdr:rowOff>85725</xdr:rowOff>
              </from>
              <to>
                <xdr:col>1</xdr:col>
                <xdr:colOff>1181100</xdr:colOff>
                <xdr:row>7</xdr:row>
                <xdr:rowOff>123825</xdr:rowOff>
              </to>
            </anchor>
          </objectPr>
        </oleObject>
      </mc:Choice>
      <mc:Fallback>
        <oleObject progId="Acrobat Document" dvAspect="DVASPECT_ICON" shapeId="5632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FF0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1168112</v>
      </c>
      <c r="C8" s="1813">
        <f>'Acct Summary 7-8'!D8</f>
        <v>0</v>
      </c>
      <c r="D8" s="1813">
        <f>'Acct Summary 7-8'!F8</f>
        <v>0</v>
      </c>
      <c r="E8" s="1813">
        <f>'Acct Summary 7-8'!I8</f>
        <v>0</v>
      </c>
      <c r="F8" s="1813">
        <f>SUM(B8:E8)</f>
        <v>1168112</v>
      </c>
    </row>
    <row r="9" spans="1:8" s="858" customFormat="1" ht="14.25" customHeight="1" thickBot="1" x14ac:dyDescent="0.25">
      <c r="A9" s="857" t="s">
        <v>1353</v>
      </c>
      <c r="B9" s="1814">
        <f>'Acct Summary 7-8'!C17</f>
        <v>909710</v>
      </c>
      <c r="C9" s="1814">
        <f>'Acct Summary 7-8'!D17</f>
        <v>0</v>
      </c>
      <c r="D9" s="1814">
        <f>'Acct Summary 7-8'!F17</f>
        <v>0</v>
      </c>
      <c r="E9" s="1813"/>
      <c r="F9" s="1813">
        <f>SUM(B9:E9)</f>
        <v>909710</v>
      </c>
    </row>
    <row r="10" spans="1:8" s="858" customFormat="1" ht="14.25" thickTop="1" thickBot="1" x14ac:dyDescent="0.25">
      <c r="A10" s="859" t="s">
        <v>1354</v>
      </c>
      <c r="B10" s="1815">
        <f>(B8-B9)</f>
        <v>258402</v>
      </c>
      <c r="C10" s="1815">
        <f>(C8-C9)</f>
        <v>0</v>
      </c>
      <c r="D10" s="1815">
        <f>(D8-D9)</f>
        <v>0</v>
      </c>
      <c r="E10" s="1814">
        <f>(E8-E9)</f>
        <v>0</v>
      </c>
      <c r="F10" s="1816">
        <f>SUM(F8-F9)</f>
        <v>258402</v>
      </c>
    </row>
    <row r="11" spans="1:8" s="858" customFormat="1" ht="14.25" thickTop="1" thickBot="1" x14ac:dyDescent="0.25">
      <c r="A11" s="860" t="s">
        <v>1903</v>
      </c>
      <c r="B11" s="1817">
        <f>'Acct Summary 7-8'!C81</f>
        <v>532918</v>
      </c>
      <c r="C11" s="1817">
        <f>'Acct Summary 7-8'!D81</f>
        <v>0</v>
      </c>
      <c r="D11" s="1817">
        <f>'Acct Summary 7-8'!F81</f>
        <v>0</v>
      </c>
      <c r="E11" s="1817">
        <f>'Acct Summary 7-8'!I81</f>
        <v>0</v>
      </c>
      <c r="F11" s="1818">
        <f>SUM(B11:E11)</f>
        <v>532918</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78" sqref="D7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1001172041</v>
      </c>
      <c r="E2" s="1542">
        <v>2020</v>
      </c>
      <c r="F2" s="1542">
        <v>1</v>
      </c>
      <c r="G2" s="1899">
        <v>101000300</v>
      </c>
    </row>
    <row r="3" spans="1:7" ht="15" x14ac:dyDescent="0.25">
      <c r="A3" t="s">
        <v>950</v>
      </c>
      <c r="B3" s="135" t="str">
        <f>COVER!A15</f>
        <v>Adams</v>
      </c>
      <c r="E3" s="1830" t="s">
        <v>1971</v>
      </c>
      <c r="F3" s="1830" t="s">
        <v>1970</v>
      </c>
      <c r="G3" s="1899">
        <v>101000400</v>
      </c>
    </row>
    <row r="4" spans="1:7" ht="15" x14ac:dyDescent="0.25">
      <c r="A4" t="s">
        <v>1000</v>
      </c>
      <c r="B4" s="135" t="str">
        <f>COVER!A17</f>
        <v xml:space="preserve">  Quincy Area Voc Ctr</v>
      </c>
      <c r="E4" s="1828">
        <v>44119</v>
      </c>
      <c r="F4" s="1829">
        <v>44151</v>
      </c>
      <c r="G4" s="1899">
        <v>101000600</v>
      </c>
    </row>
    <row r="5" spans="1:7" ht="15" x14ac:dyDescent="0.25">
      <c r="A5" t="s">
        <v>699</v>
      </c>
      <c r="B5" s="135" t="str">
        <f>COVER!A38</f>
        <v>Evelyn Morris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f>COVER!B5</f>
        <v>0</v>
      </c>
      <c r="G10" s="1899">
        <v>202100300</v>
      </c>
    </row>
    <row r="11" spans="1:7" ht="15" x14ac:dyDescent="0.25">
      <c r="A11" t="s">
        <v>971</v>
      </c>
      <c r="B11" s="135" t="str">
        <f>COVER!B6</f>
        <v>X</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066-004993</v>
      </c>
      <c r="G15" s="1899">
        <v>402100400</v>
      </c>
    </row>
    <row r="16" spans="1:7" ht="15" x14ac:dyDescent="0.25">
      <c r="A16" t="s">
        <v>419</v>
      </c>
      <c r="B16" s="135" t="str">
        <f>COVER!T13</f>
        <v>Zumbahlen, Eyth, Surratt, Foote &amp; Flynn, Ltd.</v>
      </c>
      <c r="G16" s="1899">
        <v>402100600</v>
      </c>
    </row>
    <row r="17" spans="1:7" ht="15" x14ac:dyDescent="0.25">
      <c r="A17" t="s">
        <v>878</v>
      </c>
      <c r="B17" s="135" t="str">
        <f>COVER!T15</f>
        <v>Adam Withee</v>
      </c>
      <c r="G17" s="1899">
        <v>402100800</v>
      </c>
    </row>
    <row r="18" spans="1:7" ht="15" x14ac:dyDescent="0.25">
      <c r="A18" t="s">
        <v>1140</v>
      </c>
      <c r="B18" s="135" t="str">
        <f>COVER!T17</f>
        <v>1395 Lincoln Ave</v>
      </c>
      <c r="G18" s="1899">
        <v>102200300</v>
      </c>
    </row>
    <row r="19" spans="1:7" ht="15" x14ac:dyDescent="0.25">
      <c r="A19" t="s">
        <v>880</v>
      </c>
      <c r="B19" s="135" t="str">
        <f>COVER!T25</f>
        <v>awithee@zescpa.com</v>
      </c>
      <c r="G19" s="1899">
        <v>102200400</v>
      </c>
    </row>
    <row r="20" spans="1:7" ht="15" x14ac:dyDescent="0.25">
      <c r="A20" t="s">
        <v>881</v>
      </c>
      <c r="B20" s="135" t="str">
        <f>COVER!T19</f>
        <v>Jacksonville</v>
      </c>
      <c r="G20" s="1899">
        <v>102200600</v>
      </c>
    </row>
    <row r="21" spans="1:7" ht="15" x14ac:dyDescent="0.25">
      <c r="A21" t="s">
        <v>476</v>
      </c>
      <c r="B21" s="135" t="str">
        <f>COVER!X19</f>
        <v>IL</v>
      </c>
      <c r="G21" s="1899">
        <v>102200800</v>
      </c>
    </row>
    <row r="22" spans="1:7" ht="15" x14ac:dyDescent="0.25">
      <c r="A22" t="s">
        <v>882</v>
      </c>
      <c r="B22" s="135">
        <f>COVER!Z19</f>
        <v>62650</v>
      </c>
      <c r="G22" s="1899">
        <v>102300300</v>
      </c>
    </row>
    <row r="23" spans="1:7" ht="15" x14ac:dyDescent="0.25">
      <c r="A23" t="s">
        <v>1142</v>
      </c>
      <c r="B23" s="135" t="str">
        <f>COVER!T21</f>
        <v>217-245-5121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532918</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532918</v>
      </c>
      <c r="D92" s="2" t="str">
        <f t="shared" si="0"/>
        <v>Error?</v>
      </c>
      <c r="G92" s="1899">
        <v>102640600</v>
      </c>
    </row>
    <row r="93" spans="1:7" ht="15" x14ac:dyDescent="0.25">
      <c r="A93" s="5">
        <v>32</v>
      </c>
      <c r="B93" s="1832">
        <f>'Assets-Liab 5-6'!C41</f>
        <v>532918</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418490</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418490</v>
      </c>
      <c r="C279" s="2" t="s">
        <v>569</v>
      </c>
      <c r="D279" s="2" t="str">
        <f t="shared" si="3"/>
        <v>Error?</v>
      </c>
    </row>
    <row r="280" spans="1:4" x14ac:dyDescent="0.2">
      <c r="A280" s="5">
        <v>219</v>
      </c>
      <c r="B280" s="1832">
        <f>'Assets-Liab 5-6'!M40</f>
        <v>418490</v>
      </c>
      <c r="D280" s="2" t="str">
        <f t="shared" si="3"/>
        <v>Error?</v>
      </c>
    </row>
    <row r="281" spans="1:4" x14ac:dyDescent="0.2">
      <c r="A281" s="5">
        <v>220</v>
      </c>
      <c r="B281" s="1832">
        <f>'Assets-Liab 5-6'!M41</f>
        <v>418490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387911</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387911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0</v>
      </c>
      <c r="C734" s="2" t="s">
        <v>569</v>
      </c>
      <c r="D734" s="2" t="str">
        <f t="shared" si="10"/>
        <v>Error?</v>
      </c>
    </row>
    <row r="735" spans="1:4" x14ac:dyDescent="0.2">
      <c r="A735" s="5">
        <v>674</v>
      </c>
      <c r="B735" s="1832">
        <f>'Expenditures 15-22'!C55</f>
        <v>128534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128534</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128534</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516445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92281</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92281</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25808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25808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25808</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118089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17461</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17461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4000</v>
      </c>
      <c r="D846" s="2" t="str">
        <f t="shared" si="12"/>
        <v>Error?</v>
      </c>
    </row>
    <row r="847" spans="1:4" x14ac:dyDescent="0.2">
      <c r="A847" s="5">
        <v>786</v>
      </c>
      <c r="B847" s="1832">
        <f>'Expenditures 15-22'!E47</f>
        <v>4000</v>
      </c>
      <c r="C847" s="2" t="s">
        <v>569</v>
      </c>
      <c r="D847" s="2" t="str">
        <f t="shared" si="12"/>
        <v>Error?</v>
      </c>
    </row>
    <row r="848" spans="1:4" x14ac:dyDescent="0.2">
      <c r="A848" s="5">
        <v>787</v>
      </c>
      <c r="B848" s="1832">
        <f>'Expenditures 15-22'!E49</f>
        <v>5035</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5868</v>
      </c>
      <c r="C850" s="2" t="s">
        <v>569</v>
      </c>
      <c r="D850" s="2" t="str">
        <f t="shared" si="12"/>
        <v>Error?</v>
      </c>
    </row>
    <row r="851" spans="1:4" x14ac:dyDescent="0.2">
      <c r="A851" s="5">
        <v>790</v>
      </c>
      <c r="B851" s="1832">
        <f>'Expenditures 15-22'!E55</f>
        <v>854</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854</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10722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28183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98461</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98461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1792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1792</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60112</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60112</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61904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160365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86628</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86628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86628</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682742</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682742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0</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4000</v>
      </c>
      <c r="C1118" s="2" t="s">
        <v>569</v>
      </c>
      <c r="D1118" s="2" t="str">
        <f t="shared" si="16"/>
        <v>Error?</v>
      </c>
    </row>
    <row r="1119" spans="1:4" x14ac:dyDescent="0.2">
      <c r="A1119" s="5">
        <v>1058</v>
      </c>
      <c r="B1119" s="1832">
        <f>'Expenditures 15-22'!K47</f>
        <v>4000</v>
      </c>
      <c r="C1119" s="2" t="s">
        <v>569</v>
      </c>
      <c r="D1119" s="2" t="str">
        <f t="shared" si="16"/>
        <v>Error?</v>
      </c>
    </row>
    <row r="1120" spans="1:4" x14ac:dyDescent="0.2">
      <c r="A1120" s="5">
        <v>1059</v>
      </c>
      <c r="B1120" s="1832">
        <f>'Expenditures 15-22'!K49</f>
        <v>5035</v>
      </c>
      <c r="C1120" s="2" t="s">
        <v>569</v>
      </c>
      <c r="D1120" s="2" t="str">
        <f t="shared" si="16"/>
        <v>Error?</v>
      </c>
    </row>
    <row r="1121" spans="1:4" x14ac:dyDescent="0.2">
      <c r="A1121" s="5">
        <v>1060</v>
      </c>
      <c r="B1121" s="1832">
        <f>'Expenditures 15-22'!K50</f>
        <v>0</v>
      </c>
      <c r="C1121" s="2" t="s">
        <v>569</v>
      </c>
      <c r="D1121" s="2" t="str">
        <f t="shared" si="16"/>
        <v>Error?</v>
      </c>
    </row>
    <row r="1122" spans="1:4" x14ac:dyDescent="0.2">
      <c r="A1122" s="5">
        <v>1061</v>
      </c>
      <c r="B1122" s="1832">
        <f>'Expenditures 15-22'!K53</f>
        <v>5868</v>
      </c>
      <c r="C1122" s="2" t="s">
        <v>569</v>
      </c>
      <c r="D1122" s="2" t="str">
        <f t="shared" si="16"/>
        <v>Error?</v>
      </c>
    </row>
    <row r="1123" spans="1:4" x14ac:dyDescent="0.2">
      <c r="A1123" s="5">
        <v>1062</v>
      </c>
      <c r="B1123" s="1832">
        <f>'Expenditures 15-22'!K55</f>
        <v>156988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156988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0</v>
      </c>
      <c r="C1127" s="2" t="s">
        <v>569</v>
      </c>
      <c r="D1127" s="2" t="str">
        <f t="shared" si="16"/>
        <v>Error?</v>
      </c>
    </row>
    <row r="1128" spans="1:4" x14ac:dyDescent="0.2">
      <c r="A1128" s="5">
        <v>1067</v>
      </c>
      <c r="B1128" s="1832">
        <f>'Expenditures 15-22'!K61</f>
        <v>60112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60112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226968</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0</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909710</v>
      </c>
      <c r="C1152" s="2" t="s">
        <v>569</v>
      </c>
      <c r="D1152" s="2" t="str">
        <f t="shared" si="17"/>
        <v>Error?</v>
      </c>
    </row>
    <row r="1153" spans="1:4" x14ac:dyDescent="0.2">
      <c r="A1153" s="5">
        <v>1092</v>
      </c>
      <c r="B1153" s="1832">
        <f>'Expenditures 15-22'!K115</f>
        <v>258402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0</v>
      </c>
      <c r="D1237" s="2" t="str">
        <f t="shared" si="18"/>
        <v>Error?</v>
      </c>
    </row>
    <row r="1238" spans="1:4" x14ac:dyDescent="0.2">
      <c r="A1238" s="10">
        <v>1177</v>
      </c>
      <c r="B1238" s="1832"/>
      <c r="D1238" s="2" t="str">
        <f t="shared" si="18"/>
        <v>OK</v>
      </c>
    </row>
    <row r="1239" spans="1:4" x14ac:dyDescent="0.2">
      <c r="A1239" s="5">
        <v>1178</v>
      </c>
      <c r="B1239" s="1832">
        <f>'Expenditures 15-22'!E127</f>
        <v>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0</v>
      </c>
      <c r="C1241" s="2" t="s">
        <v>569</v>
      </c>
      <c r="D1241" s="2" t="str">
        <f t="shared" si="18"/>
        <v>Error?</v>
      </c>
    </row>
    <row r="1242" spans="1:4" x14ac:dyDescent="0.2">
      <c r="A1242" s="5">
        <v>1181</v>
      </c>
      <c r="B1242" s="1832">
        <f>'Expenditures 15-22'!E151</f>
        <v>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0</v>
      </c>
      <c r="D1245" s="2" t="str">
        <f t="shared" si="18"/>
        <v>Error?</v>
      </c>
    </row>
    <row r="1246" spans="1:4" x14ac:dyDescent="0.2">
      <c r="A1246" s="10">
        <v>1185</v>
      </c>
      <c r="B1246" s="1832"/>
      <c r="D1246" s="2" t="str">
        <f t="shared" si="18"/>
        <v>OK</v>
      </c>
    </row>
    <row r="1247" spans="1:4" x14ac:dyDescent="0.2">
      <c r="A1247" s="5">
        <v>1186</v>
      </c>
      <c r="B1247" s="1832">
        <f>'Expenditures 15-22'!F127</f>
        <v>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0</v>
      </c>
      <c r="C1249" s="2" t="s">
        <v>569</v>
      </c>
      <c r="D1249" s="2" t="str">
        <f t="shared" si="18"/>
        <v>Error?</v>
      </c>
    </row>
    <row r="1250" spans="1:4" x14ac:dyDescent="0.2">
      <c r="A1250" s="5">
        <v>1189</v>
      </c>
      <c r="B1250" s="1832">
        <f>'Expenditures 15-22'!F151</f>
        <v>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0</v>
      </c>
      <c r="C1288" s="2" t="s">
        <v>569</v>
      </c>
      <c r="D1288" s="2" t="str">
        <f t="shared" si="19"/>
        <v>Error?</v>
      </c>
    </row>
    <row r="1289" spans="1:4" x14ac:dyDescent="0.2">
      <c r="A1289" s="5">
        <v>1228</v>
      </c>
      <c r="B1289" s="1832">
        <f>'Expenditures 15-22'!K152</f>
        <v>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0</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0</v>
      </c>
      <c r="C1388" s="2" t="s">
        <v>569</v>
      </c>
      <c r="D1388" s="2" t="str">
        <f t="shared" si="20"/>
        <v>Error?</v>
      </c>
    </row>
    <row r="1389" spans="1:4" x14ac:dyDescent="0.2">
      <c r="A1389" s="5">
        <v>1328</v>
      </c>
      <c r="B1389" s="1832">
        <f>'Expenditures 15-22'!K211</f>
        <v>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569</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0</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0</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0</v>
      </c>
      <c r="C1487" s="2" t="s">
        <v>569</v>
      </c>
      <c r="D1487" s="2" t="str">
        <f t="shared" si="22"/>
        <v>Error?</v>
      </c>
    </row>
    <row r="1488" spans="1:4" x14ac:dyDescent="0.2">
      <c r="A1488" s="5">
        <v>1427</v>
      </c>
      <c r="B1488" s="1832">
        <f>'Expenditures 15-22'!K257</f>
        <v>0</v>
      </c>
      <c r="C1488" s="2" t="s">
        <v>569</v>
      </c>
      <c r="D1488" s="2" t="str">
        <f t="shared" si="22"/>
        <v>Error?</v>
      </c>
    </row>
    <row r="1489" spans="1:4" x14ac:dyDescent="0.2">
      <c r="A1489" s="5">
        <v>1428</v>
      </c>
      <c r="B1489" s="1832">
        <f>'Expenditures 15-22'!K259</f>
        <v>0</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0</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0</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569</v>
      </c>
      <c r="D1517" s="2" t="str">
        <f t="shared" si="22"/>
        <v>Error?</v>
      </c>
    </row>
    <row r="1518" spans="1:4" x14ac:dyDescent="0.2">
      <c r="A1518" s="5">
        <v>1457</v>
      </c>
      <c r="B1518" s="1832">
        <f>'Expenditures 15-22'!K296</f>
        <v>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274516</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532918</v>
      </c>
      <c r="C1630" s="2" t="s">
        <v>569</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569</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569</v>
      </c>
      <c r="D1744" s="2" t="str">
        <f t="shared" si="26"/>
        <v>Error?</v>
      </c>
    </row>
    <row r="1745" spans="1:5" x14ac:dyDescent="0.2">
      <c r="A1745" s="5">
        <v>1684</v>
      </c>
      <c r="B1745" s="1832">
        <f>'Tax Sched 23'!B5</f>
        <v>0</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0</v>
      </c>
      <c r="C1747" s="2" t="s">
        <v>569</v>
      </c>
      <c r="D1747" s="2" t="str">
        <f t="shared" si="26"/>
        <v>Error?</v>
      </c>
    </row>
    <row r="1748" spans="1:5" x14ac:dyDescent="0.2">
      <c r="A1748" s="5">
        <v>1687</v>
      </c>
      <c r="B1748" s="1832">
        <f>'Tax Sched 23'!B8</f>
        <v>0</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0</v>
      </c>
      <c r="C1759" s="2" t="s">
        <v>569</v>
      </c>
      <c r="D1759" s="2" t="str">
        <f t="shared" si="26"/>
        <v>Error?</v>
      </c>
    </row>
    <row r="1760" spans="1:5" x14ac:dyDescent="0.2">
      <c r="A1760" s="5">
        <v>1699</v>
      </c>
      <c r="B1760" s="1832">
        <f>'Tax Sched 23'!D4</f>
        <v>0</v>
      </c>
      <c r="C1760" s="2" t="s">
        <v>569</v>
      </c>
      <c r="D1760" s="2" t="str">
        <f t="shared" si="26"/>
        <v>Error?</v>
      </c>
    </row>
    <row r="1761" spans="1:7" x14ac:dyDescent="0.2">
      <c r="A1761" s="5">
        <v>1700</v>
      </c>
      <c r="B1761" s="1832">
        <f>'Tax Sched 23'!D5</f>
        <v>0</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0</v>
      </c>
      <c r="C1763" s="2" t="s">
        <v>569</v>
      </c>
      <c r="D1763" s="2" t="str">
        <f t="shared" si="26"/>
        <v>Error?</v>
      </c>
    </row>
    <row r="1764" spans="1:7" x14ac:dyDescent="0.2">
      <c r="A1764" s="5">
        <v>1703</v>
      </c>
      <c r="B1764" s="1832">
        <f>'Tax Sched 23'!D8</f>
        <v>0</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0</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0</v>
      </c>
      <c r="C1792" s="2" t="s">
        <v>569</v>
      </c>
      <c r="D1792" s="2" t="str">
        <f t="shared" si="27"/>
        <v>Error?</v>
      </c>
    </row>
    <row r="1793" spans="1:4" x14ac:dyDescent="0.2">
      <c r="A1793" s="5">
        <v>1732</v>
      </c>
      <c r="B1793" s="1832">
        <f>'Tax Sched 23'!F5</f>
        <v>0</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0</v>
      </c>
      <c r="C1795" s="2" t="s">
        <v>569</v>
      </c>
      <c r="D1795" s="2" t="str">
        <f t="shared" si="27"/>
        <v>Error?</v>
      </c>
    </row>
    <row r="1796" spans="1:4" x14ac:dyDescent="0.2">
      <c r="A1796" s="5">
        <v>1735</v>
      </c>
      <c r="B1796" s="1832">
        <f>'Tax Sched 23'!F8</f>
        <v>0</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0</v>
      </c>
      <c r="C1807" s="2" t="s">
        <v>569</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339943</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339943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86628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86628</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8081</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8081</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0</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418490</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418490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133300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133300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37517</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37517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8081</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8081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162736</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162736</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255754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255754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620232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463630</v>
      </c>
      <c r="C2553" s="2" t="s">
        <v>569</v>
      </c>
      <c r="D2553" s="2" t="str">
        <f t="shared" si="38"/>
        <v>Error?</v>
      </c>
    </row>
    <row r="2554" spans="1:4" x14ac:dyDescent="0.2">
      <c r="A2554" s="5">
        <v>2493</v>
      </c>
      <c r="B2554" s="1832">
        <f>'Acct Summary 7-8'!C7</f>
        <v>84250</v>
      </c>
      <c r="C2554" s="2" t="s">
        <v>569</v>
      </c>
      <c r="D2554" s="2" t="str">
        <f t="shared" si="38"/>
        <v>Error?</v>
      </c>
    </row>
    <row r="2555" spans="1:4" x14ac:dyDescent="0.2">
      <c r="A2555" s="5">
        <v>2494</v>
      </c>
      <c r="B2555" s="1832">
        <f>'Acct Summary 7-8'!C8</f>
        <v>1168112</v>
      </c>
      <c r="C2555" s="2" t="s">
        <v>569</v>
      </c>
      <c r="D2555" s="2" t="str">
        <f t="shared" si="38"/>
        <v>Error?</v>
      </c>
    </row>
    <row r="2556" spans="1:4" x14ac:dyDescent="0.2">
      <c r="A2556" s="5">
        <v>2495</v>
      </c>
      <c r="B2556" s="1832">
        <f>'Acct Summary 7-8'!C12</f>
        <v>682742</v>
      </c>
      <c r="C2556" s="2" t="s">
        <v>569</v>
      </c>
      <c r="D2556" s="2" t="str">
        <f t="shared" si="38"/>
        <v>Error?</v>
      </c>
    </row>
    <row r="2557" spans="1:4" x14ac:dyDescent="0.2">
      <c r="A2557" s="5">
        <v>2496</v>
      </c>
      <c r="B2557" s="1832">
        <f>'Acct Summary 7-8'!C13</f>
        <v>226968</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0</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909710</v>
      </c>
      <c r="C2561" s="2" t="s">
        <v>569</v>
      </c>
      <c r="D2561" s="2" t="str">
        <f t="shared" si="39"/>
        <v>Error?</v>
      </c>
    </row>
    <row r="2562" spans="1:4" x14ac:dyDescent="0.2">
      <c r="A2562" s="5">
        <v>2501</v>
      </c>
      <c r="B2562" s="1832">
        <f>'Acct Summary 7-8'!C20</f>
        <v>258402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0</v>
      </c>
      <c r="C2568" s="2" t="s">
        <v>569</v>
      </c>
      <c r="D2568" s="2" t="str">
        <f t="shared" si="39"/>
        <v>Error?</v>
      </c>
    </row>
    <row r="2569" spans="1:4" x14ac:dyDescent="0.2">
      <c r="A2569" s="5">
        <v>2508</v>
      </c>
      <c r="B2569" s="1832">
        <f>'Acct Summary 7-8'!D13</f>
        <v>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0</v>
      </c>
      <c r="C2573" s="2" t="s">
        <v>569</v>
      </c>
      <c r="D2573" s="2" t="str">
        <f t="shared" si="39"/>
        <v>Error?</v>
      </c>
    </row>
    <row r="2574" spans="1:4" x14ac:dyDescent="0.2">
      <c r="A2574" s="5">
        <v>2513</v>
      </c>
      <c r="B2574" s="1832">
        <f>'Acct Summary 7-8'!D20</f>
        <v>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0</v>
      </c>
      <c r="C2595" s="2" t="s">
        <v>569</v>
      </c>
      <c r="D2595" s="2" t="str">
        <f t="shared" si="39"/>
        <v>Error?</v>
      </c>
    </row>
    <row r="2596" spans="1:4" x14ac:dyDescent="0.2">
      <c r="A2596" s="5">
        <v>2535</v>
      </c>
      <c r="B2596" s="1832">
        <f>'Acct Summary 7-8'!F13</f>
        <v>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0</v>
      </c>
      <c r="C2600" s="2" t="s">
        <v>569</v>
      </c>
      <c r="D2600" s="2" t="str">
        <f t="shared" si="39"/>
        <v>Error?</v>
      </c>
    </row>
    <row r="2601" spans="1:4" x14ac:dyDescent="0.2">
      <c r="A2601" s="5">
        <v>2540</v>
      </c>
      <c r="B2601" s="1832">
        <f>'Acct Summary 7-8'!F20</f>
        <v>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0</v>
      </c>
      <c r="C2606" s="2" t="s">
        <v>569</v>
      </c>
      <c r="D2606" s="2" t="str">
        <f t="shared" si="39"/>
        <v>Error?</v>
      </c>
    </row>
    <row r="2607" spans="1:4" x14ac:dyDescent="0.2">
      <c r="A2607" s="5">
        <v>2546</v>
      </c>
      <c r="B2607" s="1832">
        <f>'Acct Summary 7-8'!G12</f>
        <v>0</v>
      </c>
      <c r="C2607" s="2" t="s">
        <v>569</v>
      </c>
      <c r="D2607" s="2" t="str">
        <f t="shared" si="39"/>
        <v>Error?</v>
      </c>
    </row>
    <row r="2608" spans="1:4" x14ac:dyDescent="0.2">
      <c r="A2608" s="5">
        <v>2547</v>
      </c>
      <c r="B2608" s="1832">
        <f>'Acct Summary 7-8'!G13</f>
        <v>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0</v>
      </c>
      <c r="C2612" s="2" t="s">
        <v>569</v>
      </c>
      <c r="D2612" s="2" t="str">
        <f t="shared" si="39"/>
        <v>Error?</v>
      </c>
    </row>
    <row r="2613" spans="1:4" x14ac:dyDescent="0.2">
      <c r="A2613" s="5">
        <v>2552</v>
      </c>
      <c r="B2613" s="1832">
        <f>'Acct Summary 7-8'!G20</f>
        <v>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0</v>
      </c>
      <c r="D2914" s="2" t="str">
        <f t="shared" si="44"/>
        <v>Error?</v>
      </c>
    </row>
    <row r="2915" spans="1:4" x14ac:dyDescent="0.2">
      <c r="A2915" s="10">
        <v>2854</v>
      </c>
      <c r="B2915" s="1832"/>
      <c r="D2915" s="2" t="str">
        <f t="shared" si="44"/>
        <v>OK</v>
      </c>
    </row>
    <row r="2916" spans="1:4" x14ac:dyDescent="0.2">
      <c r="A2916" s="5">
        <v>2855</v>
      </c>
      <c r="B2916" s="1832">
        <f>'Assets-Liab 5-6'!L34</f>
        <v>0</v>
      </c>
      <c r="C2916" s="2" t="s">
        <v>569</v>
      </c>
      <c r="D2916" s="2" t="str">
        <f t="shared" si="44"/>
        <v>Error?</v>
      </c>
    </row>
    <row r="2917" spans="1:4" x14ac:dyDescent="0.2">
      <c r="A2917" s="5">
        <v>2856</v>
      </c>
      <c r="B2917" s="1832">
        <f>'Assets-Liab 5-6'!L41</f>
        <v>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258402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569</v>
      </c>
      <c r="D3390" s="2" t="str">
        <f t="shared" si="51"/>
        <v>Error?</v>
      </c>
    </row>
    <row r="3391" spans="1:4" x14ac:dyDescent="0.2">
      <c r="A3391" s="5">
        <v>3330</v>
      </c>
      <c r="B3391" s="1832">
        <f>'Expenditures 15-22'!K217</f>
        <v>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532918</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0</v>
      </c>
      <c r="C3446" s="2" t="s">
        <v>569</v>
      </c>
      <c r="D3446" s="2" t="str">
        <f t="shared" si="52"/>
        <v>Error?</v>
      </c>
    </row>
    <row r="3447" spans="1:4" x14ac:dyDescent="0.2">
      <c r="A3447" s="5">
        <v>3386</v>
      </c>
      <c r="B3447" s="1832">
        <f>'Tax Sched 23'!D16</f>
        <v>0</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569</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1168112</v>
      </c>
      <c r="C4122" s="2" t="s">
        <v>569</v>
      </c>
      <c r="D4122" s="2" t="str">
        <f t="shared" si="63"/>
        <v>Error?</v>
      </c>
    </row>
    <row r="4123" spans="1:4" x14ac:dyDescent="0.2">
      <c r="A4123" s="5">
        <v>4062</v>
      </c>
      <c r="B4123" s="1832">
        <f>'Acct Summary 7-8'!D10</f>
        <v>0</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0</v>
      </c>
      <c r="C4125" s="2" t="s">
        <v>569</v>
      </c>
      <c r="D4125" s="2" t="str">
        <f t="shared" si="63"/>
        <v>Error?</v>
      </c>
    </row>
    <row r="4126" spans="1:4" x14ac:dyDescent="0.2">
      <c r="A4126" s="5">
        <v>4065</v>
      </c>
      <c r="B4126" s="1832">
        <f>'Acct Summary 7-8'!G10</f>
        <v>0</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909710</v>
      </c>
      <c r="C4136" s="2" t="s">
        <v>569</v>
      </c>
      <c r="D4136" s="2" t="str">
        <f t="shared" si="63"/>
        <v>Error?</v>
      </c>
    </row>
    <row r="4137" spans="1:4" x14ac:dyDescent="0.2">
      <c r="A4137" s="5">
        <v>4076</v>
      </c>
      <c r="B4137" s="1832">
        <f>'Acct Summary 7-8'!D19</f>
        <v>0</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0</v>
      </c>
      <c r="C4139" s="2" t="s">
        <v>569</v>
      </c>
      <c r="D4139" s="2" t="str">
        <f t="shared" si="63"/>
        <v>Error?</v>
      </c>
    </row>
    <row r="4140" spans="1:4" x14ac:dyDescent="0.2">
      <c r="A4140" s="5">
        <v>4079</v>
      </c>
      <c r="B4140" s="1832">
        <f>'Acct Summary 7-8'!G19</f>
        <v>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569</v>
      </c>
      <c r="D4265" s="2" t="str">
        <f t="shared" si="65"/>
        <v>Error?</v>
      </c>
      <c r="E4265" s="125"/>
    </row>
    <row r="4266" spans="1:5" x14ac:dyDescent="0.2">
      <c r="A4266" s="12">
        <v>4205</v>
      </c>
      <c r="B4266" s="1832">
        <f>('FP Info 3'!F10)*100000</f>
        <v>0</v>
      </c>
      <c r="C4266" s="2" t="s">
        <v>569</v>
      </c>
      <c r="D4266" s="2" t="str">
        <f t="shared" si="65"/>
        <v>Error?</v>
      </c>
      <c r="E4266" s="125"/>
    </row>
    <row r="4267" spans="1:5" x14ac:dyDescent="0.2">
      <c r="A4267" s="12">
        <v>4206</v>
      </c>
      <c r="B4267" s="1832">
        <f>('FP Info 3'!H10)*100000</f>
        <v>0</v>
      </c>
      <c r="C4267" s="2" t="s">
        <v>569</v>
      </c>
      <c r="D4267" s="2" t="str">
        <f t="shared" si="65"/>
        <v>Error?</v>
      </c>
      <c r="E4267" s="125"/>
    </row>
    <row r="4268" spans="1:5" x14ac:dyDescent="0.2">
      <c r="A4268" s="12">
        <v>4207</v>
      </c>
      <c r="B4268" s="1832">
        <f>('FP Info 3'!J10)*100000</f>
        <v>0</v>
      </c>
      <c r="C4268" s="2" t="s">
        <v>569</v>
      </c>
      <c r="D4268" s="2" t="str">
        <f t="shared" si="65"/>
        <v>Error?</v>
      </c>
    </row>
    <row r="4269" spans="1:5" x14ac:dyDescent="0.2">
      <c r="A4269" s="12">
        <v>4208</v>
      </c>
      <c r="B4269" s="1832">
        <f>'FP Info 3'!J16</f>
        <v>532918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84250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14375</v>
      </c>
      <c r="D5078" s="2" t="str">
        <f t="shared" si="78"/>
        <v>Error?</v>
      </c>
    </row>
    <row r="5079" spans="1:4" x14ac:dyDescent="0.2">
      <c r="A5079" s="5">
        <v>5018</v>
      </c>
      <c r="B5079" s="1832">
        <f>'Revenues 9-14'!C29</f>
        <v>461350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900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476625</v>
      </c>
      <c r="C5087" s="2" t="s">
        <v>569</v>
      </c>
      <c r="D5087" s="2" t="str">
        <f t="shared" si="78"/>
        <v>Error?</v>
      </c>
    </row>
    <row r="5088" spans="1:4" x14ac:dyDescent="0.2">
      <c r="A5088" s="5">
        <v>5027</v>
      </c>
      <c r="B5088" s="1832">
        <f>'Revenues 9-14'!C65</f>
        <v>3985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3985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875</v>
      </c>
      <c r="D5101" s="2" t="str">
        <f t="shared" si="78"/>
        <v>Error?</v>
      </c>
    </row>
    <row r="5102" spans="1:4" x14ac:dyDescent="0.2">
      <c r="A5102" s="5">
        <v>5041</v>
      </c>
      <c r="B5102" s="1832">
        <f>'Revenues 9-14'!C82</f>
        <v>875</v>
      </c>
      <c r="C5102" s="2" t="s">
        <v>569</v>
      </c>
      <c r="D5102" s="2" t="str">
        <f t="shared" si="78"/>
        <v>Error?</v>
      </c>
    </row>
    <row r="5103" spans="1:4" x14ac:dyDescent="0.2">
      <c r="A5103" s="5">
        <v>5042</v>
      </c>
      <c r="B5103" s="1832">
        <f>'Revenues 9-14'!C84</f>
        <v>660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660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12920</v>
      </c>
      <c r="D5114" s="2" t="str">
        <f t="shared" si="78"/>
        <v>Error?</v>
      </c>
    </row>
    <row r="5115" spans="1:4" x14ac:dyDescent="0.2">
      <c r="A5115" s="5">
        <v>5054</v>
      </c>
      <c r="B5115" s="1832">
        <f>'Revenues 9-14'!C98</f>
        <v>23592</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755</v>
      </c>
      <c r="D5118" s="2" t="str">
        <f t="shared" si="78"/>
        <v>Error?</v>
      </c>
    </row>
    <row r="5119" spans="1:4" x14ac:dyDescent="0.2">
      <c r="A5119" s="5">
        <v>5058</v>
      </c>
      <c r="B5119" s="1832">
        <f>'Revenues 9-14'!C107</f>
        <v>100820</v>
      </c>
      <c r="D5119" s="2" t="str">
        <f t="shared" ref="D5119:D5182" si="79">IF(ISBLANK(B5119),"OK",IF(A5119-B5119=0,"OK","Error?"))</f>
        <v>Error?</v>
      </c>
    </row>
    <row r="5120" spans="1:4" x14ac:dyDescent="0.2">
      <c r="A5120" s="5">
        <v>5059</v>
      </c>
      <c r="B5120" s="1832">
        <f>'Revenues 9-14'!C108</f>
        <v>138087</v>
      </c>
      <c r="C5120" s="2" t="s">
        <v>569</v>
      </c>
      <c r="D5120" s="2" t="str">
        <f t="shared" si="79"/>
        <v>Error?</v>
      </c>
    </row>
    <row r="5121" spans="1:4" x14ac:dyDescent="0.2">
      <c r="A5121" s="5">
        <v>5060</v>
      </c>
      <c r="B5121" s="1832">
        <f>'Revenues 9-14'!C109</f>
        <v>620232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463630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463630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463630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463630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569</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84250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84250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84250</v>
      </c>
      <c r="C5326" s="2" t="s">
        <v>569</v>
      </c>
      <c r="D5326" s="2" t="str">
        <f t="shared" si="82"/>
        <v>Error?</v>
      </c>
    </row>
    <row r="5327" spans="1:5" x14ac:dyDescent="0.2">
      <c r="A5327" s="5">
        <v>5266</v>
      </c>
      <c r="B5327" s="1832">
        <f>'Revenues 9-14'!C268</f>
        <v>1168112</v>
      </c>
      <c r="C5327" s="2" t="s">
        <v>569</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0</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0</v>
      </c>
      <c r="C5720" s="2" t="s">
        <v>569</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0</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0</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258402</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0.48488135135236565</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833</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833</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37517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0</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0</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909710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86628</v>
      </c>
      <c r="D7834" s="2" t="str">
        <f t="shared" si="129"/>
        <v>Error?</v>
      </c>
      <c r="E7834" s="4" t="s">
        <v>1998</v>
      </c>
    </row>
    <row r="7835" spans="1:5" x14ac:dyDescent="0.2">
      <c r="A7835">
        <v>7774</v>
      </c>
      <c r="B7835" s="1832">
        <f>'PCTC-OEPP 27-28'!F78</f>
        <v>823082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t="str">
        <f>'PCTC-OEPP 27-28'!F80</f>
        <v xml:space="preserve"> Complete Line 79</v>
      </c>
      <c r="D7837" s="2" t="e">
        <f t="shared" si="129"/>
        <v>#VALUE!</v>
      </c>
      <c r="E7837" s="4" t="s">
        <v>1998</v>
      </c>
    </row>
    <row r="7838" spans="1:5" x14ac:dyDescent="0.2">
      <c r="A7838">
        <v>7777</v>
      </c>
      <c r="B7838" s="1832">
        <f>'PCTC-OEPP 27-28'!F96</f>
        <v>875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23592</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0</v>
      </c>
      <c r="D7842" s="2" t="str">
        <f t="shared" si="129"/>
        <v>Error?</v>
      </c>
      <c r="E7842" s="4" t="s">
        <v>1998</v>
      </c>
    </row>
    <row r="7843" spans="1:5" x14ac:dyDescent="0.2">
      <c r="A7843">
        <v>7782</v>
      </c>
      <c r="B7843" s="1832">
        <f>'PCTC-OEPP 27-28'!F107</f>
        <v>463630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0</v>
      </c>
      <c r="D7858" s="2" t="str">
        <f t="shared" si="129"/>
        <v>Error?</v>
      </c>
      <c r="E7858" s="4" t="s">
        <v>1998</v>
      </c>
    </row>
    <row r="7859" spans="1:5" x14ac:dyDescent="0.2">
      <c r="A7859">
        <v>7798</v>
      </c>
      <c r="B7859" s="1832">
        <f>'PCTC-OEPP 27-28'!F127</f>
        <v>0</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84250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0</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573762</v>
      </c>
      <c r="D7877" s="2" t="str">
        <f t="shared" si="129"/>
        <v>Error?</v>
      </c>
      <c r="E7877" s="4" t="s">
        <v>1998</v>
      </c>
    </row>
    <row r="7878" spans="1:5" x14ac:dyDescent="0.2">
      <c r="A7878">
        <v>7817</v>
      </c>
      <c r="B7878" s="1832">
        <f>'PCTC-OEPP 27-28'!F176</f>
        <v>249320</v>
      </c>
      <c r="D7878" s="2" t="str">
        <f t="shared" si="129"/>
        <v>Error?</v>
      </c>
      <c r="E7878" s="4" t="s">
        <v>1998</v>
      </c>
    </row>
    <row r="7879" spans="1:5" x14ac:dyDescent="0.2">
      <c r="A7879">
        <v>7818</v>
      </c>
      <c r="B7879" s="1832">
        <f>'PCTC-OEPP 27-28'!F178</f>
        <v>286837</v>
      </c>
      <c r="D7879" s="2" t="str">
        <f t="shared" si="129"/>
        <v>Error?</v>
      </c>
      <c r="E7879" s="4" t="s">
        <v>1998</v>
      </c>
    </row>
    <row r="7880" spans="1:5" x14ac:dyDescent="0.2">
      <c r="A7880">
        <v>7819</v>
      </c>
      <c r="B7880" s="1832"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Quincy Area Voc Ctr</v>
      </c>
      <c r="B7" s="2516"/>
      <c r="C7" s="2516"/>
      <c r="D7" s="2554"/>
      <c r="E7" s="2555">
        <f>COVER!A13</f>
        <v>1001172041</v>
      </c>
      <c r="F7" s="2556"/>
      <c r="G7" s="2522" t="str">
        <f>COVER!T23</f>
        <v>066-004993</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Zumbahlen, Eyth, Surratt, Foote &amp; Flynn, Ltd.</v>
      </c>
      <c r="H9" s="2529"/>
      <c r="I9" s="2529"/>
      <c r="J9" s="2529"/>
      <c r="K9" s="2529"/>
      <c r="L9" s="2530"/>
    </row>
    <row r="10" spans="1:29" ht="13.5" customHeight="1" x14ac:dyDescent="0.2">
      <c r="A10" s="2512" t="str">
        <f>COVER!A38</f>
        <v>Evelyn Morris</v>
      </c>
      <c r="B10" s="2513"/>
      <c r="C10" s="2513"/>
      <c r="D10" s="2513"/>
      <c r="E10" s="2513"/>
      <c r="F10" s="2514"/>
      <c r="G10" s="2528" t="str">
        <f>COVER!T17</f>
        <v>1395 Lincoln Ave</v>
      </c>
      <c r="H10" s="2541"/>
      <c r="I10" s="2541"/>
      <c r="J10" s="2541"/>
      <c r="K10" s="2541"/>
      <c r="L10" s="2542"/>
    </row>
    <row r="11" spans="1:29" ht="13.5" customHeight="1" x14ac:dyDescent="0.2">
      <c r="A11" s="963" t="s">
        <v>1502</v>
      </c>
      <c r="B11" s="964"/>
      <c r="C11" s="965"/>
      <c r="D11" s="970"/>
      <c r="E11" s="965"/>
      <c r="F11" s="969"/>
      <c r="G11" s="2528" t="str">
        <f>COVER!T19</f>
        <v>Jacksonville</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awithee@zescpa.com</v>
      </c>
      <c r="J13" s="2550"/>
      <c r="K13" s="2550"/>
      <c r="L13" s="2551"/>
    </row>
    <row r="14" spans="1:29" ht="13.5" customHeight="1" x14ac:dyDescent="0.2">
      <c r="A14" s="2528" t="str">
        <f>COVER!A19</f>
        <v>219 Baldwin Dr</v>
      </c>
      <c r="B14" s="2541"/>
      <c r="C14" s="2541"/>
      <c r="D14" s="2541"/>
      <c r="E14" s="2541"/>
      <c r="F14" s="2542"/>
      <c r="G14" s="974" t="s">
        <v>1175</v>
      </c>
      <c r="H14" s="972"/>
      <c r="I14" s="972"/>
      <c r="J14" s="972"/>
      <c r="K14" s="972"/>
      <c r="L14" s="973"/>
    </row>
    <row r="15" spans="1:29" ht="13.5" customHeight="1" x14ac:dyDescent="0.2">
      <c r="A15" s="2528" t="str">
        <f>COVER!A21</f>
        <v>Quincy</v>
      </c>
      <c r="B15" s="2541"/>
      <c r="C15" s="2541"/>
      <c r="D15" s="2541"/>
      <c r="E15" s="2541"/>
      <c r="F15" s="2542"/>
      <c r="G15" s="2538" t="str">
        <f>COVER!T15</f>
        <v>Adam Withee</v>
      </c>
      <c r="H15" s="2539"/>
      <c r="I15" s="2539"/>
      <c r="J15" s="2539"/>
      <c r="K15" s="2539"/>
      <c r="L15" s="2540"/>
    </row>
    <row r="16" spans="1:29" ht="12.2" customHeight="1" x14ac:dyDescent="0.2">
      <c r="A16" s="2518">
        <f>COVER!A25</f>
        <v>62301</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217-245-5121</v>
      </c>
      <c r="H18" s="2516"/>
      <c r="I18" s="2516"/>
      <c r="J18" s="2516"/>
      <c r="K18" s="2515" t="str">
        <f>COVER!X21</f>
        <v>217-243-3356</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Quincy Area Voc Ctr</v>
      </c>
      <c r="B1" s="2558"/>
      <c r="C1" s="2558"/>
      <c r="D1" s="2558"/>
    </row>
    <row r="2" spans="1:11" s="991" customFormat="1" ht="12.75" x14ac:dyDescent="0.2">
      <c r="A2" s="2559">
        <f>'Single Audit Cover'!E7</f>
        <v>1001172041</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Quincy Area Voc Ctr</v>
      </c>
      <c r="B1" s="2562"/>
      <c r="C1" s="2562"/>
      <c r="D1" s="2562"/>
      <c r="E1" s="2562"/>
    </row>
    <row r="2" spans="1:5" x14ac:dyDescent="0.2">
      <c r="A2" s="2563">
        <f>'Single Audit Cover'!E7</f>
        <v>1001172041</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84250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0</v>
      </c>
    </row>
    <row r="19" spans="1:4" ht="13.5" thickBot="1" x14ac:dyDescent="0.25">
      <c r="A19" s="1041" t="s">
        <v>1224</v>
      </c>
      <c r="D19" s="1042">
        <f>SUM(D10:D17)</f>
        <v>84250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84250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84250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Quincy Area Voc Ctr</v>
      </c>
      <c r="C1" s="2566"/>
      <c r="D1" s="2566"/>
      <c r="E1" s="2566"/>
      <c r="F1" s="2566"/>
      <c r="G1" s="2566"/>
      <c r="H1" s="2566"/>
      <c r="I1" s="2566"/>
      <c r="J1" s="2566"/>
      <c r="K1" s="2566"/>
      <c r="L1" s="2566"/>
      <c r="M1" s="2566"/>
    </row>
    <row r="2" spans="2:14" ht="15" x14ac:dyDescent="0.2">
      <c r="B2" s="2567">
        <f>'Single Audit Cover'!E7</f>
        <v>1001172041</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Quincy Area Voc Ctr</v>
      </c>
      <c r="B1" s="2571"/>
      <c r="C1" s="2571"/>
      <c r="D1" s="2571"/>
      <c r="E1" s="2571"/>
      <c r="F1" s="2571"/>
    </row>
    <row r="2" spans="1:7" ht="13.5" customHeight="1" x14ac:dyDescent="0.2">
      <c r="A2" s="2567">
        <f>'Single Audit Cover'!E7</f>
        <v>1001172041</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Quincy Area Voc Ctr</v>
      </c>
      <c r="C1" s="2587"/>
      <c r="D1" s="2587"/>
      <c r="E1" s="2587"/>
      <c r="F1" s="2587"/>
      <c r="G1" s="2587"/>
      <c r="H1" s="2587"/>
      <c r="I1" s="2587"/>
      <c r="J1" s="1178"/>
    </row>
    <row r="2" spans="2:10" s="295" customFormat="1" ht="12.75" customHeight="1" x14ac:dyDescent="0.2">
      <c r="B2" s="2588">
        <f>'Single Audit Cover'!E7</f>
        <v>1001172041</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8" t="str">
        <f>"Total Federal Expenditures for 7/1/"&amp;MID('AFR20'!E2,3,2)-1&amp;"-6/30/"&amp;MID('AFR20'!E2,3,2)</f>
        <v>Total Federal Expenditures for 7/1/19-6/30/20</v>
      </c>
      <c r="C45" s="1919"/>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Quincy Area Voc Ctr</v>
      </c>
      <c r="C1" s="2586"/>
      <c r="D1" s="2586"/>
      <c r="E1" s="2586"/>
      <c r="F1" s="2586"/>
      <c r="G1" s="2586"/>
      <c r="H1" s="2586"/>
      <c r="I1" s="2586"/>
      <c r="J1" s="2586"/>
      <c r="K1" s="2586"/>
      <c r="L1" s="1144"/>
      <c r="M1" s="1144"/>
    </row>
    <row r="2" spans="1:13" ht="12" customHeight="1" x14ac:dyDescent="0.2">
      <c r="B2" s="2588">
        <f>'Single Audit Cover'!E7</f>
        <v>1001172041</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Quincy Area Voc Ctr</v>
      </c>
      <c r="C1" s="2613"/>
      <c r="D1" s="2613"/>
      <c r="E1" s="2613"/>
      <c r="F1" s="2613"/>
      <c r="G1" s="2613"/>
      <c r="H1" s="2613"/>
      <c r="I1" s="2613"/>
      <c r="J1" s="2613"/>
      <c r="K1" s="2613"/>
      <c r="L1" s="1221"/>
    </row>
    <row r="2" spans="1:12" ht="12.75" customHeight="1" x14ac:dyDescent="0.2">
      <c r="B2" s="2614">
        <f>'Single Audit Cover'!E7</f>
        <v>1001172041</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Quincy Area Voc Ctr</v>
      </c>
      <c r="C1" s="2586"/>
      <c r="D1" s="2586"/>
      <c r="E1" s="1240"/>
    </row>
    <row r="2" spans="2:5" s="1058" customFormat="1" ht="12.75" customHeight="1" x14ac:dyDescent="0.2">
      <c r="B2" s="2588">
        <f>'Single Audit Cover'!E7</f>
        <v>1001172041</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d21dc803-237d-4c68-8692-8d731fd29118"/>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2020-12-09T00:09:20Z</cp:lastPrinted>
  <dcterms:created xsi:type="dcterms:W3CDTF">2003-10-29T19:06:34Z</dcterms:created>
  <dcterms:modified xsi:type="dcterms:W3CDTF">2020-12-10T15:04:16Z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School District AFR</vt:lpwstr>
  </property>
  <property fmtid="{D5CDD505-2E9C-101B-9397-08002B2CF9AE}" pid="5" name="tabIndex">
    <vt:lpwstr>1050</vt:lpwstr>
  </property>
  <property fmtid="{D5CDD505-2E9C-101B-9397-08002B2CF9AE}" pid="6" name="workpaperIndex">
    <vt:lpwstr>01</vt:lpwstr>
  </property>
</Properties>
</file>