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35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2019" sheetId="183"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SEFA-2019'!$A$1:$L$70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Sec-2'!$A$1:$K$34</definedName>
    <definedName name="_xlnm.Print_Area" localSheetId="31">'SF&amp;QC Sec-3'!$A$1:$K$43</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SSPAF!$A$1:$D$34</definedName>
    <definedName name="_xlnm.Print_Titles" localSheetId="27">' SEFA-2019'!$1:$10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4" i="183" l="1"/>
  <c r="K61" i="183"/>
  <c r="K60" i="183"/>
  <c r="K54" i="183"/>
  <c r="K53" i="183"/>
  <c r="K50" i="183"/>
  <c r="K49" i="183"/>
  <c r="K45" i="183"/>
  <c r="K44" i="183"/>
  <c r="K43" i="183"/>
  <c r="K40" i="183"/>
  <c r="K39" i="183"/>
  <c r="K38" i="183"/>
  <c r="K36" i="183"/>
  <c r="K35" i="183"/>
  <c r="K33" i="183"/>
  <c r="K32" i="183"/>
  <c r="K31" i="183"/>
  <c r="K29" i="183"/>
  <c r="K28" i="183"/>
  <c r="E65" i="183"/>
  <c r="F65" i="183"/>
  <c r="G65" i="183"/>
  <c r="H65" i="183"/>
  <c r="I65" i="183"/>
  <c r="J65" i="183"/>
  <c r="E62" i="183"/>
  <c r="F62" i="183"/>
  <c r="G62" i="183"/>
  <c r="H62" i="183"/>
  <c r="I62" i="183"/>
  <c r="J62" i="183"/>
  <c r="E55" i="183"/>
  <c r="F55" i="183"/>
  <c r="G55" i="183"/>
  <c r="H55" i="183"/>
  <c r="I55" i="183"/>
  <c r="J55" i="183"/>
  <c r="D55" i="183"/>
  <c r="E51" i="183"/>
  <c r="F51" i="183"/>
  <c r="G51" i="183"/>
  <c r="H51" i="183"/>
  <c r="I51" i="183"/>
  <c r="J51" i="183"/>
  <c r="E46" i="183"/>
  <c r="F46" i="183"/>
  <c r="G46" i="183"/>
  <c r="H46" i="183"/>
  <c r="I46" i="183"/>
  <c r="J46" i="183"/>
  <c r="E41" i="183"/>
  <c r="F41" i="183"/>
  <c r="G41" i="183"/>
  <c r="H41" i="183"/>
  <c r="I41" i="183"/>
  <c r="J41" i="183"/>
  <c r="L41" i="183"/>
  <c r="E37" i="183"/>
  <c r="F37" i="183"/>
  <c r="G37" i="183"/>
  <c r="H37" i="183"/>
  <c r="I37" i="183"/>
  <c r="J37" i="183"/>
  <c r="L37" i="183"/>
  <c r="E34" i="183"/>
  <c r="F34" i="183"/>
  <c r="G34" i="183"/>
  <c r="H34" i="183"/>
  <c r="I34" i="183"/>
  <c r="J34" i="183"/>
  <c r="L34" i="183"/>
  <c r="E30" i="183"/>
  <c r="F30" i="183"/>
  <c r="G30" i="183"/>
  <c r="H30" i="183"/>
  <c r="I30" i="183"/>
  <c r="J30" i="183"/>
  <c r="L30" i="183"/>
  <c r="K41" i="183" l="1"/>
  <c r="K30" i="183"/>
  <c r="K55" i="183"/>
  <c r="K62" i="183"/>
  <c r="K34" i="183"/>
  <c r="F47" i="183"/>
  <c r="F56" i="183" s="1"/>
  <c r="H66" i="183"/>
  <c r="G66" i="183"/>
  <c r="K46" i="183"/>
  <c r="K51" i="183"/>
  <c r="K37" i="183"/>
  <c r="I66" i="183"/>
  <c r="F66" i="183"/>
  <c r="J47" i="183"/>
  <c r="E47" i="183"/>
  <c r="E56" i="183" s="1"/>
  <c r="E66" i="183"/>
  <c r="H47" i="183"/>
  <c r="H56" i="183" s="1"/>
  <c r="G47" i="183"/>
  <c r="G56" i="183" s="1"/>
  <c r="J66" i="183"/>
  <c r="K65" i="183"/>
  <c r="I47" i="183"/>
  <c r="I56" i="183" s="1"/>
  <c r="J33" i="182"/>
  <c r="J32" i="182"/>
  <c r="J31" i="182"/>
  <c r="I33" i="182"/>
  <c r="I32" i="182"/>
  <c r="I31" i="182"/>
  <c r="H33" i="182"/>
  <c r="H32" i="182"/>
  <c r="H31" i="182"/>
  <c r="K47" i="183" l="1"/>
  <c r="J56" i="183"/>
  <c r="K56" i="183" s="1"/>
  <c r="K66" i="183"/>
  <c r="K22" i="183"/>
  <c r="K21" i="183"/>
  <c r="K20" i="183"/>
  <c r="K19" i="183"/>
  <c r="K18" i="183"/>
  <c r="K17" i="183"/>
  <c r="K15" i="183"/>
  <c r="K14" i="183"/>
  <c r="D65" i="183"/>
  <c r="D62" i="183"/>
  <c r="D51" i="183"/>
  <c r="D46" i="183"/>
  <c r="D41" i="183"/>
  <c r="D34" i="183"/>
  <c r="D30" i="183"/>
  <c r="J23" i="183"/>
  <c r="I23" i="183"/>
  <c r="H23" i="183"/>
  <c r="G23" i="183"/>
  <c r="F23" i="183"/>
  <c r="E23" i="183"/>
  <c r="D23" i="183"/>
  <c r="D66" i="183" l="1"/>
  <c r="K23" i="183"/>
  <c r="J16" i="183"/>
  <c r="I16" i="183"/>
  <c r="H16" i="183"/>
  <c r="G16" i="183"/>
  <c r="F16" i="183"/>
  <c r="D16" i="183"/>
  <c r="E16" i="183"/>
  <c r="E24" i="183" l="1"/>
  <c r="E68" i="183" s="1"/>
  <c r="F24" i="183"/>
  <c r="F68" i="183" s="1"/>
  <c r="H24" i="183"/>
  <c r="H68" i="183" s="1"/>
  <c r="I24" i="183"/>
  <c r="I68" i="183" s="1"/>
  <c r="G24" i="183"/>
  <c r="G68" i="183" s="1"/>
  <c r="J24" i="183"/>
  <c r="J68" i="183" s="1"/>
  <c r="K16" i="183"/>
  <c r="E10" i="108"/>
  <c r="K14" i="12"/>
  <c r="J32" i="8"/>
  <c r="M19" i="3"/>
  <c r="L9" i="3"/>
  <c r="J27" i="3"/>
  <c r="F39" i="3"/>
  <c r="E32" i="3"/>
  <c r="D27" i="3"/>
  <c r="D9" i="3"/>
  <c r="C27" i="3"/>
  <c r="K24" i="183" l="1"/>
  <c r="K68" i="183"/>
  <c r="I13" i="11"/>
  <c r="J13" i="11"/>
  <c r="E13" i="11"/>
  <c r="D13" i="11"/>
  <c r="A2" i="183" l="1"/>
  <c r="A1" i="183"/>
  <c r="D37" i="183"/>
  <c r="D47" i="183" l="1"/>
  <c r="D56" i="183" s="1"/>
  <c r="D24" i="183"/>
  <c r="D68" i="183" l="1"/>
  <c r="F30" i="181" l="1"/>
  <c r="F29" i="181"/>
  <c r="D167" i="34" l="1"/>
  <c r="D166" i="34"/>
  <c r="C167" i="34"/>
  <c r="C166" i="34"/>
  <c r="D178" i="34" l="1"/>
  <c r="C7" i="182" l="1"/>
  <c r="C6"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G29" i="181" l="1"/>
  <c r="E29" i="181"/>
  <c r="G30" i="181"/>
  <c r="E30" i="181"/>
  <c r="E28" i="181"/>
  <c r="F28" i="181" s="1"/>
  <c r="G28" i="181" s="1"/>
  <c r="E27" i="181"/>
  <c r="E26" i="181"/>
  <c r="F26" i="181" s="1"/>
  <c r="G26" i="181" s="1"/>
  <c r="E25" i="181"/>
  <c r="E24" i="181"/>
  <c r="E23" i="181"/>
  <c r="E22" i="181"/>
  <c r="F22" i="181" s="1"/>
  <c r="G22" i="181" s="1"/>
  <c r="E21" i="181"/>
  <c r="E20" i="181"/>
  <c r="F20" i="181" s="1"/>
  <c r="G20" i="181" s="1"/>
  <c r="E19" i="181"/>
  <c r="E18" i="181"/>
  <c r="F21" i="181" l="1"/>
  <c r="G21" i="181" s="1"/>
  <c r="F23" i="181"/>
  <c r="G23" i="181" s="1"/>
  <c r="F24" i="181"/>
  <c r="G24" i="181" s="1"/>
  <c r="F27" i="181"/>
  <c r="G27" i="181" s="1"/>
  <c r="F25" i="181"/>
  <c r="G25" i="181" s="1"/>
  <c r="F19" i="181"/>
  <c r="G19" i="181" s="1"/>
  <c r="F18" i="181"/>
  <c r="G18" i="181" s="1"/>
  <c r="D31" i="181"/>
  <c r="D80" i="36" l="1"/>
  <c r="B7797" i="106"/>
  <c r="E31" i="181"/>
  <c r="E17" i="181"/>
  <c r="F17" i="181" s="1"/>
  <c r="F31" i="181" s="1"/>
  <c r="E16" i="181"/>
  <c r="F16" i="181" l="1"/>
  <c r="G16" i="181" s="1"/>
  <c r="G17" i="181"/>
  <c r="G31" i="181" s="1"/>
  <c r="G40" i="108" l="1"/>
  <c r="B7799" i="106"/>
  <c r="B7798" i="106"/>
  <c r="E40" i="108"/>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B7727" i="106" s="1"/>
  <c r="D7727" i="106" s="1"/>
  <c r="B7729" i="106"/>
  <c r="D7729" i="106" s="1"/>
  <c r="B7734" i="106"/>
  <c r="D7734" i="106" s="1"/>
  <c r="B7726" i="106"/>
  <c r="D76" i="36"/>
  <c r="B30" i="36"/>
  <c r="B33" i="36" s="1"/>
  <c r="B43" i="36" s="1"/>
  <c r="B56" i="36" s="1"/>
  <c r="B66" i="36" s="1"/>
  <c r="B70" i="36" s="1"/>
  <c r="B74" i="36" s="1"/>
  <c r="D73" i="36"/>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B1408" i="106"/>
  <c r="D1408" i="106" s="1"/>
  <c r="B1409" i="106"/>
  <c r="D1409" i="106" s="1"/>
  <c r="B1411" i="106"/>
  <c r="D1411" i="106" s="1"/>
  <c r="B1412" i="106"/>
  <c r="D1412" i="106" s="1"/>
  <c r="B1413" i="106"/>
  <c r="D1413" i="106" s="1"/>
  <c r="B1418" i="106"/>
  <c r="D1418" i="106" s="1"/>
  <c r="B1419" i="106"/>
  <c r="D1419" i="106" s="1"/>
  <c r="B1423" i="106"/>
  <c r="D1423" i="106" s="1"/>
  <c r="B1425" i="106"/>
  <c r="D1425" i="106" s="1"/>
  <c r="B1429" i="106"/>
  <c r="D1429" i="106" s="1"/>
  <c r="B1431" i="106"/>
  <c r="D1431" i="106" s="1"/>
  <c r="B1432" i="106"/>
  <c r="D1432" i="106" s="1"/>
  <c r="B1433" i="106"/>
  <c r="D1433" i="106" s="1"/>
  <c r="D1435" i="106"/>
  <c r="B1439" i="106"/>
  <c r="D1439" i="106" s="1"/>
  <c r="B1440" i="106"/>
  <c r="D1440" i="106" s="1"/>
  <c r="D1441" i="106"/>
  <c r="B1442" i="106"/>
  <c r="D1442" i="106" s="1"/>
  <c r="D1443" i="106"/>
  <c r="B1445" i="106"/>
  <c r="D1445" i="106" s="1"/>
  <c r="D1453" i="106"/>
  <c r="D1455" i="106"/>
  <c r="D1456" i="106"/>
  <c r="D1457" i="106"/>
  <c r="D1458" i="106"/>
  <c r="D1459" i="106"/>
  <c r="D1461" i="106"/>
  <c r="D1462" i="106"/>
  <c r="D1463" i="106"/>
  <c r="D1464" i="106"/>
  <c r="D1465" i="106"/>
  <c r="D1467" i="106"/>
  <c r="D1468" i="106"/>
  <c r="D1469" i="106"/>
  <c r="K223" i="29"/>
  <c r="B1472" i="106" s="1"/>
  <c r="D1472" i="106" s="1"/>
  <c r="K224" i="29"/>
  <c r="B1473" i="106" s="1"/>
  <c r="D1473" i="106" s="1"/>
  <c r="K215" i="29"/>
  <c r="B3390" i="106" s="1"/>
  <c r="D3390" i="106" s="1"/>
  <c r="K217" i="29"/>
  <c r="B3391" i="106" s="1"/>
  <c r="D3391" i="106" s="1"/>
  <c r="K226" i="29"/>
  <c r="B7080" i="106" s="1"/>
  <c r="D7080" i="106" s="1"/>
  <c r="K232" i="29"/>
  <c r="K233" i="29"/>
  <c r="B1476" i="106" s="1"/>
  <c r="D1476" i="106" s="1"/>
  <c r="K234" i="29"/>
  <c r="B1477" i="106" s="1"/>
  <c r="D1477" i="106" s="1"/>
  <c r="K240" i="29"/>
  <c r="B1482" i="106" s="1"/>
  <c r="D1482" i="106" s="1"/>
  <c r="K241" i="29"/>
  <c r="B1483" i="106" s="1"/>
  <c r="D1483" i="106" s="1"/>
  <c r="K246" i="29"/>
  <c r="B1487" i="106" s="1"/>
  <c r="D1487" i="106" s="1"/>
  <c r="K254" i="29"/>
  <c r="B7094" i="106" s="1"/>
  <c r="D7094" i="106" s="1"/>
  <c r="K259" i="29"/>
  <c r="B1489" i="106" s="1"/>
  <c r="D1489" i="106" s="1"/>
  <c r="K264" i="29"/>
  <c r="B1493" i="106" s="1"/>
  <c r="D1493" i="106" s="1"/>
  <c r="K266" i="29"/>
  <c r="B1495" i="106" s="1"/>
  <c r="D1495" i="106" s="1"/>
  <c r="K267" i="29"/>
  <c r="B1496" i="106" s="1"/>
  <c r="D1496" i="106" s="1"/>
  <c r="K268" i="29"/>
  <c r="B1497" i="106" s="1"/>
  <c r="D1497" i="106" s="1"/>
  <c r="D1499" i="106"/>
  <c r="K274" i="29"/>
  <c r="B1503" i="106" s="1"/>
  <c r="D1503" i="106" s="1"/>
  <c r="K275" i="29"/>
  <c r="B1504" i="106" s="1"/>
  <c r="D1504" i="106" s="1"/>
  <c r="D1505" i="106"/>
  <c r="K276" i="29"/>
  <c r="B1506" i="106" s="1"/>
  <c r="D1506" i="106" s="1"/>
  <c r="D1507" i="106"/>
  <c r="K278" i="29"/>
  <c r="B1509" i="106" s="1"/>
  <c r="D1509" i="106" s="1"/>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B3387" i="106"/>
  <c r="D3387" i="106" s="1"/>
  <c r="B3388" i="106"/>
  <c r="D3388"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B5496" i="106"/>
  <c r="D5496" i="106" s="1"/>
  <c r="D5497" i="106"/>
  <c r="B5498" i="106"/>
  <c r="D5498" i="106" s="1"/>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B5705" i="106"/>
  <c r="D5705" i="106" s="1"/>
  <c r="D5706" i="106"/>
  <c r="D5707" i="106"/>
  <c r="D5709" i="106"/>
  <c r="D5711" i="106"/>
  <c r="D5712" i="106"/>
  <c r="D5714" i="106"/>
  <c r="D5715" i="106"/>
  <c r="D5716" i="106"/>
  <c r="D5717" i="106"/>
  <c r="D5718" i="106"/>
  <c r="B5721" i="106"/>
  <c r="D5721" i="106" s="1"/>
  <c r="B5728" i="106"/>
  <c r="D5728" i="106" s="1"/>
  <c r="B5731" i="106"/>
  <c r="D573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7022" i="106"/>
  <c r="D7022" i="106" s="1"/>
  <c r="B7023" i="106"/>
  <c r="D7023" i="106" s="1"/>
  <c r="B7053" i="106"/>
  <c r="D7053" i="106" s="1"/>
  <c r="D7056" i="106"/>
  <c r="B7057" i="106"/>
  <c r="D7057" i="106" s="1"/>
  <c r="B7058" i="106"/>
  <c r="D7058" i="106" s="1"/>
  <c r="B7079" i="106"/>
  <c r="D7079" i="106" s="1"/>
  <c r="B7093" i="106"/>
  <c r="D7093"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58" i="127"/>
  <c r="B59"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C49" i="8"/>
  <c r="B8" i="7"/>
  <c r="B1748" i="106" s="1"/>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D7" i="118"/>
  <c r="D8" i="118"/>
  <c r="D9" i="118"/>
  <c r="H14" i="118"/>
  <c r="H19" i="118"/>
  <c r="H24" i="118"/>
  <c r="B6289" i="106" l="1"/>
  <c r="D6289" i="106" s="1"/>
  <c r="D54" i="36"/>
  <c r="D6103" i="106"/>
  <c r="D68" i="36"/>
  <c r="D22" i="37"/>
  <c r="L13" i="11"/>
  <c r="B2060" i="106" s="1"/>
  <c r="D2060" i="106" s="1"/>
  <c r="H28" i="118"/>
  <c r="D24" i="37"/>
  <c r="B4270" i="106" s="1"/>
  <c r="D4270" i="106" s="1"/>
  <c r="F19" i="7"/>
  <c r="B1807" i="106" s="1"/>
  <c r="D1807" i="106" s="1"/>
  <c r="J77" i="4"/>
  <c r="B6262" i="106" s="1"/>
  <c r="D6262" i="106" s="1"/>
  <c r="K76" i="4"/>
  <c r="B3586" i="106" s="1"/>
  <c r="D3586" i="106" s="1"/>
  <c r="H33" i="118"/>
  <c r="F77" i="4"/>
  <c r="B3255" i="106" s="1"/>
  <c r="D3255" i="106" s="1"/>
  <c r="D11" i="37"/>
  <c r="D31" i="36"/>
  <c r="L15" i="11"/>
  <c r="B3459" i="106" s="1"/>
  <c r="D3459" i="106" s="1"/>
  <c r="J23" i="12"/>
  <c r="B7730" i="106" s="1"/>
  <c r="D7730" i="106" s="1"/>
  <c r="H29" i="118"/>
  <c r="N22" i="3"/>
  <c r="B283" i="106" s="1"/>
  <c r="D283" i="106" s="1"/>
  <c r="L5" i="11"/>
  <c r="B2056" i="106" s="1"/>
  <c r="D2056" i="106" s="1"/>
  <c r="J41" i="3"/>
  <c r="B6216" i="106" s="1"/>
  <c r="D6216" i="106" s="1"/>
  <c r="H76" i="4"/>
  <c r="B3298" i="106" s="1"/>
  <c r="D3298" i="106" s="1"/>
  <c r="K41" i="3"/>
  <c r="B3568" i="106" s="1"/>
  <c r="D3568" i="106" s="1"/>
  <c r="L22" i="37"/>
  <c r="J22" i="37"/>
  <c r="F71" i="34"/>
  <c r="B3254" i="106"/>
  <c r="D3254" i="106" s="1"/>
  <c r="I24" i="12"/>
  <c r="F21" i="8"/>
  <c r="K24" i="12"/>
  <c r="D3583" i="106"/>
  <c r="B3635" i="106"/>
  <c r="C41" i="3"/>
  <c r="B93" i="106" s="1"/>
  <c r="D93" i="106" s="1"/>
  <c r="J90" i="28"/>
  <c r="B79" i="36"/>
  <c r="B77" i="36"/>
  <c r="F16" i="1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E44" i="4"/>
  <c r="B3235" i="106"/>
  <c r="D3235" i="106" s="1"/>
  <c r="D77" i="4"/>
  <c r="B3238" i="106" s="1"/>
  <c r="D3238" i="106" s="1"/>
  <c r="B3229" i="106"/>
  <c r="D3229" i="106" s="1"/>
  <c r="C77" i="4"/>
  <c r="B3232" i="106" s="1"/>
  <c r="D3232" i="106" s="1"/>
  <c r="B1977" i="106"/>
  <c r="D1977" i="106" s="1"/>
  <c r="H24" i="12"/>
  <c r="B1867" i="106"/>
  <c r="D1867" i="106" s="1"/>
  <c r="F15" i="8"/>
  <c r="B1475" i="106"/>
  <c r="D1475" i="106" s="1"/>
  <c r="B3296" i="106"/>
  <c r="D3296" i="106" s="1"/>
  <c r="G77" i="4"/>
  <c r="B3261" i="106" s="1"/>
  <c r="D3261" i="106" s="1"/>
  <c r="L12" i="11"/>
  <c r="B2059" i="106" s="1"/>
  <c r="D2059" i="106" s="1"/>
  <c r="L8" i="11"/>
  <c r="B2057" i="106" s="1"/>
  <c r="D2057" i="106" s="1"/>
  <c r="G24" i="12"/>
  <c r="B211" i="106"/>
  <c r="D211" i="106" s="1"/>
  <c r="H41" i="3"/>
  <c r="B188" i="106"/>
  <c r="D188" i="106" s="1"/>
  <c r="G41" i="3"/>
  <c r="B139" i="106"/>
  <c r="D139" i="106" s="1"/>
  <c r="E41" i="3"/>
  <c r="J19" i="145"/>
  <c r="D82" i="36" s="1"/>
  <c r="B7270" i="106"/>
  <c r="J24" i="12" l="1"/>
  <c r="B7732" i="106" s="1"/>
  <c r="D7732" i="106" s="1"/>
  <c r="D51" i="36"/>
  <c r="K28" i="118"/>
  <c r="O27" i="118" s="1"/>
  <c r="O29" i="118" s="1"/>
  <c r="D52" i="36"/>
  <c r="L16" i="11"/>
  <c r="B2061" i="106" s="1"/>
  <c r="D2061" i="106" s="1"/>
  <c r="K77" i="4"/>
  <c r="B3587" i="106" s="1"/>
  <c r="D3587" i="106" s="1"/>
  <c r="H77" i="4"/>
  <c r="B3299" i="106" s="1"/>
  <c r="D3299" i="106" s="1"/>
  <c r="N23" i="3"/>
  <c r="B284" i="106" s="1"/>
  <c r="D284" i="106" s="1"/>
  <c r="B1996" i="106"/>
  <c r="D1996" i="106" s="1"/>
  <c r="I26" i="12"/>
  <c r="B7741" i="106" s="1"/>
  <c r="D7741" i="106" s="1"/>
  <c r="D44" i="36"/>
  <c r="B2031" i="106"/>
  <c r="D2031" i="106" s="1"/>
  <c r="B7733" i="106"/>
  <c r="D7733" i="106" s="1"/>
  <c r="K26" i="12"/>
  <c r="B7743" i="106" s="1"/>
  <c r="D7743" i="106" s="1"/>
  <c r="B1879" i="106"/>
  <c r="D1879" i="106" s="1"/>
  <c r="H22" i="37"/>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1983" i="106"/>
  <c r="D1983" i="106" s="1"/>
  <c r="H26" i="12"/>
  <c r="B7740" i="106" s="1"/>
  <c r="D7740" i="106" s="1"/>
  <c r="B3274" i="106"/>
  <c r="D3274" i="106" s="1"/>
  <c r="E77" i="4"/>
  <c r="B3277" i="106" s="1"/>
  <c r="D3277" i="106" s="1"/>
  <c r="A7258" i="106"/>
  <c r="B141" i="106"/>
  <c r="D141" i="106" s="1"/>
  <c r="D46" i="36"/>
  <c r="B190" i="106"/>
  <c r="D190" i="106" s="1"/>
  <c r="D48" i="36"/>
  <c r="B213" i="106"/>
  <c r="D213" i="106" s="1"/>
  <c r="D49" i="36"/>
  <c r="B1958" i="106"/>
  <c r="D1958" i="106" s="1"/>
  <c r="G26" i="12"/>
  <c r="B7739" i="106" s="1"/>
  <c r="D7739" i="106" s="1"/>
  <c r="D3635" i="106"/>
  <c r="B4171" i="106"/>
  <c r="D4171" i="106" s="1"/>
  <c r="N36" i="3"/>
  <c r="B7298" i="106"/>
  <c r="B7299" i="106"/>
  <c r="J26" i="12" l="1"/>
  <c r="B7742" i="106" s="1"/>
  <c r="D7742" i="106" s="1"/>
  <c r="F24" i="37"/>
  <c r="A7259" i="106"/>
  <c r="H37" i="37"/>
  <c r="B285" i="106"/>
  <c r="D285" i="106" s="1"/>
  <c r="N37" i="3"/>
  <c r="F162" i="34" l="1"/>
  <c r="B5315" i="106"/>
  <c r="D5315" i="106" s="1"/>
  <c r="B891" i="106"/>
  <c r="D891" i="106" s="1"/>
  <c r="B6311" i="106"/>
  <c r="D6311" i="106" s="1"/>
  <c r="B6671" i="106"/>
  <c r="D6671" i="106" s="1"/>
  <c r="K225" i="29"/>
  <c r="B1460" i="106" s="1"/>
  <c r="D1460" i="106" s="1"/>
  <c r="B1396" i="106"/>
  <c r="D1396" i="106" s="1"/>
  <c r="B965" i="106"/>
  <c r="D965" i="106" s="1"/>
  <c r="B7046" i="106"/>
  <c r="D7046" i="106" s="1"/>
  <c r="B1041" i="106"/>
  <c r="D1041" i="106" s="1"/>
  <c r="B961" i="106"/>
  <c r="D961" i="106" s="1"/>
  <c r="H12" i="5"/>
  <c r="B5873" i="106" s="1"/>
  <c r="D5873" i="106" s="1"/>
  <c r="B5871" i="106"/>
  <c r="D5871" i="106" s="1"/>
  <c r="B9" i="7"/>
  <c r="B1751" i="106" s="1"/>
  <c r="D1751" i="106" s="1"/>
  <c r="B5240" i="106"/>
  <c r="D5240" i="106" s="1"/>
  <c r="B3620" i="106"/>
  <c r="D3620" i="106" s="1"/>
  <c r="K351" i="29"/>
  <c r="B3671" i="106" s="1"/>
  <c r="D3671" i="106" s="1"/>
  <c r="B6344" i="106"/>
  <c r="D6344" i="106" s="1"/>
  <c r="B6698" i="106"/>
  <c r="D6698" i="106" s="1"/>
  <c r="B896" i="106"/>
  <c r="D896" i="106" s="1"/>
  <c r="K145" i="29"/>
  <c r="B2811" i="106" s="1"/>
  <c r="D2811" i="106" s="1"/>
  <c r="B2808" i="106"/>
  <c r="D2808" i="106" s="1"/>
  <c r="B822" i="106"/>
  <c r="D822" i="106" s="1"/>
  <c r="K360" i="29"/>
  <c r="B3675" i="106" s="1"/>
  <c r="D3675" i="106" s="1"/>
  <c r="B3657" i="106"/>
  <c r="D3657" i="106" s="1"/>
  <c r="H362" i="29"/>
  <c r="B5564" i="106"/>
  <c r="D5564" i="106" s="1"/>
  <c r="F18" i="34"/>
  <c r="B6952" i="106"/>
  <c r="D6952" i="106" s="1"/>
  <c r="G114" i="5"/>
  <c r="B5738" i="106"/>
  <c r="D5738" i="106" s="1"/>
  <c r="B6809" i="106"/>
  <c r="D6809" i="106" s="1"/>
  <c r="F154" i="34"/>
  <c r="K87" i="29"/>
  <c r="B6986" i="106" s="1"/>
  <c r="D6986" i="106" s="1"/>
  <c r="B6985" i="106"/>
  <c r="D6985" i="106" s="1"/>
  <c r="B7178" i="106"/>
  <c r="D7178" i="106" s="1"/>
  <c r="B5337" i="106"/>
  <c r="D5337" i="106" s="1"/>
  <c r="F156" i="34"/>
  <c r="B6825" i="106"/>
  <c r="D6825" i="106" s="1"/>
  <c r="B1344" i="106"/>
  <c r="D1344" i="106" s="1"/>
  <c r="B4355" i="106"/>
  <c r="D4355" i="106" s="1"/>
  <c r="B7808" i="106"/>
  <c r="D7808" i="106" s="1"/>
  <c r="B3368" i="106"/>
  <c r="D3368" i="106" s="1"/>
  <c r="H184" i="29"/>
  <c r="B1370" i="106" s="1"/>
  <c r="D1370" i="106" s="1"/>
  <c r="B1366" i="106"/>
  <c r="D1366" i="106" s="1"/>
  <c r="B1357" i="106"/>
  <c r="D1357" i="106" s="1"/>
  <c r="K83" i="29"/>
  <c r="B2978" i="106" s="1"/>
  <c r="D2978" i="106" s="1"/>
  <c r="B2954" i="106"/>
  <c r="D2954" i="106" s="1"/>
  <c r="K253" i="29"/>
  <c r="B7092" i="106" s="1"/>
  <c r="D7092" i="106" s="1"/>
  <c r="B7091" i="106"/>
  <c r="D7091" i="106" s="1"/>
  <c r="B3059" i="106"/>
  <c r="D3059" i="106" s="1"/>
  <c r="B6707" i="106"/>
  <c r="D6707" i="106" s="1"/>
  <c r="B835" i="106"/>
  <c r="D835" i="106" s="1"/>
  <c r="K38" i="29"/>
  <c r="B1111" i="106" s="1"/>
  <c r="D1111" i="106" s="1"/>
  <c r="B723" i="106"/>
  <c r="D723" i="106" s="1"/>
  <c r="F42" i="29"/>
  <c r="B895" i="106"/>
  <c r="D895" i="106" s="1"/>
  <c r="B5056" i="106"/>
  <c r="D5056" i="106" s="1"/>
  <c r="F115" i="34"/>
  <c r="L357" i="29"/>
  <c r="B6741" i="106"/>
  <c r="D6741" i="106" s="1"/>
  <c r="B4359" i="106"/>
  <c r="D4359" i="106" s="1"/>
  <c r="B7145" i="106"/>
  <c r="D7145" i="106" s="1"/>
  <c r="K322" i="29"/>
  <c r="B7153" i="106" s="1"/>
  <c r="D7153" i="106" s="1"/>
  <c r="K338" i="29"/>
  <c r="B7211" i="106" s="1"/>
  <c r="D7211" i="106" s="1"/>
  <c r="B7210" i="106"/>
  <c r="D7210" i="106" s="1"/>
  <c r="D204" i="5"/>
  <c r="B5444" i="106" s="1"/>
  <c r="D5444" i="106" s="1"/>
  <c r="B5431" i="106"/>
  <c r="D5431" i="106" s="1"/>
  <c r="B814" i="106"/>
  <c r="D814" i="106" s="1"/>
  <c r="B787" i="106"/>
  <c r="D787" i="106" s="1"/>
  <c r="B828" i="106"/>
  <c r="D828" i="106" s="1"/>
  <c r="B4382" i="106"/>
  <c r="D4382" i="106" s="1"/>
  <c r="B6672" i="106"/>
  <c r="D6672" i="106" s="1"/>
  <c r="F23" i="34"/>
  <c r="B5571" i="106"/>
  <c r="D5571" i="106" s="1"/>
  <c r="B7699" i="106"/>
  <c r="D7699" i="106" s="1"/>
  <c r="B4814" i="106"/>
  <c r="D4814" i="106" s="1"/>
  <c r="B6395" i="106"/>
  <c r="D6395" i="106" s="1"/>
  <c r="B7250" i="106"/>
  <c r="D7250" i="106" s="1"/>
  <c r="B6708" i="106"/>
  <c r="D6708" i="106" s="1"/>
  <c r="G127" i="29"/>
  <c r="B1251" i="106"/>
  <c r="D1251" i="106" s="1"/>
  <c r="B7226" i="106"/>
  <c r="D7226" i="106" s="1"/>
  <c r="I350" i="29"/>
  <c r="B7136" i="106"/>
  <c r="D7136" i="106" s="1"/>
  <c r="K321" i="29"/>
  <c r="B7144" i="106" s="1"/>
  <c r="D7144" i="106" s="1"/>
  <c r="K61" i="29"/>
  <c r="B740" i="106"/>
  <c r="D740" i="106" s="1"/>
  <c r="B6667" i="106"/>
  <c r="D6667" i="106" s="1"/>
  <c r="F97" i="34"/>
  <c r="B5106" i="106"/>
  <c r="D5106" i="106" s="1"/>
  <c r="K75" i="29"/>
  <c r="B756" i="106"/>
  <c r="D756" i="106" s="1"/>
  <c r="B7014" i="106"/>
  <c r="D7014" i="106" s="1"/>
  <c r="D12" i="5"/>
  <c r="B5334" i="106" s="1"/>
  <c r="D5334" i="106" s="1"/>
  <c r="B5" i="7"/>
  <c r="B5328" i="106"/>
  <c r="D5328" i="106" s="1"/>
  <c r="B3056" i="106"/>
  <c r="D3056" i="106" s="1"/>
  <c r="B6639" i="106"/>
  <c r="D6639" i="106" s="1"/>
  <c r="B3634" i="106"/>
  <c r="D3634" i="106" s="1"/>
  <c r="B5114" i="106"/>
  <c r="D5114" i="106" s="1"/>
  <c r="I127" i="29"/>
  <c r="B7024" i="106"/>
  <c r="D7024" i="106" s="1"/>
  <c r="B6823" i="106"/>
  <c r="D6823" i="106" s="1"/>
  <c r="F93" i="34"/>
  <c r="B7764" i="106"/>
  <c r="D7764" i="106" s="1"/>
  <c r="B6739" i="106"/>
  <c r="D6739" i="106" s="1"/>
  <c r="B5068" i="106"/>
  <c r="D5068" i="106" s="1"/>
  <c r="B1013" i="106"/>
  <c r="D1013" i="106" s="1"/>
  <c r="F113" i="34"/>
  <c r="B5187" i="106"/>
  <c r="D5187" i="106" s="1"/>
  <c r="B6617" i="106"/>
  <c r="D6617" i="106" s="1"/>
  <c r="F252" i="5"/>
  <c r="B6836" i="106" s="1"/>
  <c r="D6836" i="106" s="1"/>
  <c r="B4852" i="106"/>
  <c r="D4852" i="106" s="1"/>
  <c r="F170" i="34"/>
  <c r="B5791" i="106"/>
  <c r="D5791" i="106" s="1"/>
  <c r="B6346" i="106"/>
  <c r="D6346" i="106" s="1"/>
  <c r="K123" i="29"/>
  <c r="B1275" i="106" s="1"/>
  <c r="D1275" i="106" s="1"/>
  <c r="B1220" i="106"/>
  <c r="D1220" i="106" s="1"/>
  <c r="B4810" i="106"/>
  <c r="D4810" i="106" s="1"/>
  <c r="G181" i="5"/>
  <c r="B5784" i="106" s="1"/>
  <c r="D5784" i="106" s="1"/>
  <c r="C40" i="5"/>
  <c r="B5087" i="106" s="1"/>
  <c r="D5087" i="106" s="1"/>
  <c r="B5072" i="106"/>
  <c r="D5072" i="106" s="1"/>
  <c r="B4448" i="106"/>
  <c r="D4448" i="106" s="1"/>
  <c r="B5568" i="106"/>
  <c r="D5568" i="106" s="1"/>
  <c r="F20" i="34"/>
  <c r="B5665" i="106"/>
  <c r="D5665" i="106" s="1"/>
  <c r="B7703" i="106"/>
  <c r="D7703" i="106" s="1"/>
  <c r="B2722" i="106"/>
  <c r="D2722" i="106" s="1"/>
  <c r="B6911" i="106"/>
  <c r="D6911" i="106" s="1"/>
  <c r="B6910" i="106"/>
  <c r="D6910" i="106" s="1"/>
  <c r="B2826" i="106"/>
  <c r="D2826" i="106" s="1"/>
  <c r="B7193" i="106"/>
  <c r="D7193" i="106" s="1"/>
  <c r="B4447" i="106"/>
  <c r="D4447" i="106" s="1"/>
  <c r="B6335" i="106"/>
  <c r="D6335" i="106" s="1"/>
  <c r="B7175" i="106"/>
  <c r="D7175" i="106" s="1"/>
  <c r="B805" i="106"/>
  <c r="D805" i="106" s="1"/>
  <c r="B6791" i="106"/>
  <c r="D6791" i="106" s="1"/>
  <c r="B5566" i="106"/>
  <c r="D5566" i="106" s="1"/>
  <c r="F86" i="34"/>
  <c r="B1248" i="106"/>
  <c r="D1248" i="106" s="1"/>
  <c r="B4314" i="106"/>
  <c r="D4314" i="106" s="1"/>
  <c r="B832" i="106"/>
  <c r="D832" i="106" s="1"/>
  <c r="L92" i="29"/>
  <c r="B6983" i="106"/>
  <c r="D6983" i="106" s="1"/>
  <c r="K86" i="29"/>
  <c r="B6984" i="106" s="1"/>
  <c r="D6984" i="106" s="1"/>
  <c r="B5340" i="106"/>
  <c r="D5340" i="106" s="1"/>
  <c r="D67" i="5"/>
  <c r="B5342" i="106" s="1"/>
  <c r="D5342" i="106" s="1"/>
  <c r="B1243" i="106"/>
  <c r="D1243" i="106" s="1"/>
  <c r="F127" i="29"/>
  <c r="K98" i="29"/>
  <c r="B7007" i="106" s="1"/>
  <c r="D7007" i="106" s="1"/>
  <c r="B7006" i="106"/>
  <c r="D7006" i="106" s="1"/>
  <c r="B6669" i="106"/>
  <c r="D6669" i="106" s="1"/>
  <c r="B5520" i="106"/>
  <c r="D5520" i="106" s="1"/>
  <c r="F92" i="34"/>
  <c r="B5575" i="106"/>
  <c r="D5575" i="106" s="1"/>
  <c r="E303" i="29"/>
  <c r="B1531" i="106"/>
  <c r="D1531" i="106" s="1"/>
  <c r="K283" i="29"/>
  <c r="B3723" i="106" s="1"/>
  <c r="D3723" i="106" s="1"/>
  <c r="B3721" i="106"/>
  <c r="D3721" i="106" s="1"/>
  <c r="B3369" i="106"/>
  <c r="D3369" i="106" s="1"/>
  <c r="B5743" i="106"/>
  <c r="D5743" i="106" s="1"/>
  <c r="B6347" i="106"/>
  <c r="D6347" i="106" s="1"/>
  <c r="B1006" i="106"/>
  <c r="D1006" i="106" s="1"/>
  <c r="B5727" i="106"/>
  <c r="D5727" i="106" s="1"/>
  <c r="B6630" i="106"/>
  <c r="D6630" i="106" s="1"/>
  <c r="B6670" i="106"/>
  <c r="D6670" i="106" s="1"/>
  <c r="B6716" i="106"/>
  <c r="D6716" i="106" s="1"/>
  <c r="B4408" i="106"/>
  <c r="D4408" i="106" s="1"/>
  <c r="B7099" i="106"/>
  <c r="D7099" i="106" s="1"/>
  <c r="I303" i="29"/>
  <c r="K348" i="29"/>
  <c r="C350" i="29"/>
  <c r="B3617" i="106"/>
  <c r="D3617" i="106" s="1"/>
  <c r="B5821" i="106"/>
  <c r="D5821" i="106" s="1"/>
  <c r="B6884" i="106"/>
  <c r="D6884" i="106" s="1"/>
  <c r="K24" i="29"/>
  <c r="B6885" i="106" s="1"/>
  <c r="D6885" i="106" s="1"/>
  <c r="B4875" i="106"/>
  <c r="D4875" i="106" s="1"/>
  <c r="B5152" i="106"/>
  <c r="D5152" i="106" s="1"/>
  <c r="B864" i="106"/>
  <c r="D864" i="106" s="1"/>
  <c r="B7182" i="106"/>
  <c r="D7182" i="106" s="1"/>
  <c r="G57" i="29"/>
  <c r="B969" i="106" s="1"/>
  <c r="D969" i="106" s="1"/>
  <c r="B967" i="106"/>
  <c r="D967" i="106" s="1"/>
  <c r="B4884" i="106"/>
  <c r="D4884" i="106" s="1"/>
  <c r="B4328" i="106"/>
  <c r="D4328" i="106" s="1"/>
  <c r="B5255" i="106"/>
  <c r="D5255" i="106" s="1"/>
  <c r="B6959" i="106"/>
  <c r="D6959" i="106" s="1"/>
  <c r="B3484" i="106"/>
  <c r="D3484" i="106" s="1"/>
  <c r="B6873" i="106"/>
  <c r="D6873" i="106" s="1"/>
  <c r="B6302" i="106"/>
  <c r="D6302" i="106" s="1"/>
  <c r="J18" i="5"/>
  <c r="B6306" i="106" s="1"/>
  <c r="D6306" i="106" s="1"/>
  <c r="B4352" i="106"/>
  <c r="D4352" i="106" s="1"/>
  <c r="B5093" i="106"/>
  <c r="D5093" i="106" s="1"/>
  <c r="B4877" i="106"/>
  <c r="D4877" i="106" s="1"/>
  <c r="B725" i="106"/>
  <c r="D725" i="106" s="1"/>
  <c r="K40" i="29"/>
  <c r="B1113" i="106" s="1"/>
  <c r="D1113" i="106" s="1"/>
  <c r="B2822" i="106"/>
  <c r="D2822" i="106" s="1"/>
  <c r="B6404" i="106"/>
  <c r="D6404" i="106" s="1"/>
  <c r="K202" i="29"/>
  <c r="B2842" i="106" s="1"/>
  <c r="D2842" i="106" s="1"/>
  <c r="B2832" i="106"/>
  <c r="D2832" i="106" s="1"/>
  <c r="D285" i="29"/>
  <c r="B3722" i="106" s="1"/>
  <c r="D3722" i="106" s="1"/>
  <c r="K282" i="29"/>
  <c r="B7783" i="106"/>
  <c r="D7783" i="106" s="1"/>
  <c r="B6894" i="106"/>
  <c r="D6894" i="106" s="1"/>
  <c r="K29" i="29"/>
  <c r="B6895" i="106" s="1"/>
  <c r="D6895" i="106" s="1"/>
  <c r="B986" i="106"/>
  <c r="D986" i="106" s="1"/>
  <c r="B6653" i="106"/>
  <c r="D6653" i="106" s="1"/>
  <c r="B5196" i="106"/>
  <c r="D5196" i="106" s="1"/>
  <c r="B6811" i="106"/>
  <c r="D6811" i="106" s="1"/>
  <c r="B6329" i="106"/>
  <c r="D6329" i="106" s="1"/>
  <c r="B4410" i="106"/>
  <c r="D4410" i="106" s="1"/>
  <c r="B1224" i="106"/>
  <c r="D1224" i="106" s="1"/>
  <c r="K128" i="29"/>
  <c r="B1280" i="106" s="1"/>
  <c r="D1280" i="106" s="1"/>
  <c r="B6922" i="106"/>
  <c r="D6922" i="106" s="1"/>
  <c r="B6303" i="106"/>
  <c r="D6303" i="106" s="1"/>
  <c r="D252" i="5"/>
  <c r="B6834" i="106" s="1"/>
  <c r="D6834" i="106" s="1"/>
  <c r="B6615" i="106"/>
  <c r="D6615" i="106" s="1"/>
  <c r="B6812" i="106"/>
  <c r="D6812" i="106" s="1"/>
  <c r="B7164" i="106"/>
  <c r="D7164" i="106" s="1"/>
  <c r="B5627" i="106"/>
  <c r="D5627" i="106" s="1"/>
  <c r="B5735" i="106"/>
  <c r="D5735" i="106" s="1"/>
  <c r="B6635" i="106"/>
  <c r="D6635" i="106" s="1"/>
  <c r="K326" i="29"/>
  <c r="B7189" i="106" s="1"/>
  <c r="D7189" i="106" s="1"/>
  <c r="B7181" i="106"/>
  <c r="D7181" i="106" s="1"/>
  <c r="K252" i="5"/>
  <c r="B6621" i="106"/>
  <c r="D6621" i="106" s="1"/>
  <c r="B718" i="106"/>
  <c r="D718" i="106" s="1"/>
  <c r="K14" i="29"/>
  <c r="B1106" i="106" s="1"/>
  <c r="D1106" i="106" s="1"/>
  <c r="B5119" i="106"/>
  <c r="D5119" i="106" s="1"/>
  <c r="B899" i="106"/>
  <c r="D899" i="106" s="1"/>
  <c r="B6364" i="106"/>
  <c r="D6364" i="106" s="1"/>
  <c r="C145" i="5"/>
  <c r="B5163" i="106"/>
  <c r="D5163" i="106" s="1"/>
  <c r="B3638" i="106"/>
  <c r="D3638" i="106" s="1"/>
  <c r="F350" i="29"/>
  <c r="B6794" i="106"/>
  <c r="D6794" i="106" s="1"/>
  <c r="B7133" i="106"/>
  <c r="D7133" i="106" s="1"/>
  <c r="K250" i="29"/>
  <c r="B7086" i="106" s="1"/>
  <c r="D7086" i="106" s="1"/>
  <c r="B7085" i="106"/>
  <c r="D7085" i="106" s="1"/>
  <c r="B980" i="106"/>
  <c r="D980" i="106" s="1"/>
  <c r="B6390" i="106"/>
  <c r="D6390" i="106" s="1"/>
  <c r="B5528" i="106"/>
  <c r="D5528" i="106" s="1"/>
  <c r="E122" i="5"/>
  <c r="B5534" i="106" s="1"/>
  <c r="D5534" i="106" s="1"/>
  <c r="B914" i="106"/>
  <c r="D914" i="106" s="1"/>
  <c r="B799" i="106"/>
  <c r="D799" i="106" s="1"/>
  <c r="B6391" i="106"/>
  <c r="D6391" i="106" s="1"/>
  <c r="B5522" i="106"/>
  <c r="D5522" i="106" s="1"/>
  <c r="E108" i="5"/>
  <c r="B5526" i="106" s="1"/>
  <c r="D5526" i="106" s="1"/>
  <c r="B6958" i="106"/>
  <c r="D6958" i="106" s="1"/>
  <c r="B6829" i="106"/>
  <c r="D6829" i="106" s="1"/>
  <c r="B4360" i="106"/>
  <c r="D4360" i="106" s="1"/>
  <c r="B4181" i="106"/>
  <c r="D4181" i="106" s="1"/>
  <c r="B7030" i="106"/>
  <c r="D7030" i="106" s="1"/>
  <c r="B6652" i="106"/>
  <c r="D6652" i="106" s="1"/>
  <c r="B4885" i="106"/>
  <c r="D4885" i="106" s="1"/>
  <c r="L285" i="29"/>
  <c r="B1360" i="106"/>
  <c r="D1360" i="106" s="1"/>
  <c r="G184" i="29"/>
  <c r="H92" i="29"/>
  <c r="B6981" i="106"/>
  <c r="D6981" i="106" s="1"/>
  <c r="K85" i="29"/>
  <c r="B6982" i="106" s="1"/>
  <c r="D6982" i="106" s="1"/>
  <c r="B6759" i="106"/>
  <c r="D6759" i="106" s="1"/>
  <c r="B1257" i="106"/>
  <c r="D1257" i="106" s="1"/>
  <c r="B7814" i="106"/>
  <c r="D7814" i="106" s="1"/>
  <c r="B4369" i="106"/>
  <c r="D4369" i="106" s="1"/>
  <c r="B4947" i="106"/>
  <c r="D4947" i="106" s="1"/>
  <c r="B1237" i="106"/>
  <c r="D1237" i="106" s="1"/>
  <c r="B6694" i="106"/>
  <c r="D6694" i="106" s="1"/>
  <c r="B5877" i="106"/>
  <c r="D5877" i="106" s="1"/>
  <c r="B6337" i="106"/>
  <c r="D6337" i="106" s="1"/>
  <c r="G175" i="5"/>
  <c r="B5780" i="106" s="1"/>
  <c r="D5780" i="106" s="1"/>
  <c r="B5779" i="106"/>
  <c r="D5779" i="106" s="1"/>
  <c r="B4318" i="106"/>
  <c r="D4318" i="106" s="1"/>
  <c r="B6799" i="106"/>
  <c r="D6799" i="106" s="1"/>
  <c r="B7172" i="106"/>
  <c r="D7172" i="106" s="1"/>
  <c r="K325" i="29"/>
  <c r="B7180" i="106" s="1"/>
  <c r="D7180" i="106" s="1"/>
  <c r="B2798" i="106"/>
  <c r="D2798" i="106" s="1"/>
  <c r="B7228" i="106"/>
  <c r="D7228" i="106" s="1"/>
  <c r="B4948" i="106"/>
  <c r="D4948" i="106" s="1"/>
  <c r="B1270" i="106"/>
  <c r="D1270" i="106" s="1"/>
  <c r="K146" i="29"/>
  <c r="B1285" i="106" s="1"/>
  <c r="D1285" i="106" s="1"/>
  <c r="B7129" i="106"/>
  <c r="D7129" i="106" s="1"/>
  <c r="B3625" i="106"/>
  <c r="D3625" i="106" s="1"/>
  <c r="B5606" i="106"/>
  <c r="D5606" i="106" s="1"/>
  <c r="B3371" i="106"/>
  <c r="D3371" i="106" s="1"/>
  <c r="L238" i="29"/>
  <c r="B5108" i="106"/>
  <c r="D5108" i="106" s="1"/>
  <c r="K62" i="29"/>
  <c r="B741" i="106"/>
  <c r="D741" i="106" s="1"/>
  <c r="B6847" i="106"/>
  <c r="D6847" i="106" s="1"/>
  <c r="B7138" i="106"/>
  <c r="D7138" i="106" s="1"/>
  <c r="B6656" i="106"/>
  <c r="D6656" i="106" s="1"/>
  <c r="B5370" i="106"/>
  <c r="D5370" i="106" s="1"/>
  <c r="D141" i="5"/>
  <c r="B5383" i="106" s="1"/>
  <c r="D5383" i="106" s="1"/>
  <c r="B904" i="106"/>
  <c r="D904" i="106" s="1"/>
  <c r="B957" i="106"/>
  <c r="D957" i="106" s="1"/>
  <c r="B5089" i="106"/>
  <c r="D5089" i="106" s="1"/>
  <c r="B3058" i="106"/>
  <c r="D3058" i="106" s="1"/>
  <c r="B2831" i="106"/>
  <c r="D2831" i="106" s="1"/>
  <c r="K201" i="29"/>
  <c r="B2841" i="106" s="1"/>
  <c r="D2841" i="106" s="1"/>
  <c r="B6957" i="106"/>
  <c r="D6957" i="106" s="1"/>
  <c r="K125" i="29"/>
  <c r="B3488" i="106" s="1"/>
  <c r="D3488" i="106" s="1"/>
  <c r="B3482" i="106"/>
  <c r="D3482" i="106" s="1"/>
  <c r="B5763" i="106"/>
  <c r="D5763" i="106" s="1"/>
  <c r="B972" i="106"/>
  <c r="D972" i="106" s="1"/>
  <c r="F21" i="34"/>
  <c r="B5569" i="106"/>
  <c r="D5569" i="106" s="1"/>
  <c r="B7168" i="106"/>
  <c r="D7168" i="106" s="1"/>
  <c r="B6768" i="106"/>
  <c r="D6768" i="106" s="1"/>
  <c r="B4380" i="106"/>
  <c r="D4380" i="106" s="1"/>
  <c r="B4420" i="106"/>
  <c r="D4420" i="106" s="1"/>
  <c r="B5494" i="106"/>
  <c r="D5494" i="106" s="1"/>
  <c r="F33" i="34"/>
  <c r="K159" i="29"/>
  <c r="B7782" i="106" s="1"/>
  <c r="D7782" i="106" s="1"/>
  <c r="B7781" i="106"/>
  <c r="D7781" i="106" s="1"/>
  <c r="B6345" i="106"/>
  <c r="D6345" i="106" s="1"/>
  <c r="B6403" i="106"/>
  <c r="D6403" i="106" s="1"/>
  <c r="K124" i="29"/>
  <c r="B1276" i="106" s="1"/>
  <c r="D1276" i="106" s="1"/>
  <c r="B1221" i="106"/>
  <c r="D1221" i="106" s="1"/>
  <c r="B4180" i="106"/>
  <c r="D4180" i="106" s="1"/>
  <c r="B780" i="106"/>
  <c r="D780" i="106" s="1"/>
  <c r="H168" i="29"/>
  <c r="K163" i="29"/>
  <c r="B1310" i="106"/>
  <c r="D1310" i="106" s="1"/>
  <c r="B7148" i="106"/>
  <c r="D7148" i="106" s="1"/>
  <c r="K220" i="29"/>
  <c r="B7077" i="106"/>
  <c r="D7077" i="106" s="1"/>
  <c r="B6822" i="106"/>
  <c r="D6822" i="106" s="1"/>
  <c r="B2725" i="106"/>
  <c r="D2725" i="106" s="1"/>
  <c r="K247" i="29"/>
  <c r="B2726" i="106" s="1"/>
  <c r="D2726" i="106" s="1"/>
  <c r="B3627" i="106"/>
  <c r="D3627" i="106" s="1"/>
  <c r="B1031" i="106"/>
  <c r="D1031" i="106" s="1"/>
  <c r="I33" i="29"/>
  <c r="B6844" i="106"/>
  <c r="D6844" i="106" s="1"/>
  <c r="B5248" i="106"/>
  <c r="D5248" i="106" s="1"/>
  <c r="B1011" i="106"/>
  <c r="D1011" i="106" s="1"/>
  <c r="H42" i="29"/>
  <c r="B1017" i="106" s="1"/>
  <c r="D1017" i="106" s="1"/>
  <c r="B6827" i="106"/>
  <c r="D6827" i="106" s="1"/>
  <c r="B6776" i="106"/>
  <c r="D6776" i="106" s="1"/>
  <c r="B1537" i="106"/>
  <c r="D1537" i="106" s="1"/>
  <c r="F303" i="29"/>
  <c r="B1541" i="106" s="1"/>
  <c r="D1541" i="106" s="1"/>
  <c r="B1369" i="106"/>
  <c r="D1369" i="106" s="1"/>
  <c r="B6641" i="106"/>
  <c r="D6641" i="106" s="1"/>
  <c r="K290" i="29"/>
  <c r="B2845" i="106" s="1"/>
  <c r="D2845" i="106" s="1"/>
  <c r="B2843" i="106"/>
  <c r="D2843" i="106" s="1"/>
  <c r="B6945" i="106"/>
  <c r="D6945" i="106" s="1"/>
  <c r="J57" i="29"/>
  <c r="B6949" i="106" s="1"/>
  <c r="D6949" i="106" s="1"/>
  <c r="B6865" i="106"/>
  <c r="D6865" i="106" s="1"/>
  <c r="B7109" i="106"/>
  <c r="D7109" i="106" s="1"/>
  <c r="B4796" i="106"/>
  <c r="D4796" i="106" s="1"/>
  <c r="B1430" i="106"/>
  <c r="D1430" i="106" s="1"/>
  <c r="K265" i="29"/>
  <c r="B1494" i="106" s="1"/>
  <c r="D1494" i="106" s="1"/>
  <c r="B6976" i="106"/>
  <c r="D6976" i="106" s="1"/>
  <c r="B3057" i="106"/>
  <c r="D3057" i="106" s="1"/>
  <c r="B5439" i="106"/>
  <c r="D5439" i="106" s="1"/>
  <c r="B6633" i="106"/>
  <c r="D6633" i="106" s="1"/>
  <c r="B7156" i="106"/>
  <c r="D7156" i="106" s="1"/>
  <c r="B6866" i="106"/>
  <c r="D6866" i="106" s="1"/>
  <c r="B5099" i="106"/>
  <c r="D5099" i="106" s="1"/>
  <c r="K63" i="29"/>
  <c r="B742" i="106"/>
  <c r="D742" i="106" s="1"/>
  <c r="B4801" i="106"/>
  <c r="D4801" i="106" s="1"/>
  <c r="B5127" i="106"/>
  <c r="D5127" i="106" s="1"/>
  <c r="B6709" i="106"/>
  <c r="D6709" i="106" s="1"/>
  <c r="J67" i="5"/>
  <c r="B6318" i="106" s="1"/>
  <c r="D6318" i="106" s="1"/>
  <c r="B6316" i="106"/>
  <c r="D6316" i="106" s="1"/>
  <c r="B6803" i="106"/>
  <c r="D6803" i="106" s="1"/>
  <c r="B794" i="106"/>
  <c r="D794" i="106" s="1"/>
  <c r="B6664" i="106"/>
  <c r="D6664" i="106" s="1"/>
  <c r="B5997" i="106"/>
  <c r="D5997" i="106" s="1"/>
  <c r="B6870" i="106"/>
  <c r="D6870" i="106" s="1"/>
  <c r="B6781" i="106"/>
  <c r="D6781" i="106" s="1"/>
  <c r="B2959" i="106"/>
  <c r="D2959" i="106" s="1"/>
  <c r="L137" i="29"/>
  <c r="L139" i="29" s="1"/>
  <c r="H18" i="5"/>
  <c r="B5878" i="106" s="1"/>
  <c r="D5878" i="106" s="1"/>
  <c r="B5874" i="106"/>
  <c r="D5874" i="106" s="1"/>
  <c r="L303" i="29"/>
  <c r="B6736" i="106"/>
  <c r="D6736" i="106" s="1"/>
  <c r="B722" i="106"/>
  <c r="D722" i="106" s="1"/>
  <c r="K37" i="29"/>
  <c r="B1110" i="106" s="1"/>
  <c r="D1110" i="106" s="1"/>
  <c r="B5074" i="106"/>
  <c r="D5074" i="106" s="1"/>
  <c r="B6793" i="106"/>
  <c r="D6793" i="106" s="1"/>
  <c r="F152" i="34"/>
  <c r="C188" i="5"/>
  <c r="B5233" i="106"/>
  <c r="D5233" i="106" s="1"/>
  <c r="B5317" i="106"/>
  <c r="D5317" i="106" s="1"/>
  <c r="F163" i="34"/>
  <c r="B5065" i="106"/>
  <c r="D5065" i="106" s="1"/>
  <c r="B18" i="7"/>
  <c r="B2997" i="106"/>
  <c r="D2997" i="106" s="1"/>
  <c r="B7009" i="106"/>
  <c r="D7009" i="106" s="1"/>
  <c r="B6860" i="106"/>
  <c r="D6860" i="106" s="1"/>
  <c r="B6826" i="106"/>
  <c r="D6826" i="106" s="1"/>
  <c r="K193" i="29"/>
  <c r="B3012" i="106" s="1"/>
  <c r="D3012" i="106" s="1"/>
  <c r="B2994" i="106"/>
  <c r="D2994" i="106" s="1"/>
  <c r="B5462" i="106"/>
  <c r="D5462" i="106" s="1"/>
  <c r="B763" i="106"/>
  <c r="D763" i="106" s="1"/>
  <c r="D33" i="29"/>
  <c r="B778" i="106" s="1"/>
  <c r="D778" i="106" s="1"/>
  <c r="B7701" i="106"/>
  <c r="D7701" i="106" s="1"/>
  <c r="B1252" i="106"/>
  <c r="D1252" i="106" s="1"/>
  <c r="B5142" i="106"/>
  <c r="D5142" i="106" s="1"/>
  <c r="B6651" i="106"/>
  <c r="D6651" i="106" s="1"/>
  <c r="B2829" i="106"/>
  <c r="D2829" i="106" s="1"/>
  <c r="B7695" i="106"/>
  <c r="D7695" i="106" s="1"/>
  <c r="B5785" i="106"/>
  <c r="D5785" i="106" s="1"/>
  <c r="G188" i="5"/>
  <c r="B4398" i="106" s="1"/>
  <c r="D4398" i="106" s="1"/>
  <c r="B5994" i="106"/>
  <c r="D5994" i="106" s="1"/>
  <c r="B11" i="7"/>
  <c r="J12" i="5"/>
  <c r="B6298" i="106"/>
  <c r="D6298" i="106" s="1"/>
  <c r="B964" i="106"/>
  <c r="D964" i="106" s="1"/>
  <c r="G53" i="29"/>
  <c r="B966" i="106" s="1"/>
  <c r="D966" i="106" s="1"/>
  <c r="B801" i="106"/>
  <c r="D801" i="106" s="1"/>
  <c r="B4191" i="106"/>
  <c r="D4191" i="106" s="1"/>
  <c r="K12" i="5"/>
  <c r="B5985" i="106"/>
  <c r="D5985" i="106" s="1"/>
  <c r="B12" i="7"/>
  <c r="B1753" i="106" s="1"/>
  <c r="D1753" i="106" s="1"/>
  <c r="B6618" i="106"/>
  <c r="D6618" i="106" s="1"/>
  <c r="G252" i="5"/>
  <c r="B6837" i="106" s="1"/>
  <c r="D6837" i="106" s="1"/>
  <c r="B6000" i="106"/>
  <c r="D6000" i="106" s="1"/>
  <c r="K122" i="5"/>
  <c r="D122" i="5"/>
  <c r="B5367" i="106" s="1"/>
  <c r="D5367" i="106" s="1"/>
  <c r="B5361" i="106"/>
  <c r="D5361" i="106" s="1"/>
  <c r="B5115" i="106"/>
  <c r="D5115" i="106" s="1"/>
  <c r="F102" i="34"/>
  <c r="B5384" i="106"/>
  <c r="D5384" i="106" s="1"/>
  <c r="B6886" i="106"/>
  <c r="D6886" i="106" s="1"/>
  <c r="K25" i="29"/>
  <c r="B7267" i="106"/>
  <c r="K192" i="29"/>
  <c r="B3011" i="106" s="1"/>
  <c r="D3011" i="106" s="1"/>
  <c r="B2993" i="106"/>
  <c r="D2993" i="106" s="1"/>
  <c r="E310" i="29"/>
  <c r="B7114" i="106" s="1"/>
  <c r="D7114" i="106" s="1"/>
  <c r="B7105" i="106"/>
  <c r="D7105" i="106" s="1"/>
  <c r="K306" i="29"/>
  <c r="B7107" i="106" s="1"/>
  <c r="D7107" i="106" s="1"/>
  <c r="B2960" i="106"/>
  <c r="D2960" i="106" s="1"/>
  <c r="B6350" i="106"/>
  <c r="D6350" i="106" s="1"/>
  <c r="B6998" i="106"/>
  <c r="D6998" i="106" s="1"/>
  <c r="K94" i="29"/>
  <c r="B6999" i="106" s="1"/>
  <c r="D6999" i="106" s="1"/>
  <c r="B5079" i="106"/>
  <c r="D5079" i="106" s="1"/>
  <c r="B5067" i="106"/>
  <c r="D5067" i="106" s="1"/>
  <c r="C18" i="5"/>
  <c r="B5071" i="106" s="1"/>
  <c r="D5071" i="106" s="1"/>
  <c r="E33" i="29"/>
  <c r="B836" i="106" s="1"/>
  <c r="D836" i="106" s="1"/>
  <c r="B821" i="106"/>
  <c r="D821" i="106" s="1"/>
  <c r="B7249" i="106"/>
  <c r="D7249" i="106" s="1"/>
  <c r="B6905" i="106"/>
  <c r="D6905" i="106" s="1"/>
  <c r="J42" i="29"/>
  <c r="B6917" i="106" s="1"/>
  <c r="D6917" i="106" s="1"/>
  <c r="B6832" i="106"/>
  <c r="D6832" i="106" s="1"/>
  <c r="F184" i="29"/>
  <c r="B1354" i="106"/>
  <c r="D1354" i="106" s="1"/>
  <c r="B6831" i="106"/>
  <c r="D6831" i="106" s="1"/>
  <c r="B6349" i="106"/>
  <c r="D6349" i="106" s="1"/>
  <c r="B6732" i="106"/>
  <c r="D6732" i="106" s="1"/>
  <c r="B5168" i="106"/>
  <c r="D5168" i="106" s="1"/>
  <c r="F110" i="34"/>
  <c r="B1269" i="106"/>
  <c r="D1269" i="106" s="1"/>
  <c r="K143" i="29"/>
  <c r="B1284" i="106" s="1"/>
  <c r="D1284" i="106" s="1"/>
  <c r="B6790" i="106"/>
  <c r="D6790" i="106" s="1"/>
  <c r="B4889" i="106"/>
  <c r="D4889" i="106" s="1"/>
  <c r="B872" i="106"/>
  <c r="D872" i="106" s="1"/>
  <c r="B719" i="106"/>
  <c r="D719" i="106" s="1"/>
  <c r="K15" i="29"/>
  <c r="B1107" i="106" s="1"/>
  <c r="D1107" i="106" s="1"/>
  <c r="B6342" i="106"/>
  <c r="D6342" i="106" s="1"/>
  <c r="B5872" i="106"/>
  <c r="D5872" i="106" s="1"/>
  <c r="B6733" i="106"/>
  <c r="D6733" i="106" s="1"/>
  <c r="B7146" i="106"/>
  <c r="D7146" i="106" s="1"/>
  <c r="B845" i="106"/>
  <c r="D845" i="106" s="1"/>
  <c r="B5061" i="106"/>
  <c r="D5061" i="106" s="1"/>
  <c r="C12" i="5"/>
  <c r="B4" i="7"/>
  <c r="B1744" i="106" s="1"/>
  <c r="D1744" i="106" s="1"/>
  <c r="B6852" i="106"/>
  <c r="D6852" i="106" s="1"/>
  <c r="B5084" i="106"/>
  <c r="D5084" i="106" s="1"/>
  <c r="B6300" i="106"/>
  <c r="D6300" i="106" s="1"/>
  <c r="B2813" i="106"/>
  <c r="D2813" i="106" s="1"/>
  <c r="K166" i="29"/>
  <c r="B2819" i="106" s="1"/>
  <c r="D2819" i="106" s="1"/>
  <c r="B5091" i="106"/>
  <c r="D5091" i="106" s="1"/>
  <c r="B7253" i="106"/>
  <c r="D7253" i="106" s="1"/>
  <c r="B6401" i="106"/>
  <c r="D6401" i="106" s="1"/>
  <c r="C198" i="5"/>
  <c r="J108" i="5"/>
  <c r="B6351" i="106" s="1"/>
  <c r="D6351" i="106" s="1"/>
  <c r="B6319" i="106"/>
  <c r="D6319" i="106" s="1"/>
  <c r="B4794" i="106"/>
  <c r="D4794" i="106" s="1"/>
  <c r="B7196" i="106"/>
  <c r="D7196" i="106" s="1"/>
  <c r="B3641" i="106"/>
  <c r="D3641" i="106" s="1"/>
  <c r="L184" i="29"/>
  <c r="B6875" i="106"/>
  <c r="D6875" i="106" s="1"/>
  <c r="B4394" i="106"/>
  <c r="D4394" i="106" s="1"/>
  <c r="L65" i="29"/>
  <c r="K255" i="29"/>
  <c r="B7096" i="106" s="1"/>
  <c r="D7096" i="106" s="1"/>
  <c r="B7095" i="106"/>
  <c r="D7095" i="106" s="1"/>
  <c r="F65" i="29"/>
  <c r="B919" i="106" s="1"/>
  <c r="D919" i="106" s="1"/>
  <c r="B912" i="106"/>
  <c r="D912" i="106" s="1"/>
  <c r="B6715" i="106"/>
  <c r="D6715" i="106" s="1"/>
  <c r="B6814" i="106"/>
  <c r="D6814" i="106" s="1"/>
  <c r="F63" i="5"/>
  <c r="B5579" i="106" s="1"/>
  <c r="D5579" i="106" s="1"/>
  <c r="F84" i="34"/>
  <c r="B5563" i="106"/>
  <c r="D5563" i="106" s="1"/>
  <c r="B1227" i="106"/>
  <c r="D1227" i="106" s="1"/>
  <c r="D127" i="29"/>
  <c r="B1231" i="106" s="1"/>
  <c r="D1231" i="106" s="1"/>
  <c r="B1422" i="106"/>
  <c r="D1422" i="106" s="1"/>
  <c r="D257" i="29"/>
  <c r="B1424" i="106" s="1"/>
  <c r="D1424" i="106" s="1"/>
  <c r="K245" i="29"/>
  <c r="B1486" i="106" s="1"/>
  <c r="D1486" i="106" s="1"/>
  <c r="B7265" i="106"/>
  <c r="B7028" i="106"/>
  <c r="D7028" i="106" s="1"/>
  <c r="B7690" i="106"/>
  <c r="D7690" i="106" s="1"/>
  <c r="B2802" i="106"/>
  <c r="D2802" i="106" s="1"/>
  <c r="B5602" i="106"/>
  <c r="D5602" i="106" s="1"/>
  <c r="B7811" i="106"/>
  <c r="D7811" i="106" s="1"/>
  <c r="B7035" i="106"/>
  <c r="D7035" i="106" s="1"/>
  <c r="B2807" i="106"/>
  <c r="D2807" i="106" s="1"/>
  <c r="K144" i="29"/>
  <c r="B2810" i="106" s="1"/>
  <c r="D2810" i="106" s="1"/>
  <c r="B5754" i="106"/>
  <c r="D5754" i="106" s="1"/>
  <c r="G145" i="5"/>
  <c r="B5756" i="106" s="1"/>
  <c r="D5756" i="106" s="1"/>
  <c r="B6807" i="106"/>
  <c r="D6807" i="106" s="1"/>
  <c r="B5064" i="106"/>
  <c r="D5064" i="106" s="1"/>
  <c r="B17" i="7"/>
  <c r="B5459" i="106"/>
  <c r="D5459" i="106" s="1"/>
  <c r="F32" i="34"/>
  <c r="B3653" i="106"/>
  <c r="D3653" i="106" s="1"/>
  <c r="J127" i="29"/>
  <c r="B7025" i="106"/>
  <c r="D7025" i="106" s="1"/>
  <c r="B1026" i="106"/>
  <c r="D1026" i="106" s="1"/>
  <c r="B1260" i="106"/>
  <c r="D1260" i="106" s="1"/>
  <c r="H127" i="29"/>
  <c r="B4337" i="106"/>
  <c r="D4337" i="106" s="1"/>
  <c r="B5124" i="106"/>
  <c r="D5124" i="106" s="1"/>
  <c r="G122" i="5"/>
  <c r="B5748" i="106" s="1"/>
  <c r="D5748" i="106" s="1"/>
  <c r="B5742" i="106"/>
  <c r="D5742" i="106" s="1"/>
  <c r="B6614" i="106"/>
  <c r="D6614" i="106" s="1"/>
  <c r="C252" i="5"/>
  <c r="B6833" i="106" s="1"/>
  <c r="D6833" i="106" s="1"/>
  <c r="B6796" i="106"/>
  <c r="D6796" i="106" s="1"/>
  <c r="B6640" i="106"/>
  <c r="D6640" i="106" s="1"/>
  <c r="B6872" i="106"/>
  <c r="D6872" i="106" s="1"/>
  <c r="B6907" i="106"/>
  <c r="D6907" i="106" s="1"/>
  <c r="B7246" i="106"/>
  <c r="D7246" i="106" s="1"/>
  <c r="B7149" i="106"/>
  <c r="D7149" i="106" s="1"/>
  <c r="B6684" i="106"/>
  <c r="D6684" i="106" s="1"/>
  <c r="B5333" i="106"/>
  <c r="D5333" i="106" s="1"/>
  <c r="B7261" i="106"/>
  <c r="B7702" i="106"/>
  <c r="D7702" i="106" s="1"/>
  <c r="B7697" i="106"/>
  <c r="D7697" i="106" s="1"/>
  <c r="K329" i="29"/>
  <c r="B7705" i="106" s="1"/>
  <c r="D7705" i="106" s="1"/>
  <c r="B809" i="106"/>
  <c r="D809" i="106" s="1"/>
  <c r="G155" i="5"/>
  <c r="B4357" i="106" s="1"/>
  <c r="D4357" i="106" s="1"/>
  <c r="B6380" i="106"/>
  <c r="D6380" i="106" s="1"/>
  <c r="B6813" i="106"/>
  <c r="D6813" i="106" s="1"/>
  <c r="B5591" i="106"/>
  <c r="D5591" i="106" s="1"/>
  <c r="B5625" i="106"/>
  <c r="D5625" i="106" s="1"/>
  <c r="B7039" i="106"/>
  <c r="D7039" i="106" s="1"/>
  <c r="B6777" i="106"/>
  <c r="D6777" i="106" s="1"/>
  <c r="F150" i="34"/>
  <c r="B5344" i="106"/>
  <c r="D5344" i="106" s="1"/>
  <c r="B6930" i="106"/>
  <c r="D6930" i="106" s="1"/>
  <c r="B6334" i="106"/>
  <c r="D6334" i="106" s="1"/>
  <c r="B4944" i="106"/>
  <c r="D4944" i="106" s="1"/>
  <c r="B6773" i="106"/>
  <c r="D6773" i="106" s="1"/>
  <c r="B6648" i="106"/>
  <c r="D6648" i="106" s="1"/>
  <c r="B5583" i="106"/>
  <c r="D5583" i="106" s="1"/>
  <c r="F108" i="5"/>
  <c r="B5587" i="106" s="1"/>
  <c r="D5587" i="106" s="1"/>
  <c r="B6031" i="106"/>
  <c r="D6031" i="106" s="1"/>
  <c r="C75" i="5"/>
  <c r="B1016" i="106"/>
  <c r="D1016" i="106" s="1"/>
  <c r="B3652" i="106"/>
  <c r="D3652" i="106" s="1"/>
  <c r="H350" i="29"/>
  <c r="B6928" i="106"/>
  <c r="D6928" i="106" s="1"/>
  <c r="K307" i="29"/>
  <c r="B4099" i="106" s="1"/>
  <c r="D4099" i="106" s="1"/>
  <c r="B7108" i="106"/>
  <c r="D7108" i="106" s="1"/>
  <c r="B6856" i="106"/>
  <c r="D6856" i="106" s="1"/>
  <c r="B2799" i="106"/>
  <c r="D2799" i="106" s="1"/>
  <c r="B6758" i="106"/>
  <c r="D6758" i="106" s="1"/>
  <c r="B5580" i="106"/>
  <c r="D5580" i="106" s="1"/>
  <c r="F67" i="5"/>
  <c r="B5582" i="106" s="1"/>
  <c r="D5582" i="106" s="1"/>
  <c r="B6762" i="106"/>
  <c r="D6762" i="106" s="1"/>
  <c r="B5765" i="106"/>
  <c r="D5765" i="106" s="1"/>
  <c r="B797" i="106"/>
  <c r="D797" i="106" s="1"/>
  <c r="B6324" i="106"/>
  <c r="D6324" i="106" s="1"/>
  <c r="B880" i="106"/>
  <c r="D880" i="106" s="1"/>
  <c r="B7766" i="106"/>
  <c r="D7766" i="106" s="1"/>
  <c r="B7130" i="106"/>
  <c r="D7130" i="106" s="1"/>
  <c r="B3366" i="106"/>
  <c r="D3366" i="106" s="1"/>
  <c r="K8" i="29"/>
  <c r="B3380" i="106" s="1"/>
  <c r="D3380" i="106" s="1"/>
  <c r="B5726" i="106"/>
  <c r="D5726" i="106" s="1"/>
  <c r="G18" i="5"/>
  <c r="B5730" i="106" s="1"/>
  <c r="D5730" i="106" s="1"/>
  <c r="B7150" i="106"/>
  <c r="D7150" i="106" s="1"/>
  <c r="B6689" i="106"/>
  <c r="D6689" i="106" s="1"/>
  <c r="I57" i="29"/>
  <c r="B6948" i="106" s="1"/>
  <c r="D6948" i="106" s="1"/>
  <c r="B6944" i="106"/>
  <c r="D6944" i="106" s="1"/>
  <c r="B7066" i="106"/>
  <c r="D7066" i="106" s="1"/>
  <c r="B7779" i="106"/>
  <c r="D7779" i="106" s="1"/>
  <c r="K158" i="29"/>
  <c r="B7780" i="106" s="1"/>
  <c r="D7780" i="106" s="1"/>
  <c r="D270" i="29"/>
  <c r="B1436" i="106" s="1"/>
  <c r="D1436" i="106" s="1"/>
  <c r="K263" i="29"/>
  <c r="B1492" i="106" s="1"/>
  <c r="D1492" i="106" s="1"/>
  <c r="B1428" i="106"/>
  <c r="D1428" i="106" s="1"/>
  <c r="B7142" i="106"/>
  <c r="D7142" i="106" s="1"/>
  <c r="B4311" i="106"/>
  <c r="D4311" i="106" s="1"/>
  <c r="B6909" i="106"/>
  <c r="D6909" i="106" s="1"/>
  <c r="D330" i="29"/>
  <c r="B7119" i="106"/>
  <c r="D7119" i="106" s="1"/>
  <c r="C132" i="5"/>
  <c r="B5133" i="106"/>
  <c r="D5133" i="106" s="1"/>
  <c r="B6993" i="106"/>
  <c r="D6993" i="106" s="1"/>
  <c r="K91" i="29"/>
  <c r="B6994" i="106" s="1"/>
  <c r="D6994" i="106" s="1"/>
  <c r="B7173" i="106"/>
  <c r="D7173" i="106" s="1"/>
  <c r="B7229" i="106"/>
  <c r="D7229" i="106" s="1"/>
  <c r="B6381" i="106"/>
  <c r="D6381" i="106" s="1"/>
  <c r="B892" i="106"/>
  <c r="D892" i="106" s="1"/>
  <c r="B6637" i="106"/>
  <c r="D6637" i="106" s="1"/>
  <c r="B7777" i="106"/>
  <c r="D7777" i="106" s="1"/>
  <c r="K157" i="29"/>
  <c r="B7778" i="106" s="1"/>
  <c r="D7778" i="106" s="1"/>
  <c r="H160" i="29"/>
  <c r="B886" i="106"/>
  <c r="D886" i="106" s="1"/>
  <c r="H310" i="29"/>
  <c r="B7115" i="106" s="1"/>
  <c r="D7115" i="106" s="1"/>
  <c r="B7106" i="106"/>
  <c r="D7106" i="106" s="1"/>
  <c r="B5757" i="106"/>
  <c r="D5757" i="106" s="1"/>
  <c r="B6312" i="106"/>
  <c r="D6312" i="106" s="1"/>
  <c r="F87" i="34"/>
  <c r="B6331" i="106"/>
  <c r="D6331" i="106" s="1"/>
  <c r="B6904" i="106"/>
  <c r="D6904" i="106" s="1"/>
  <c r="I42" i="29"/>
  <c r="B798" i="106"/>
  <c r="D798" i="106" s="1"/>
  <c r="B5357" i="106"/>
  <c r="D5357" i="106" s="1"/>
  <c r="D114" i="5"/>
  <c r="B4946" i="106"/>
  <c r="D4946" i="106" s="1"/>
  <c r="B2821" i="106"/>
  <c r="D2821" i="106" s="1"/>
  <c r="B865" i="106"/>
  <c r="D865" i="106" s="1"/>
  <c r="B7707" i="106"/>
  <c r="D7707" i="106" s="1"/>
  <c r="B3060" i="106"/>
  <c r="D3060" i="106" s="1"/>
  <c r="B5393" i="106"/>
  <c r="D5393" i="106" s="1"/>
  <c r="B4331" i="106"/>
  <c r="D4331" i="106" s="1"/>
  <c r="B954" i="106"/>
  <c r="D954" i="106" s="1"/>
  <c r="B7027" i="106"/>
  <c r="D7027" i="106" s="1"/>
  <c r="B812" i="106"/>
  <c r="D812" i="106" s="1"/>
  <c r="B5560" i="106"/>
  <c r="D5560" i="106" s="1"/>
  <c r="B4338" i="106"/>
  <c r="D4338" i="106" s="1"/>
  <c r="B6718" i="106"/>
  <c r="D6718" i="106" s="1"/>
  <c r="B844" i="106"/>
  <c r="D844" i="106" s="1"/>
  <c r="E47" i="29"/>
  <c r="B847" i="106" s="1"/>
  <c r="D847" i="106" s="1"/>
  <c r="B1049" i="106"/>
  <c r="D1049" i="106" s="1"/>
  <c r="K106" i="29"/>
  <c r="B1147" i="106" s="1"/>
  <c r="D1147" i="106" s="1"/>
  <c r="B1540" i="106"/>
  <c r="D1540" i="106" s="1"/>
  <c r="B5343" i="106"/>
  <c r="D5343" i="106" s="1"/>
  <c r="D82" i="5"/>
  <c r="B5348" i="106" s="1"/>
  <c r="D5348" i="106" s="1"/>
  <c r="B6874" i="106"/>
  <c r="D6874" i="106" s="1"/>
  <c r="L72" i="29"/>
  <c r="B6366" i="106"/>
  <c r="D6366" i="106" s="1"/>
  <c r="B7131" i="106"/>
  <c r="D7131" i="106" s="1"/>
  <c r="B7637" i="106"/>
  <c r="B5094" i="106"/>
  <c r="D5094" i="106" s="1"/>
  <c r="B842" i="106"/>
  <c r="D842" i="106" s="1"/>
  <c r="B6310" i="106"/>
  <c r="D6310" i="106" s="1"/>
  <c r="B6783" i="106"/>
  <c r="D6783" i="106" s="1"/>
  <c r="B6920" i="106"/>
  <c r="D6920" i="106" s="1"/>
  <c r="B6747" i="106"/>
  <c r="D6747" i="106" s="1"/>
  <c r="H53" i="29"/>
  <c r="B1024" i="106" s="1"/>
  <c r="D1024" i="106" s="1"/>
  <c r="B1022" i="106"/>
  <c r="D1022" i="106" s="1"/>
  <c r="B5275" i="106"/>
  <c r="D5275" i="106" s="1"/>
  <c r="F164" i="34"/>
  <c r="B4418" i="106"/>
  <c r="D4418" i="106" s="1"/>
  <c r="B5615" i="106"/>
  <c r="D5615" i="106" s="1"/>
  <c r="F155" i="5"/>
  <c r="B5618" i="106" s="1"/>
  <c r="D5618" i="106" s="1"/>
  <c r="K23" i="29"/>
  <c r="B6882" i="106"/>
  <c r="D6882" i="106" s="1"/>
  <c r="K207" i="29"/>
  <c r="B7070" i="106" s="1"/>
  <c r="D7070" i="106" s="1"/>
  <c r="B7069" i="106"/>
  <c r="D7069" i="106" s="1"/>
  <c r="B5086" i="106"/>
  <c r="D5086" i="106" s="1"/>
  <c r="B849" i="106"/>
  <c r="D849" i="106" s="1"/>
  <c r="B6685" i="106"/>
  <c r="D6685" i="106" s="1"/>
  <c r="B5485" i="106"/>
  <c r="D5485" i="106" s="1"/>
  <c r="D221" i="5"/>
  <c r="B5488" i="106" s="1"/>
  <c r="D5488" i="106" s="1"/>
  <c r="E194" i="29"/>
  <c r="K188" i="29"/>
  <c r="B2989" i="106"/>
  <c r="D2989" i="106" s="1"/>
  <c r="B5092" i="106"/>
  <c r="D5092" i="106" s="1"/>
  <c r="B6379" i="106"/>
  <c r="D6379" i="106" s="1"/>
  <c r="B4945" i="106"/>
  <c r="D4945" i="106" s="1"/>
  <c r="B7" i="7"/>
  <c r="F12" i="5"/>
  <c r="B5553" i="106"/>
  <c r="D5553" i="106" s="1"/>
  <c r="B6683" i="106"/>
  <c r="D6683" i="106" s="1"/>
  <c r="B3374" i="106"/>
  <c r="D3374" i="106" s="1"/>
  <c r="F103" i="34"/>
  <c r="B4761" i="106"/>
  <c r="D4761" i="106" s="1"/>
  <c r="B867" i="106"/>
  <c r="D867" i="106" s="1"/>
  <c r="B5573" i="106"/>
  <c r="D5573" i="106" s="1"/>
  <c r="F91" i="34"/>
  <c r="L277" i="29"/>
  <c r="B7698" i="106"/>
  <c r="D7698" i="106" s="1"/>
  <c r="B5696" i="106"/>
  <c r="D5696" i="106" s="1"/>
  <c r="B6876" i="106"/>
  <c r="D6876" i="106" s="1"/>
  <c r="K20" i="29"/>
  <c r="B5242" i="106"/>
  <c r="D5242" i="106" s="1"/>
  <c r="B6634" i="106"/>
  <c r="D6634" i="106" s="1"/>
  <c r="F135" i="34"/>
  <c r="B6723" i="106"/>
  <c r="D6723" i="106" s="1"/>
  <c r="K191" i="29"/>
  <c r="B3010" i="106" s="1"/>
  <c r="D3010" i="106" s="1"/>
  <c r="B2992" i="106"/>
  <c r="D2992" i="106" s="1"/>
  <c r="B5822" i="106"/>
  <c r="D5822" i="106" s="1"/>
  <c r="B4330" i="106"/>
  <c r="D4330" i="106" s="1"/>
  <c r="B7731" i="106"/>
  <c r="D7731" i="106" s="1"/>
  <c r="L334" i="29"/>
  <c r="B6355" i="106"/>
  <c r="D6355" i="106" s="1"/>
  <c r="B6330" i="106"/>
  <c r="D6330" i="106" s="1"/>
  <c r="B857" i="106"/>
  <c r="D857" i="106" s="1"/>
  <c r="K236" i="29"/>
  <c r="B1479" i="106" s="1"/>
  <c r="D1479" i="106" s="1"/>
  <c r="B1415" i="106"/>
  <c r="D1415" i="106" s="1"/>
  <c r="B6763" i="106"/>
  <c r="D6763" i="106" s="1"/>
  <c r="B7793" i="106"/>
  <c r="D7793" i="106" s="1"/>
  <c r="B7237" i="106"/>
  <c r="D7237" i="106" s="1"/>
  <c r="K355" i="29"/>
  <c r="B5310" i="106"/>
  <c r="D5310" i="106" s="1"/>
  <c r="B5739" i="106"/>
  <c r="D5739" i="106" s="1"/>
  <c r="B5986" i="106"/>
  <c r="D5986" i="106" s="1"/>
  <c r="L42" i="29"/>
  <c r="B7795" i="106"/>
  <c r="D7795" i="106" s="1"/>
  <c r="K138" i="29"/>
  <c r="B2094" i="106" s="1"/>
  <c r="D2094" i="106" s="1"/>
  <c r="K195" i="29"/>
  <c r="B2839" i="106" s="1"/>
  <c r="D2839" i="106" s="1"/>
  <c r="B2824" i="106"/>
  <c r="D2824" i="106" s="1"/>
  <c r="K51" i="29"/>
  <c r="B2718" i="106"/>
  <c r="D2718" i="106" s="1"/>
  <c r="B5691" i="106"/>
  <c r="D5691" i="106" s="1"/>
  <c r="F217" i="5"/>
  <c r="B5703" i="106" s="1"/>
  <c r="D5703" i="106" s="1"/>
  <c r="B6647" i="106"/>
  <c r="D6647" i="106" s="1"/>
  <c r="B6406" i="106"/>
  <c r="D6406" i="106" s="1"/>
  <c r="B7029" i="106"/>
  <c r="D7029" i="106" s="1"/>
  <c r="B5109" i="106"/>
  <c r="D5109" i="106" s="1"/>
  <c r="B6950" i="106"/>
  <c r="D6950" i="106" s="1"/>
  <c r="I65" i="29"/>
  <c r="B6961" i="106" s="1"/>
  <c r="D6961" i="106" s="1"/>
  <c r="B6619" i="106"/>
  <c r="D6619" i="106" s="1"/>
  <c r="H252" i="5"/>
  <c r="B7185" i="106"/>
  <c r="D7185" i="106" s="1"/>
  <c r="B5882" i="106"/>
  <c r="D5882" i="106" s="1"/>
  <c r="H108" i="5"/>
  <c r="B5886" i="106" s="1"/>
  <c r="D5886" i="106" s="1"/>
  <c r="B5876" i="106"/>
  <c r="D5876" i="106" s="1"/>
  <c r="B6687" i="106"/>
  <c r="D6687" i="106" s="1"/>
  <c r="B7032" i="106"/>
  <c r="D7032" i="106" s="1"/>
  <c r="B788" i="106"/>
  <c r="D788" i="106" s="1"/>
  <c r="B5058" i="106"/>
  <c r="D5058" i="106" s="1"/>
  <c r="B4407" i="106"/>
  <c r="D4407" i="106" s="1"/>
  <c r="B5998" i="106"/>
  <c r="D5998" i="106" s="1"/>
  <c r="K80" i="29"/>
  <c r="B2975" i="106" s="1"/>
  <c r="D2975" i="106" s="1"/>
  <c r="B2951" i="106"/>
  <c r="D2951" i="106" s="1"/>
  <c r="B3389" i="106"/>
  <c r="D3389" i="106" s="1"/>
  <c r="K228" i="29"/>
  <c r="B3392" i="106" s="1"/>
  <c r="D3392" i="106" s="1"/>
  <c r="J184" i="29"/>
  <c r="B7060" i="106"/>
  <c r="D7060" i="106" s="1"/>
  <c r="L47" i="29"/>
  <c r="L147" i="29"/>
  <c r="L149" i="29"/>
  <c r="B6748" i="106"/>
  <c r="D6748" i="106" s="1"/>
  <c r="E72" i="29"/>
  <c r="B869" i="106" s="1"/>
  <c r="D869" i="106" s="1"/>
  <c r="B862" i="106"/>
  <c r="D862" i="106" s="1"/>
  <c r="B5723" i="106"/>
  <c r="D5723" i="106" s="1"/>
  <c r="B16" i="7"/>
  <c r="B4189" i="106"/>
  <c r="D4189" i="106" s="1"/>
  <c r="F165" i="34"/>
  <c r="B6864" i="106"/>
  <c r="D6864" i="106" s="1"/>
  <c r="K205" i="29"/>
  <c r="B7068" i="106" s="1"/>
  <c r="D7068" i="106" s="1"/>
  <c r="B7067" i="106"/>
  <c r="D7067" i="106" s="1"/>
  <c r="B7728" i="106"/>
  <c r="D7728" i="106" s="1"/>
  <c r="E42" i="29"/>
  <c r="B843" i="106" s="1"/>
  <c r="D843" i="106" s="1"/>
  <c r="B837" i="106"/>
  <c r="D837" i="106" s="1"/>
  <c r="B5529" i="106"/>
  <c r="D5529" i="106" s="1"/>
  <c r="B1002" i="106"/>
  <c r="D1002" i="106" s="1"/>
  <c r="B5368" i="106"/>
  <c r="D5368" i="106" s="1"/>
  <c r="D132" i="5"/>
  <c r="B6661" i="106"/>
  <c r="D6661" i="106" s="1"/>
  <c r="B1240" i="106"/>
  <c r="D1240" i="106" s="1"/>
  <c r="K95" i="29"/>
  <c r="B7001" i="106" s="1"/>
  <c r="D7001" i="106" s="1"/>
  <c r="B7000" i="106"/>
  <c r="D7000" i="106" s="1"/>
  <c r="B5844" i="106"/>
  <c r="D5844" i="106" s="1"/>
  <c r="G221" i="5"/>
  <c r="B5847" i="106" s="1"/>
  <c r="D5847" i="106" s="1"/>
  <c r="B729" i="106"/>
  <c r="D729" i="106" s="1"/>
  <c r="K45" i="29"/>
  <c r="B1117" i="106" s="1"/>
  <c r="D1117" i="106" s="1"/>
  <c r="G303" i="29"/>
  <c r="B1543" i="106"/>
  <c r="D1543" i="106" s="1"/>
  <c r="B748" i="106"/>
  <c r="D748" i="106" s="1"/>
  <c r="K69" i="29"/>
  <c r="B1262" i="106"/>
  <c r="D1262" i="106" s="1"/>
  <c r="B3376" i="106"/>
  <c r="D3376" i="106" s="1"/>
  <c r="B6304" i="106"/>
  <c r="D6304" i="106" s="1"/>
  <c r="B791" i="106"/>
  <c r="D791" i="106" s="1"/>
  <c r="B7692" i="106"/>
  <c r="D7692" i="106" s="1"/>
  <c r="B3632" i="106"/>
  <c r="D3632" i="106" s="1"/>
  <c r="B2956" i="106"/>
  <c r="D2956" i="106" s="1"/>
  <c r="F168" i="34"/>
  <c r="B4358" i="106"/>
  <c r="D4358" i="106" s="1"/>
  <c r="B949" i="106"/>
  <c r="D949" i="106" s="1"/>
  <c r="B3483" i="106"/>
  <c r="D3483" i="106" s="1"/>
  <c r="B6697" i="106"/>
  <c r="D6697" i="106" s="1"/>
  <c r="B1023" i="106"/>
  <c r="D1023" i="106" s="1"/>
  <c r="B6754" i="106"/>
  <c r="D6754" i="106" s="1"/>
  <c r="B6690" i="106"/>
  <c r="D6690" i="106" s="1"/>
  <c r="F142" i="34"/>
  <c r="B978" i="106"/>
  <c r="D978" i="106" s="1"/>
  <c r="G72" i="29"/>
  <c r="B985" i="106" s="1"/>
  <c r="D985" i="106" s="1"/>
  <c r="B4415" i="106"/>
  <c r="D4415" i="106" s="1"/>
  <c r="F161" i="34"/>
  <c r="B5171" i="106"/>
  <c r="D5171" i="106" s="1"/>
  <c r="K22" i="29"/>
  <c r="B6880" i="106"/>
  <c r="D6880" i="106" s="1"/>
  <c r="B855" i="106"/>
  <c r="D855" i="106" s="1"/>
  <c r="B6761" i="106"/>
  <c r="D6761" i="106" s="1"/>
  <c r="F148" i="34"/>
  <c r="G209" i="5"/>
  <c r="B4414" i="106" s="1"/>
  <c r="D4414" i="106" s="1"/>
  <c r="B5799" i="106"/>
  <c r="D5799" i="106" s="1"/>
  <c r="B1219" i="106"/>
  <c r="D1219" i="106" s="1"/>
  <c r="K122" i="29"/>
  <c r="C127" i="29"/>
  <c r="B1223" i="106" s="1"/>
  <c r="D1223" i="106" s="1"/>
  <c r="B6728" i="106"/>
  <c r="D6728" i="106" s="1"/>
  <c r="B6821" i="106"/>
  <c r="D6821" i="106" s="1"/>
  <c r="B5585" i="106"/>
  <c r="D5585" i="106" s="1"/>
  <c r="B5907" i="106"/>
  <c r="D5907" i="106" s="1"/>
  <c r="H181" i="5"/>
  <c r="B5908" i="106" s="1"/>
  <c r="D5908" i="106" s="1"/>
  <c r="F144" i="34"/>
  <c r="B6720" i="106"/>
  <c r="D6720" i="106" s="1"/>
  <c r="B7745" i="106"/>
  <c r="D7745" i="106" s="1"/>
  <c r="K364" i="29"/>
  <c r="B7746" i="106" s="1"/>
  <c r="D7746" i="106" s="1"/>
  <c r="B968" i="106"/>
  <c r="D968" i="106" s="1"/>
  <c r="L127" i="29"/>
  <c r="L129" i="29" s="1"/>
  <c r="B6849" i="106"/>
  <c r="D6849" i="106" s="1"/>
  <c r="F122" i="34"/>
  <c r="C181" i="5"/>
  <c r="B5232" i="106" s="1"/>
  <c r="D5232" i="106" s="1"/>
  <c r="B5230" i="106"/>
  <c r="D5230" i="106" s="1"/>
  <c r="B975" i="106"/>
  <c r="D975" i="106" s="1"/>
  <c r="B5135" i="106"/>
  <c r="D5135" i="106" s="1"/>
  <c r="B1313" i="106"/>
  <c r="D1313" i="106" s="1"/>
  <c r="K167" i="29"/>
  <c r="B1327" i="106" s="1"/>
  <c r="D1327" i="106" s="1"/>
  <c r="B5570" i="106"/>
  <c r="D5570" i="106" s="1"/>
  <c r="F88" i="34"/>
  <c r="B5576" i="106"/>
  <c r="D5576" i="106" s="1"/>
  <c r="F25" i="34"/>
  <c r="B6912" i="106"/>
  <c r="D6912" i="106" s="1"/>
  <c r="B6323" i="106"/>
  <c r="D6323" i="106" s="1"/>
  <c r="K9" i="29"/>
  <c r="B7251" i="106"/>
  <c r="D7251" i="106" s="1"/>
  <c r="B903" i="106"/>
  <c r="D903" i="106" s="1"/>
  <c r="B6701" i="106"/>
  <c r="D6701" i="106" s="1"/>
  <c r="B921" i="106"/>
  <c r="D921" i="106" s="1"/>
  <c r="B6725" i="106"/>
  <c r="D6725" i="106" s="1"/>
  <c r="B6774" i="106"/>
  <c r="D6774" i="106" s="1"/>
  <c r="B5692" i="106"/>
  <c r="D5692" i="106" s="1"/>
  <c r="B6340" i="106"/>
  <c r="D6340" i="106" s="1"/>
  <c r="B4876" i="106"/>
  <c r="D4876" i="106" s="1"/>
  <c r="B4309" i="106"/>
  <c r="D4309" i="106" s="1"/>
  <c r="K183" i="29"/>
  <c r="B1380" i="106" s="1"/>
  <c r="D1380" i="106" s="1"/>
  <c r="B1338" i="106"/>
  <c r="D1338" i="106" s="1"/>
  <c r="B6638" i="106"/>
  <c r="D6638" i="106" s="1"/>
  <c r="B6636" i="106"/>
  <c r="D6636" i="106" s="1"/>
  <c r="L257" i="29"/>
  <c r="B3624" i="106"/>
  <c r="D3624" i="106" s="1"/>
  <c r="D350" i="29"/>
  <c r="B4356" i="106"/>
  <c r="D4356" i="106" s="1"/>
  <c r="B6675" i="106"/>
  <c r="D6675" i="106" s="1"/>
  <c r="B7804" i="106"/>
  <c r="D7804" i="106" s="1"/>
  <c r="B5027" i="106"/>
  <c r="D5027" i="106" s="1"/>
  <c r="B4343" i="106"/>
  <c r="D4343" i="106" s="1"/>
  <c r="B6888" i="106"/>
  <c r="D6888" i="106" s="1"/>
  <c r="K26" i="29"/>
  <c r="D243" i="29"/>
  <c r="B1421" i="106" s="1"/>
  <c r="D1421" i="106" s="1"/>
  <c r="K242" i="29"/>
  <c r="B1420" i="106"/>
  <c r="D1420" i="106" s="1"/>
  <c r="B1015" i="106"/>
  <c r="D1015" i="106" s="1"/>
  <c r="B6358" i="106"/>
  <c r="D6358" i="106" s="1"/>
  <c r="B6622" i="106"/>
  <c r="D6622" i="106" s="1"/>
  <c r="F133" i="34"/>
  <c r="B913" i="106"/>
  <c r="D913" i="106" s="1"/>
  <c r="B7031" i="106"/>
  <c r="D7031" i="106" s="1"/>
  <c r="B890" i="106"/>
  <c r="D890" i="106" s="1"/>
  <c r="B5555" i="106"/>
  <c r="D5555" i="106" s="1"/>
  <c r="B4802" i="106"/>
  <c r="D4802" i="106" s="1"/>
  <c r="B5558" i="106"/>
  <c r="D5558" i="106" s="1"/>
  <c r="F18" i="5"/>
  <c r="B5562" i="106" s="1"/>
  <c r="D5562" i="106" s="1"/>
  <c r="B5101" i="106"/>
  <c r="D5101" i="106" s="1"/>
  <c r="B5341" i="106"/>
  <c r="D5341" i="106" s="1"/>
  <c r="B777" i="106"/>
  <c r="D777" i="106" s="1"/>
  <c r="B7815" i="106"/>
  <c r="D7815" i="106" s="1"/>
  <c r="B7177" i="106"/>
  <c r="D7177" i="106" s="1"/>
  <c r="E100" i="29"/>
  <c r="B7011" i="106" s="1"/>
  <c r="D7011" i="106" s="1"/>
  <c r="K99" i="29"/>
  <c r="B7010" i="106" s="1"/>
  <c r="D7010" i="106" s="1"/>
  <c r="B7008" i="106"/>
  <c r="D7008" i="106" s="1"/>
  <c r="B5561" i="106"/>
  <c r="D5561" i="106" s="1"/>
  <c r="B7111" i="106"/>
  <c r="D7111" i="106" s="1"/>
  <c r="K337" i="29"/>
  <c r="B7209" i="106" s="1"/>
  <c r="D7209" i="106" s="1"/>
  <c r="H340" i="29"/>
  <c r="B7214" i="106" s="1"/>
  <c r="D7214" i="106" s="1"/>
  <c r="B7208" i="106"/>
  <c r="D7208" i="106" s="1"/>
  <c r="B4377" i="106"/>
  <c r="D4377" i="106" s="1"/>
  <c r="B1020" i="106"/>
  <c r="D1020" i="106" s="1"/>
  <c r="J53" i="29"/>
  <c r="B6943" i="106" s="1"/>
  <c r="D6943" i="106" s="1"/>
  <c r="B6927" i="106"/>
  <c r="D6927" i="106" s="1"/>
  <c r="B6963" i="106"/>
  <c r="D6963" i="106" s="1"/>
  <c r="I72" i="29"/>
  <c r="B6973" i="106" s="1"/>
  <c r="D6973" i="106" s="1"/>
  <c r="B916" i="106"/>
  <c r="D916" i="106" s="1"/>
  <c r="E12" i="5"/>
  <c r="B5513" i="106" s="1"/>
  <c r="D5513" i="106" s="1"/>
  <c r="B6" i="7"/>
  <c r="B5509" i="106"/>
  <c r="D5509" i="106" s="1"/>
  <c r="B3377" i="106"/>
  <c r="D3377" i="106" s="1"/>
  <c r="B6644" i="106"/>
  <c r="D6644" i="106" s="1"/>
  <c r="B6788" i="106"/>
  <c r="D6788" i="106" s="1"/>
  <c r="B7155" i="106"/>
  <c r="D7155" i="106" s="1"/>
  <c r="B5076" i="106"/>
  <c r="D5076" i="106" s="1"/>
  <c r="B7169" i="106"/>
  <c r="D7169" i="106" s="1"/>
  <c r="B7706" i="106"/>
  <c r="D7706" i="106" s="1"/>
  <c r="B944" i="106"/>
  <c r="D944" i="106" s="1"/>
  <c r="B2825" i="106"/>
  <c r="D2825" i="106" s="1"/>
  <c r="B6923" i="106"/>
  <c r="D6923" i="106" s="1"/>
  <c r="B5085" i="106"/>
  <c r="D5085" i="106" s="1"/>
  <c r="K11" i="29"/>
  <c r="B6858" i="106" s="1"/>
  <c r="D6858" i="106" s="1"/>
  <c r="B7257" i="106"/>
  <c r="D7257" i="106" s="1"/>
  <c r="B5095" i="106"/>
  <c r="D5095" i="106" s="1"/>
  <c r="B6915" i="106"/>
  <c r="D6915" i="106" s="1"/>
  <c r="K190" i="29"/>
  <c r="B3009" i="106" s="1"/>
  <c r="D3009" i="106" s="1"/>
  <c r="B2991" i="106"/>
  <c r="D2991" i="106" s="1"/>
  <c r="B7688" i="106"/>
  <c r="D7688" i="106" s="1"/>
  <c r="K328" i="29"/>
  <c r="B7696" i="106" s="1"/>
  <c r="D7696" i="106" s="1"/>
  <c r="B5347" i="106"/>
  <c r="D5347" i="106" s="1"/>
  <c r="B6991" i="106"/>
  <c r="D6991" i="106" s="1"/>
  <c r="K90" i="29"/>
  <c r="B6992" i="106" s="1"/>
  <c r="D6992" i="106" s="1"/>
  <c r="B7252" i="106"/>
  <c r="D7252" i="106" s="1"/>
  <c r="B3367" i="106"/>
  <c r="D3367" i="106" s="1"/>
  <c r="K19" i="29"/>
  <c r="B3381" i="106" s="1"/>
  <c r="D3381" i="106" s="1"/>
  <c r="B7151" i="106"/>
  <c r="D7151" i="106" s="1"/>
  <c r="B6711" i="106"/>
  <c r="D6711" i="106" s="1"/>
  <c r="B6868" i="106"/>
  <c r="D6868" i="106" s="1"/>
  <c r="B6692" i="106"/>
  <c r="D6692" i="106" s="1"/>
  <c r="B917" i="106"/>
  <c r="D917" i="106" s="1"/>
  <c r="B953" i="106"/>
  <c r="D953" i="106" s="1"/>
  <c r="G42" i="29"/>
  <c r="B6947" i="106"/>
  <c r="D6947" i="106" s="1"/>
  <c r="B6752" i="106"/>
  <c r="D6752" i="106" s="1"/>
  <c r="B6695" i="106"/>
  <c r="D6695" i="106" s="1"/>
  <c r="B6313" i="106"/>
  <c r="D6313" i="106" s="1"/>
  <c r="F22" i="34"/>
  <c r="D17" i="171"/>
  <c r="B4362" i="106"/>
  <c r="D4362" i="106" s="1"/>
  <c r="F169" i="34"/>
  <c r="K134" i="29"/>
  <c r="B2986" i="106" s="1"/>
  <c r="D2986" i="106" s="1"/>
  <c r="B4199" i="106"/>
  <c r="D4199" i="106" s="1"/>
  <c r="B4365" i="106"/>
  <c r="D4365" i="106" s="1"/>
  <c r="H175" i="5"/>
  <c r="B4950" i="106" s="1"/>
  <c r="D4950" i="106" s="1"/>
  <c r="B4228" i="106"/>
  <c r="D4228" i="106" s="1"/>
  <c r="B4806" i="106"/>
  <c r="D4806" i="106" s="1"/>
  <c r="K171" i="29"/>
  <c r="B1330" i="106" s="1"/>
  <c r="D1330" i="106" s="1"/>
  <c r="B1307" i="106"/>
  <c r="D1307" i="106" s="1"/>
  <c r="E172" i="29"/>
  <c r="B4920" i="106"/>
  <c r="D4920" i="106" s="1"/>
  <c r="B6338" i="106"/>
  <c r="D6338" i="106" s="1"/>
  <c r="B7123" i="106"/>
  <c r="D7123" i="106" s="1"/>
  <c r="H330" i="29"/>
  <c r="K327" i="29"/>
  <c r="B7198" i="106" s="1"/>
  <c r="D7198" i="106" s="1"/>
  <c r="B7190" i="106"/>
  <c r="D7190" i="106" s="1"/>
  <c r="B1402" i="106"/>
  <c r="D1402" i="106" s="1"/>
  <c r="K227" i="29"/>
  <c r="B1466" i="106" s="1"/>
  <c r="D1466" i="106" s="1"/>
  <c r="B6650" i="106"/>
  <c r="D6650" i="106" s="1"/>
  <c r="F137" i="34"/>
  <c r="B6389" i="106"/>
  <c r="D6389" i="106" s="1"/>
  <c r="B1350" i="106"/>
  <c r="D1350" i="106" s="1"/>
  <c r="B1363" i="106"/>
  <c r="D1363" i="106" s="1"/>
  <c r="B5917" i="106"/>
  <c r="D5917" i="106" s="1"/>
  <c r="B7765" i="106"/>
  <c r="D7765" i="106" s="1"/>
  <c r="F159" i="34"/>
  <c r="B4378" i="106"/>
  <c r="D4378" i="106" s="1"/>
  <c r="B5697" i="106"/>
  <c r="D5697" i="106" s="1"/>
  <c r="B4417" i="106"/>
  <c r="D4417" i="106" s="1"/>
  <c r="B4361" i="106"/>
  <c r="D4361" i="106" s="1"/>
  <c r="B1311" i="106"/>
  <c r="D1311" i="106" s="1"/>
  <c r="K164" i="29"/>
  <c r="B1325" i="106" s="1"/>
  <c r="D1325" i="106" s="1"/>
  <c r="J330" i="29"/>
  <c r="B7125" i="106"/>
  <c r="D7125" i="106" s="1"/>
  <c r="B955" i="106"/>
  <c r="D955" i="106" s="1"/>
  <c r="K251" i="29"/>
  <c r="B7088" i="106" s="1"/>
  <c r="D7088" i="106" s="1"/>
  <c r="B7087" i="106"/>
  <c r="D7087" i="106" s="1"/>
  <c r="B5224" i="106"/>
  <c r="D5224" i="106" s="1"/>
  <c r="C175" i="5"/>
  <c r="B5225" i="106" s="1"/>
  <c r="D5225" i="106" s="1"/>
  <c r="B7139" i="106"/>
  <c r="D7139" i="106" s="1"/>
  <c r="B1033" i="106"/>
  <c r="D1033" i="106" s="1"/>
  <c r="B6740" i="106"/>
  <c r="D6740" i="106" s="1"/>
  <c r="B5134" i="106"/>
  <c r="D5134" i="106" s="1"/>
  <c r="B6863" i="106"/>
  <c r="D6863" i="106" s="1"/>
  <c r="K203" i="29"/>
  <c r="B1385" i="106" s="1"/>
  <c r="D1385" i="106" s="1"/>
  <c r="B1373" i="106"/>
  <c r="D1373" i="106" s="1"/>
  <c r="B6341" i="106"/>
  <c r="D6341" i="106" s="1"/>
  <c r="B6363" i="106"/>
  <c r="D6363" i="106" s="1"/>
  <c r="K189" i="29"/>
  <c r="B3008" i="106" s="1"/>
  <c r="D3008" i="106" s="1"/>
  <c r="B2990" i="106"/>
  <c r="D2990" i="106" s="1"/>
  <c r="F104" i="34"/>
  <c r="B5118" i="106"/>
  <c r="D5118" i="106" s="1"/>
  <c r="B6954" i="106"/>
  <c r="D6954" i="106" s="1"/>
  <c r="B5401" i="106"/>
  <c r="D5401" i="106" s="1"/>
  <c r="B7212" i="106"/>
  <c r="D7212" i="106" s="1"/>
  <c r="K339" i="29"/>
  <c r="B7213" i="106" s="1"/>
  <c r="D7213" i="106" s="1"/>
  <c r="B5122" i="106"/>
  <c r="D5122" i="106" s="1"/>
  <c r="C114" i="5"/>
  <c r="B6317" i="106"/>
  <c r="D6317" i="106" s="1"/>
  <c r="B1014" i="106"/>
  <c r="D1014" i="106" s="1"/>
  <c r="L33" i="29"/>
  <c r="K252" i="29"/>
  <c r="B7090" i="106" s="1"/>
  <c r="D7090" i="106" s="1"/>
  <c r="B7089" i="106"/>
  <c r="D7089" i="106" s="1"/>
  <c r="B848" i="106"/>
  <c r="D848" i="106" s="1"/>
  <c r="E53" i="29"/>
  <c r="B850" i="106" s="1"/>
  <c r="D850" i="106" s="1"/>
  <c r="B3485" i="106"/>
  <c r="D3485" i="106" s="1"/>
  <c r="K135" i="29"/>
  <c r="B2987" i="106" s="1"/>
  <c r="D2987" i="106" s="1"/>
  <c r="B4200" i="106"/>
  <c r="D4200" i="106" s="1"/>
  <c r="B7809" i="106"/>
  <c r="D7809" i="106" s="1"/>
  <c r="F166" i="34"/>
  <c r="F139" i="34"/>
  <c r="B6666" i="106"/>
  <c r="D6666" i="106" s="1"/>
  <c r="B6785" i="106"/>
  <c r="D6785" i="106" s="1"/>
  <c r="D229" i="29"/>
  <c r="B1410" i="106" s="1"/>
  <c r="D1410" i="106" s="1"/>
  <c r="K216" i="29"/>
  <c r="B7073" i="106"/>
  <c r="D7073" i="106" s="1"/>
  <c r="K309" i="29"/>
  <c r="B3717" i="106" s="1"/>
  <c r="D3717" i="106" s="1"/>
  <c r="B7112" i="106"/>
  <c r="D7112" i="106" s="1"/>
  <c r="B6663" i="106"/>
  <c r="D6663" i="106" s="1"/>
  <c r="B796" i="106"/>
  <c r="D796" i="106" s="1"/>
  <c r="D65" i="29"/>
  <c r="B803" i="106" s="1"/>
  <c r="D803" i="106" s="1"/>
  <c r="L350" i="29"/>
  <c r="L352" i="29" s="1"/>
  <c r="B1244" i="106"/>
  <c r="D1244" i="106" s="1"/>
  <c r="B7761" i="106"/>
  <c r="D7761" i="106" s="1"/>
  <c r="F158" i="34"/>
  <c r="B2791" i="106"/>
  <c r="D2791" i="106" s="1"/>
  <c r="K107" i="29"/>
  <c r="B2795" i="106" s="1"/>
  <c r="D2795" i="106" s="1"/>
  <c r="B705" i="106"/>
  <c r="D705" i="106" s="1"/>
  <c r="C33" i="29"/>
  <c r="B720" i="106" s="1"/>
  <c r="D720" i="106" s="1"/>
  <c r="K5" i="29"/>
  <c r="B1093" i="106" s="1"/>
  <c r="D1093" i="106" s="1"/>
  <c r="B726" i="106"/>
  <c r="D726" i="106" s="1"/>
  <c r="K41" i="29"/>
  <c r="B1114" i="106" s="1"/>
  <c r="D1114" i="106" s="1"/>
  <c r="B1434" i="106"/>
  <c r="D1434" i="106" s="1"/>
  <c r="K269" i="29"/>
  <c r="B1498" i="106" s="1"/>
  <c r="D1498" i="106" s="1"/>
  <c r="K71" i="29"/>
  <c r="B751" i="106"/>
  <c r="D751" i="106" s="1"/>
  <c r="B3375" i="106"/>
  <c r="D3375" i="106" s="1"/>
  <c r="F129" i="34"/>
  <c r="B5279" i="106"/>
  <c r="D5279" i="106" s="1"/>
  <c r="B5594" i="106"/>
  <c r="D5594" i="106" s="1"/>
  <c r="B893" i="106"/>
  <c r="D893" i="106" s="1"/>
  <c r="B6388" i="106"/>
  <c r="D6388" i="106" s="1"/>
  <c r="F118" i="34"/>
  <c r="B5116" i="106"/>
  <c r="D5116" i="106" s="1"/>
  <c r="B5103" i="106"/>
  <c r="D5103" i="106" s="1"/>
  <c r="F96" i="34"/>
  <c r="C93" i="5"/>
  <c r="B5112" i="106" s="1"/>
  <c r="D5112" i="106" s="1"/>
  <c r="B5925" i="106"/>
  <c r="D5925" i="106" s="1"/>
  <c r="F120" i="34"/>
  <c r="B4329" i="106"/>
  <c r="D4329" i="106" s="1"/>
  <c r="K64" i="29"/>
  <c r="B743" i="106"/>
  <c r="D743" i="106" s="1"/>
  <c r="B5619" i="106"/>
  <c r="D5619" i="106" s="1"/>
  <c r="B6913" i="106"/>
  <c r="D6913" i="106" s="1"/>
  <c r="B5855" i="106"/>
  <c r="D5855" i="106" s="1"/>
  <c r="B6980" i="106"/>
  <c r="D6980" i="106" s="1"/>
  <c r="B5609" i="106"/>
  <c r="D5609" i="106" s="1"/>
  <c r="B1012" i="106"/>
  <c r="D1012" i="106" s="1"/>
  <c r="B937" i="106"/>
  <c r="D937" i="106" s="1"/>
  <c r="G33" i="29"/>
  <c r="B6734" i="106"/>
  <c r="D6734" i="106" s="1"/>
  <c r="B7260" i="106"/>
  <c r="B5081" i="106"/>
  <c r="D5081" i="106" s="1"/>
  <c r="B7195" i="106"/>
  <c r="D7195" i="106" s="1"/>
  <c r="F147" i="34"/>
  <c r="B6753" i="106"/>
  <c r="D6753" i="106" s="1"/>
  <c r="B7026" i="106"/>
  <c r="D7026" i="106" s="1"/>
  <c r="B7816" i="106"/>
  <c r="D7816" i="106" s="1"/>
  <c r="B6691" i="106"/>
  <c r="D6691" i="106" s="1"/>
  <c r="B6969" i="106"/>
  <c r="D6969" i="106" s="1"/>
  <c r="B5346" i="106"/>
  <c r="D5346" i="106" s="1"/>
  <c r="B2092" i="106"/>
  <c r="D2092" i="106" s="1"/>
  <c r="B2947" i="106"/>
  <c r="D2947" i="106" s="1"/>
  <c r="K101" i="29"/>
  <c r="B7015" i="106" s="1"/>
  <c r="D7015" i="106" s="1"/>
  <c r="B6804" i="106"/>
  <c r="D6804" i="106" s="1"/>
  <c r="B1038" i="106"/>
  <c r="D1038" i="106" s="1"/>
  <c r="B6946" i="106"/>
  <c r="D6946" i="106" s="1"/>
  <c r="B7174" i="106"/>
  <c r="D7174" i="106" s="1"/>
  <c r="B5359" i="106"/>
  <c r="D5359" i="106" s="1"/>
  <c r="B7812" i="106"/>
  <c r="D7812" i="106" s="1"/>
  <c r="B5729" i="106"/>
  <c r="D5729" i="106" s="1"/>
  <c r="K182" i="29"/>
  <c r="B1377" i="106" s="1"/>
  <c r="D1377" i="106" s="1"/>
  <c r="C184" i="29"/>
  <c r="B1335" i="106"/>
  <c r="D1335" i="106" s="1"/>
  <c r="B6805" i="106"/>
  <c r="D6805" i="106" s="1"/>
  <c r="B5139" i="106"/>
  <c r="D5139" i="106" s="1"/>
  <c r="H84" i="29"/>
  <c r="B2955" i="106"/>
  <c r="D2955" i="106" s="1"/>
  <c r="B6356" i="106"/>
  <c r="D6356" i="106" s="1"/>
  <c r="B6824" i="106"/>
  <c r="D6824" i="106" s="1"/>
  <c r="L204" i="29"/>
  <c r="L208" i="29" s="1"/>
  <c r="B923" i="106"/>
  <c r="D923" i="106" s="1"/>
  <c r="B781" i="106"/>
  <c r="D781" i="106" s="1"/>
  <c r="B7113" i="106"/>
  <c r="D7113" i="106" s="1"/>
  <c r="B807" i="106"/>
  <c r="D807" i="106" s="1"/>
  <c r="B4793" i="106"/>
  <c r="D4793" i="106" s="1"/>
  <c r="B5853" i="106"/>
  <c r="D5853" i="106" s="1"/>
  <c r="B5818" i="106"/>
  <c r="D5818" i="106" s="1"/>
  <c r="B1312" i="106"/>
  <c r="D1312" i="106" s="1"/>
  <c r="K169" i="29"/>
  <c r="B1326" i="106" s="1"/>
  <c r="D1326" i="106" s="1"/>
  <c r="B1228" i="106"/>
  <c r="D1228" i="106" s="1"/>
  <c r="B7016" i="106"/>
  <c r="D7016" i="106" s="1"/>
  <c r="K111" i="29"/>
  <c r="B7017" i="106" s="1"/>
  <c r="D7017" i="106" s="1"/>
  <c r="B7768" i="106"/>
  <c r="D7768" i="106" s="1"/>
  <c r="B6699" i="106"/>
  <c r="D6699" i="106" s="1"/>
  <c r="B6362" i="106"/>
  <c r="D6362" i="106" s="1"/>
  <c r="B938" i="106"/>
  <c r="D938" i="106" s="1"/>
  <c r="B6797" i="106"/>
  <c r="D6797" i="106" s="1"/>
  <c r="B5519" i="106"/>
  <c r="D5519" i="106" s="1"/>
  <c r="E67" i="5"/>
  <c r="B5521" i="106" s="1"/>
  <c r="D5521" i="106" s="1"/>
  <c r="B3000" i="106"/>
  <c r="D3000" i="106" s="1"/>
  <c r="B2827" i="106"/>
  <c r="D2827" i="106" s="1"/>
  <c r="B7256" i="106"/>
  <c r="D7256" i="106" s="1"/>
  <c r="K79" i="29"/>
  <c r="B2974" i="106" s="1"/>
  <c r="D2974" i="106" s="1"/>
  <c r="B2950" i="106"/>
  <c r="D2950" i="106" s="1"/>
  <c r="B7192" i="106"/>
  <c r="D7192" i="106" s="1"/>
  <c r="B1549" i="106"/>
  <c r="D1549" i="106" s="1"/>
  <c r="H303" i="29"/>
  <c r="B1553" i="106" s="1"/>
  <c r="D1553" i="106" s="1"/>
  <c r="B2995" i="106"/>
  <c r="D2995" i="106" s="1"/>
  <c r="H194" i="29"/>
  <c r="B5823" i="106"/>
  <c r="D5823" i="106" s="1"/>
  <c r="B7187" i="106"/>
  <c r="D7187" i="106" s="1"/>
  <c r="C82" i="5"/>
  <c r="B5097" i="106"/>
  <c r="D5097" i="106" s="1"/>
  <c r="B2800" i="106"/>
  <c r="D2800" i="106" s="1"/>
  <c r="B4391" i="106"/>
  <c r="D4391" i="106" s="1"/>
  <c r="B6742" i="106"/>
  <c r="D6742" i="106" s="1"/>
  <c r="B922" i="106"/>
  <c r="D922" i="106" s="1"/>
  <c r="B974" i="106"/>
  <c r="D974" i="106" s="1"/>
  <c r="B7062" i="106"/>
  <c r="D7062" i="106" s="1"/>
  <c r="B6779" i="106"/>
  <c r="D6779" i="106" s="1"/>
  <c r="B6394" i="106"/>
  <c r="D6394" i="106" s="1"/>
  <c r="B6308" i="106"/>
  <c r="D6308" i="106" s="1"/>
  <c r="K332" i="29"/>
  <c r="H334" i="29"/>
  <c r="B7789" i="106" s="1"/>
  <c r="D7789" i="106" s="1"/>
  <c r="B7785" i="106"/>
  <c r="D7785" i="106" s="1"/>
  <c r="B6767" i="106"/>
  <c r="D6767" i="106" s="1"/>
  <c r="B6408" i="106"/>
  <c r="D6408" i="106" s="1"/>
  <c r="B7693" i="106"/>
  <c r="D7693" i="106" s="1"/>
  <c r="B5990" i="106"/>
  <c r="D5990" i="106" s="1"/>
  <c r="B6326" i="106"/>
  <c r="D6326" i="106" s="1"/>
  <c r="B7160" i="106"/>
  <c r="D7160" i="106" s="1"/>
  <c r="B2981" i="106"/>
  <c r="D2981" i="106" s="1"/>
  <c r="B7165" i="106"/>
  <c r="D7165" i="106" s="1"/>
  <c r="B14" i="7"/>
  <c r="B5063" i="106"/>
  <c r="D5063" i="106" s="1"/>
  <c r="J65" i="29"/>
  <c r="B6962" i="106" s="1"/>
  <c r="D6962" i="106" s="1"/>
  <c r="B6951" i="106"/>
  <c r="D6951" i="106" s="1"/>
  <c r="B774" i="106"/>
  <c r="D774" i="106" s="1"/>
  <c r="D261" i="29"/>
  <c r="B1427" i="106" s="1"/>
  <c r="D1427" i="106" s="1"/>
  <c r="B1426" i="106"/>
  <c r="D1426" i="106" s="1"/>
  <c r="K260" i="29"/>
  <c r="B4771" i="106"/>
  <c r="D4771" i="106" s="1"/>
  <c r="B7166" i="106"/>
  <c r="D7166" i="106" s="1"/>
  <c r="B5664" i="106"/>
  <c r="D5664" i="106" s="1"/>
  <c r="F204" i="5"/>
  <c r="B5677" i="106" s="1"/>
  <c r="D5677" i="106" s="1"/>
  <c r="B7238" i="106"/>
  <c r="D7238" i="106" s="1"/>
  <c r="K361" i="29"/>
  <c r="B7239" i="106" s="1"/>
  <c r="D7239" i="106" s="1"/>
  <c r="B6402" i="106"/>
  <c r="D6402" i="106" s="1"/>
  <c r="G198" i="5"/>
  <c r="B6409" i="106" s="1"/>
  <c r="D6409" i="106" s="1"/>
  <c r="B1232" i="106"/>
  <c r="D1232" i="106" s="1"/>
  <c r="B5354" i="106"/>
  <c r="D5354" i="106" s="1"/>
  <c r="B2979" i="106"/>
  <c r="D2979" i="106" s="1"/>
  <c r="B2958" i="106"/>
  <c r="D2958" i="106" s="1"/>
  <c r="B10" i="7"/>
  <c r="I12" i="5"/>
  <c r="B5916" i="106"/>
  <c r="D5916" i="106" s="1"/>
  <c r="B5070" i="106"/>
  <c r="D5070" i="106" s="1"/>
  <c r="B1316" i="106"/>
  <c r="D1316" i="106" s="1"/>
  <c r="B6405" i="106"/>
  <c r="D6405" i="106" s="1"/>
  <c r="J169" i="5"/>
  <c r="B6396" i="106" s="1"/>
  <c r="D6396" i="106" s="1"/>
  <c r="B6373" i="106"/>
  <c r="D6373" i="106" s="1"/>
  <c r="B962" i="106"/>
  <c r="D962" i="106" s="1"/>
  <c r="B7137" i="106"/>
  <c r="D7137" i="106" s="1"/>
  <c r="B7247" i="106"/>
  <c r="D7247" i="106" s="1"/>
  <c r="B1447" i="106"/>
  <c r="D1447" i="106" s="1"/>
  <c r="K280" i="29"/>
  <c r="B5088" i="106"/>
  <c r="D5088" i="106" s="1"/>
  <c r="C67" i="5"/>
  <c r="B5090" i="106" s="1"/>
  <c r="D5090" i="106" s="1"/>
  <c r="D69" i="36"/>
  <c r="K170" i="29"/>
  <c r="B1315" i="106"/>
  <c r="D1315" i="106" s="1"/>
  <c r="H67" i="5"/>
  <c r="B5881" i="106" s="1"/>
  <c r="D5881" i="106" s="1"/>
  <c r="B5879" i="106"/>
  <c r="D5879" i="106" s="1"/>
  <c r="B6808" i="106"/>
  <c r="D6808" i="106" s="1"/>
  <c r="B6731" i="106"/>
  <c r="D6731" i="106" s="1"/>
  <c r="B6771" i="106"/>
  <c r="D6771" i="106" s="1"/>
  <c r="H65" i="29"/>
  <c r="B1035" i="106" s="1"/>
  <c r="D1035" i="106" s="1"/>
  <c r="B1028" i="106"/>
  <c r="D1028" i="106" s="1"/>
  <c r="B5710" i="106"/>
  <c r="D5710" i="106" s="1"/>
  <c r="B6979" i="106"/>
  <c r="D6979" i="106" s="1"/>
  <c r="L168" i="29"/>
  <c r="L172" i="29" s="1"/>
  <c r="B6956" i="106"/>
  <c r="D6956" i="106" s="1"/>
  <c r="L310" i="29"/>
  <c r="L312" i="29" s="1"/>
  <c r="B971" i="106"/>
  <c r="D971" i="106" s="1"/>
  <c r="B1039" i="106"/>
  <c r="D1039" i="106" s="1"/>
  <c r="B1253" i="106"/>
  <c r="D1253" i="106" s="1"/>
  <c r="B4409" i="106"/>
  <c r="D4409" i="106" s="1"/>
  <c r="B6665" i="106"/>
  <c r="D6665" i="106" s="1"/>
  <c r="B4421" i="106"/>
  <c r="D4421" i="106" s="1"/>
  <c r="B7801" i="106"/>
  <c r="D7801" i="106" s="1"/>
  <c r="B5574" i="106"/>
  <c r="D5574" i="106" s="1"/>
  <c r="F24" i="34"/>
  <c r="B5732" i="106"/>
  <c r="D5732" i="106" s="1"/>
  <c r="G67" i="5"/>
  <c r="B5733" i="106" s="1"/>
  <c r="D5733" i="106" s="1"/>
  <c r="B6817" i="106"/>
  <c r="D6817" i="106" s="1"/>
  <c r="F155" i="34"/>
  <c r="B7083" i="106"/>
  <c r="D7083" i="106" s="1"/>
  <c r="K249" i="29"/>
  <c r="B7084" i="106" s="1"/>
  <c r="D7084" i="106" s="1"/>
  <c r="B1245" i="106"/>
  <c r="D1245" i="106" s="1"/>
  <c r="B2998" i="106"/>
  <c r="D2998" i="106" s="1"/>
  <c r="B6333" i="106"/>
  <c r="D6333" i="106" s="1"/>
  <c r="B7045" i="106"/>
  <c r="D7045" i="106" s="1"/>
  <c r="B4376" i="106"/>
  <c r="D4376" i="106" s="1"/>
  <c r="L194" i="29"/>
  <c r="L196" i="29" s="1"/>
  <c r="B3646" i="106"/>
  <c r="D3646" i="106" s="1"/>
  <c r="B1261" i="106"/>
  <c r="D1261" i="106" s="1"/>
  <c r="B6646" i="106"/>
  <c r="D6646" i="106" s="1"/>
  <c r="B5921" i="106"/>
  <c r="D5921" i="106" s="1"/>
  <c r="B5104" i="106"/>
  <c r="D5104" i="106" s="1"/>
  <c r="B4368" i="106"/>
  <c r="D4368" i="106" s="1"/>
  <c r="K175" i="5"/>
  <c r="B5105" i="106"/>
  <c r="D5105" i="106" s="1"/>
  <c r="E175" i="5"/>
  <c r="B4372" i="106" s="1"/>
  <c r="D4372" i="106" s="1"/>
  <c r="B4364" i="106"/>
  <c r="D4364" i="106" s="1"/>
  <c r="B4192" i="106"/>
  <c r="D4192" i="106" s="1"/>
  <c r="B6679" i="106"/>
  <c r="D6679" i="106" s="1"/>
  <c r="B5111" i="106"/>
  <c r="D5111" i="106" s="1"/>
  <c r="F100" i="34"/>
  <c r="B7805" i="106"/>
  <c r="D7805" i="106" s="1"/>
  <c r="B5991" i="106"/>
  <c r="D5991" i="106" s="1"/>
  <c r="F109" i="34"/>
  <c r="B4351" i="106"/>
  <c r="D4351" i="106" s="1"/>
  <c r="B6765" i="106"/>
  <c r="D6765" i="106" s="1"/>
  <c r="B6806" i="106"/>
  <c r="D6806" i="106" s="1"/>
  <c r="B6896" i="106"/>
  <c r="D6896" i="106" s="1"/>
  <c r="K30" i="29"/>
  <c r="G108" i="5"/>
  <c r="B5737" i="106" s="1"/>
  <c r="D5737" i="106" s="1"/>
  <c r="B5734" i="106"/>
  <c r="D5734" i="106" s="1"/>
  <c r="B7043" i="106"/>
  <c r="D7043" i="106" s="1"/>
  <c r="F99" i="34"/>
  <c r="B5110" i="106"/>
  <c r="D5110" i="106" s="1"/>
  <c r="B7639" i="106"/>
  <c r="B6801" i="106"/>
  <c r="D6801" i="106" s="1"/>
  <c r="F153" i="34"/>
  <c r="B6859" i="106"/>
  <c r="D6859" i="106" s="1"/>
  <c r="B7704" i="106"/>
  <c r="D7704" i="106" s="1"/>
  <c r="B6789" i="106"/>
  <c r="D6789" i="106" s="1"/>
  <c r="B6775" i="106"/>
  <c r="D6775" i="106" s="1"/>
  <c r="B4874" i="106"/>
  <c r="D4874" i="106" s="1"/>
  <c r="B1552" i="106"/>
  <c r="D1552" i="106" s="1"/>
  <c r="B4227" i="106"/>
  <c r="D4227" i="106" s="1"/>
  <c r="B2999" i="106"/>
  <c r="D2999" i="106" s="1"/>
  <c r="B5860" i="106"/>
  <c r="D5860" i="106" s="1"/>
  <c r="B7036" i="106"/>
  <c r="D7036" i="106" s="1"/>
  <c r="H47" i="29"/>
  <c r="B1021" i="106" s="1"/>
  <c r="D1021" i="106" s="1"/>
  <c r="B1018" i="106"/>
  <c r="D1018" i="106" s="1"/>
  <c r="B6820" i="106"/>
  <c r="D6820" i="106" s="1"/>
  <c r="B6756" i="106"/>
  <c r="D6756" i="106" s="1"/>
  <c r="B6700" i="106"/>
  <c r="D6700" i="106" s="1"/>
  <c r="B5996" i="106"/>
  <c r="D5996" i="106" s="1"/>
  <c r="K108" i="5"/>
  <c r="B5999" i="106" s="1"/>
  <c r="D5999" i="106" s="1"/>
  <c r="B5126" i="106"/>
  <c r="D5126" i="106" s="1"/>
  <c r="C122" i="5"/>
  <c r="B5132" i="106" s="1"/>
  <c r="D5132" i="106" s="1"/>
  <c r="F181" i="5"/>
  <c r="B5658" i="106" s="1"/>
  <c r="D5658" i="106" s="1"/>
  <c r="B4804" i="106"/>
  <c r="D4804" i="106" s="1"/>
  <c r="B7140" i="106"/>
  <c r="D7140" i="106" s="1"/>
  <c r="B6989" i="106"/>
  <c r="D6989" i="106" s="1"/>
  <c r="K89" i="29"/>
  <c r="B6990" i="106" s="1"/>
  <c r="D6990" i="106" s="1"/>
  <c r="B833" i="106"/>
  <c r="D833" i="106" s="1"/>
  <c r="B7636" i="106"/>
  <c r="B852" i="106"/>
  <c r="D852" i="106" s="1"/>
  <c r="I169" i="5"/>
  <c r="B6372" i="106"/>
  <c r="D6372" i="106" s="1"/>
  <c r="B4201" i="106"/>
  <c r="D4201" i="106" s="1"/>
  <c r="K136" i="29"/>
  <c r="B2988" i="106" s="1"/>
  <c r="D2988" i="106" s="1"/>
  <c r="B7689" i="106"/>
  <c r="D7689" i="106" s="1"/>
  <c r="B5593" i="106"/>
  <c r="D5593" i="106" s="1"/>
  <c r="F122" i="5"/>
  <c r="K50" i="29"/>
  <c r="B733" i="106"/>
  <c r="D733" i="106" s="1"/>
  <c r="B6964" i="106"/>
  <c r="D6964" i="106" s="1"/>
  <c r="J72" i="29"/>
  <c r="B6974" i="106" s="1"/>
  <c r="D6974" i="106" s="1"/>
  <c r="B783" i="106"/>
  <c r="D783" i="106" s="1"/>
  <c r="B2844" i="106"/>
  <c r="D2844" i="106" s="1"/>
  <c r="K291" i="29"/>
  <c r="B2846" i="106" s="1"/>
  <c r="D2846" i="106" s="1"/>
  <c r="B5075" i="106"/>
  <c r="D5075" i="106" s="1"/>
  <c r="B4327" i="106"/>
  <c r="D4327" i="106" s="1"/>
  <c r="B5601" i="106"/>
  <c r="D5601" i="106" s="1"/>
  <c r="B7691" i="106"/>
  <c r="D7691" i="106" s="1"/>
  <c r="B6320" i="106"/>
  <c r="D6320" i="106" s="1"/>
  <c r="B6377" i="106"/>
  <c r="D6377" i="106" s="1"/>
  <c r="B6677" i="106"/>
  <c r="D6677" i="106" s="1"/>
  <c r="B5567" i="106"/>
  <c r="D5567" i="106" s="1"/>
  <c r="F19" i="34"/>
  <c r="B7806" i="106"/>
  <c r="D7806" i="106" s="1"/>
  <c r="B3648" i="106"/>
  <c r="D3648" i="106" s="1"/>
  <c r="B5362" i="106"/>
  <c r="D5362" i="106" s="1"/>
  <c r="K288" i="29"/>
  <c r="B1512" i="106" s="1"/>
  <c r="D1512" i="106" s="1"/>
  <c r="H293" i="29"/>
  <c r="B1452" i="106" s="1"/>
  <c r="D1452" i="106" s="1"/>
  <c r="B1449" i="106"/>
  <c r="D1449" i="106" s="1"/>
  <c r="K206" i="29"/>
  <c r="B4210" i="106"/>
  <c r="D4210" i="106" s="1"/>
  <c r="K185" i="29"/>
  <c r="B2820" i="106"/>
  <c r="D2820" i="106" s="1"/>
  <c r="K148" i="29"/>
  <c r="B7050" i="106" s="1"/>
  <c r="D7050" i="106" s="1"/>
  <c r="B7049" i="106"/>
  <c r="D7049" i="106" s="1"/>
  <c r="B5057" i="106"/>
  <c r="D5057" i="106" s="1"/>
  <c r="L340" i="29"/>
  <c r="B6798" i="106"/>
  <c r="D6798" i="106" s="1"/>
  <c r="B4316" i="106"/>
  <c r="D4316" i="106" s="1"/>
  <c r="B6818" i="106"/>
  <c r="D6818" i="106" s="1"/>
  <c r="B4878" i="106"/>
  <c r="D4878" i="106" s="1"/>
  <c r="B6819" i="106"/>
  <c r="D6819" i="106" s="1"/>
  <c r="B7157" i="106"/>
  <c r="D7157" i="106" s="1"/>
  <c r="B7240" i="106"/>
  <c r="D7240" i="106" s="1"/>
  <c r="K363" i="29"/>
  <c r="B7241" i="106" s="1"/>
  <c r="D7241" i="106" s="1"/>
  <c r="F72" i="29"/>
  <c r="B927" i="106" s="1"/>
  <c r="D927" i="106" s="1"/>
  <c r="B920" i="106"/>
  <c r="D920" i="106" s="1"/>
  <c r="B2801" i="106"/>
  <c r="D2801" i="106" s="1"/>
  <c r="B6681" i="106"/>
  <c r="D6681" i="106" s="1"/>
  <c r="C217" i="5"/>
  <c r="B5286" i="106" s="1"/>
  <c r="D5286" i="106" s="1"/>
  <c r="B5274" i="106"/>
  <c r="D5274" i="106" s="1"/>
  <c r="B6305" i="106"/>
  <c r="D6305" i="106" s="1"/>
  <c r="B1546" i="106"/>
  <c r="D1546" i="106" s="1"/>
  <c r="B5790" i="106"/>
  <c r="D5790" i="106" s="1"/>
  <c r="G204" i="5"/>
  <c r="B5803" i="106" s="1"/>
  <c r="D5803" i="106" s="1"/>
  <c r="K49" i="29"/>
  <c r="B732" i="106"/>
  <c r="D732" i="106" s="1"/>
  <c r="C53" i="29"/>
  <c r="B734" i="106" s="1"/>
  <c r="D734" i="106" s="1"/>
  <c r="F116" i="34"/>
  <c r="B5060" i="106"/>
  <c r="D5060" i="106" s="1"/>
  <c r="B5523" i="106"/>
  <c r="D5523" i="106" s="1"/>
  <c r="B7143" i="106"/>
  <c r="D7143" i="106" s="1"/>
  <c r="B5137" i="106"/>
  <c r="D5137" i="106" s="1"/>
  <c r="B5078" i="106"/>
  <c r="D5078" i="106" s="1"/>
  <c r="B7803" i="106"/>
  <c r="D7803" i="106" s="1"/>
  <c r="B4918" i="106"/>
  <c r="D4918" i="106" s="1"/>
  <c r="J252" i="5"/>
  <c r="B6620" i="106"/>
  <c r="D6620" i="106" s="1"/>
  <c r="B6851" i="106"/>
  <c r="D6851" i="106" s="1"/>
  <c r="B7132" i="106"/>
  <c r="D7132" i="106" s="1"/>
  <c r="B6953" i="106"/>
  <c r="D6953" i="106" s="1"/>
  <c r="L110" i="29"/>
  <c r="L112" i="29" s="1"/>
  <c r="B6778" i="106"/>
  <c r="D6778" i="106" s="1"/>
  <c r="B6746" i="106"/>
  <c r="D6746" i="106" s="1"/>
  <c r="L362" i="29"/>
  <c r="L365" i="29" s="1"/>
  <c r="B6354" i="106"/>
  <c r="D6354" i="106" s="1"/>
  <c r="B7004" i="106"/>
  <c r="D7004" i="106" s="1"/>
  <c r="K97" i="29"/>
  <c r="B7005" i="106" s="1"/>
  <c r="D7005" i="106" s="1"/>
  <c r="B4799" i="106"/>
  <c r="D4799" i="106" s="1"/>
  <c r="B5524" i="106"/>
  <c r="D5524" i="106" s="1"/>
  <c r="B4335" i="106"/>
  <c r="D4335" i="106" s="1"/>
  <c r="B900" i="106"/>
  <c r="D900" i="106" s="1"/>
  <c r="D277" i="29"/>
  <c r="B1444" i="106" s="1"/>
  <c r="D1444" i="106" s="1"/>
  <c r="B1437" i="106"/>
  <c r="D1437" i="106" s="1"/>
  <c r="K272" i="29"/>
  <c r="B5351" i="106"/>
  <c r="D5351" i="106" s="1"/>
  <c r="B6704" i="106"/>
  <c r="D6704" i="106" s="1"/>
  <c r="B6307" i="106"/>
  <c r="D6307" i="106" s="1"/>
  <c r="B5525" i="106"/>
  <c r="D5525" i="106" s="1"/>
  <c r="D209" i="5"/>
  <c r="B4412" i="106" s="1"/>
  <c r="D4412" i="106" s="1"/>
  <c r="B5440" i="106"/>
  <c r="D5440" i="106" s="1"/>
  <c r="B6336" i="106"/>
  <c r="D6336" i="106" s="1"/>
  <c r="B4375" i="106"/>
  <c r="D4375" i="106" s="1"/>
  <c r="B1347" i="106"/>
  <c r="D1347" i="106" s="1"/>
  <c r="E184" i="29"/>
  <c r="B1351" i="106" s="1"/>
  <c r="D1351" i="106" s="1"/>
  <c r="K6" i="29"/>
  <c r="B7763" i="106" s="1"/>
  <c r="D7763" i="106" s="1"/>
  <c r="B7762" i="106"/>
  <c r="D7762" i="106" s="1"/>
  <c r="B5922" i="106"/>
  <c r="D5922" i="106" s="1"/>
  <c r="K32" i="29"/>
  <c r="B6900" i="106"/>
  <c r="D6900" i="106" s="1"/>
  <c r="B4797" i="106"/>
  <c r="D4797" i="106" s="1"/>
  <c r="B6802" i="106"/>
  <c r="D6802" i="106" s="1"/>
  <c r="B5059" i="106"/>
  <c r="D5059" i="106" s="1"/>
  <c r="B6846" i="106"/>
  <c r="D6846" i="106" s="1"/>
  <c r="D12" i="171"/>
  <c r="B5123" i="106"/>
  <c r="D5123" i="106" s="1"/>
  <c r="B5082" i="106"/>
  <c r="D5082" i="106" s="1"/>
  <c r="B7127" i="106"/>
  <c r="D7127" i="106" s="1"/>
  <c r="K320" i="29"/>
  <c r="B7135" i="106" s="1"/>
  <c r="D7135" i="106" s="1"/>
  <c r="B4916" i="106"/>
  <c r="D4916" i="106" s="1"/>
  <c r="B6970" i="106"/>
  <c r="D6970" i="106" s="1"/>
  <c r="B6857" i="106"/>
  <c r="D6857" i="106" s="1"/>
  <c r="B4345" i="106"/>
  <c r="D4345" i="106" s="1"/>
  <c r="B5590" i="106"/>
  <c r="D5590" i="106" s="1"/>
  <c r="F121" i="34"/>
  <c r="B4792" i="106"/>
  <c r="D4792" i="106" s="1"/>
  <c r="B7159" i="106"/>
  <c r="D7159" i="106" s="1"/>
  <c r="B4312" i="106"/>
  <c r="D4312" i="106" s="1"/>
  <c r="B5740" i="106"/>
  <c r="D5740" i="106" s="1"/>
  <c r="B5177" i="106"/>
  <c r="D5177" i="106" s="1"/>
  <c r="B6703" i="106"/>
  <c r="D6703" i="106" s="1"/>
  <c r="B5312" i="106"/>
  <c r="D5312" i="106" s="1"/>
  <c r="F160" i="34"/>
  <c r="B3486" i="106"/>
  <c r="D3486" i="106" s="1"/>
  <c r="B7810" i="106"/>
  <c r="D7810" i="106" s="1"/>
  <c r="B1029" i="106"/>
  <c r="D1029" i="106" s="1"/>
  <c r="B4190" i="106"/>
  <c r="D4190" i="106" s="1"/>
  <c r="B6855" i="106"/>
  <c r="D6855" i="106" s="1"/>
  <c r="B4179" i="106"/>
  <c r="D4179" i="106" s="1"/>
  <c r="B721" i="106"/>
  <c r="D721" i="106" s="1"/>
  <c r="K36" i="29"/>
  <c r="C42" i="29"/>
  <c r="K126" i="29"/>
  <c r="B1277" i="106" s="1"/>
  <c r="D1277" i="106" s="1"/>
  <c r="B1254" i="106"/>
  <c r="D1254" i="106" s="1"/>
  <c r="B5880" i="106"/>
  <c r="D5880" i="106" s="1"/>
  <c r="B6367" i="106"/>
  <c r="D6367" i="106" s="1"/>
  <c r="B851" i="106"/>
  <c r="D851" i="106" s="1"/>
  <c r="E57" i="29"/>
  <c r="B853" i="106" s="1"/>
  <c r="D853" i="106" s="1"/>
  <c r="B5338" i="106"/>
  <c r="D5338" i="106" s="1"/>
  <c r="B1048" i="106"/>
  <c r="D1048" i="106" s="1"/>
  <c r="H110" i="29"/>
  <c r="H112" i="29" s="1"/>
  <c r="B7018" i="106" s="1"/>
  <c r="D7018" i="106" s="1"/>
  <c r="K105" i="29"/>
  <c r="B1146" i="106" s="1"/>
  <c r="D1146" i="106" s="1"/>
  <c r="C221" i="5"/>
  <c r="B5301" i="106"/>
  <c r="D5301" i="106" s="1"/>
  <c r="B5243" i="106"/>
  <c r="D5243" i="106" s="1"/>
  <c r="B5080" i="106"/>
  <c r="D5080" i="106" s="1"/>
  <c r="B5073" i="106"/>
  <c r="D5073" i="106" s="1"/>
  <c r="B4811" i="106"/>
  <c r="D4811" i="106" s="1"/>
  <c r="B5798" i="106"/>
  <c r="D5798" i="106" s="1"/>
  <c r="B7687" i="106"/>
  <c r="D7687" i="106" s="1"/>
  <c r="K18" i="29"/>
  <c r="B1100" i="106" s="1"/>
  <c r="D1100" i="106" s="1"/>
  <c r="B712" i="106"/>
  <c r="D712" i="106" s="1"/>
  <c r="B6737" i="106"/>
  <c r="D6737" i="106" s="1"/>
  <c r="F146" i="34"/>
  <c r="B4392" i="106"/>
  <c r="D4392" i="106" s="1"/>
  <c r="K88" i="29"/>
  <c r="B6988" i="106" s="1"/>
  <c r="D6988" i="106" s="1"/>
  <c r="B6987" i="106"/>
  <c r="D6987" i="106" s="1"/>
  <c r="B749" i="106"/>
  <c r="D749" i="106" s="1"/>
  <c r="K70" i="29"/>
  <c r="B6967" i="106"/>
  <c r="D6967" i="106" s="1"/>
  <c r="B6392" i="106"/>
  <c r="D6392" i="106" s="1"/>
  <c r="B7100" i="106"/>
  <c r="D7100" i="106" s="1"/>
  <c r="J303" i="29"/>
  <c r="B7104" i="106" s="1"/>
  <c r="D7104" i="106" s="1"/>
  <c r="B6371" i="106"/>
  <c r="D6371" i="106" s="1"/>
  <c r="H169" i="5"/>
  <c r="B5899" i="106" s="1"/>
  <c r="D5899" i="106" s="1"/>
  <c r="B1528" i="106"/>
  <c r="D1528" i="106" s="1"/>
  <c r="K199" i="29"/>
  <c r="B1383" i="106" s="1"/>
  <c r="D1383" i="106" s="1"/>
  <c r="H204" i="29"/>
  <c r="B1371" i="106"/>
  <c r="D1371" i="106" s="1"/>
  <c r="B1007" i="106"/>
  <c r="D1007" i="106" s="1"/>
  <c r="B4310" i="106"/>
  <c r="D4310" i="106" s="1"/>
  <c r="B6696" i="106"/>
  <c r="D6696" i="106" s="1"/>
  <c r="B4795" i="106"/>
  <c r="D4795" i="106" s="1"/>
  <c r="K67" i="5"/>
  <c r="B5995" i="106" s="1"/>
  <c r="D5995" i="106" s="1"/>
  <c r="B5993" i="106"/>
  <c r="D5993" i="106" s="1"/>
  <c r="B5672" i="106"/>
  <c r="D5672" i="106" s="1"/>
  <c r="B6710" i="106"/>
  <c r="D6710" i="106" s="1"/>
  <c r="D18" i="5"/>
  <c r="B5339" i="106" s="1"/>
  <c r="D5339" i="106" s="1"/>
  <c r="B5335" i="106"/>
  <c r="D5335" i="106" s="1"/>
  <c r="B6654" i="106"/>
  <c r="D6654" i="106" s="1"/>
  <c r="B5426" i="106"/>
  <c r="D5426" i="106" s="1"/>
  <c r="D188" i="5"/>
  <c r="B5584" i="106"/>
  <c r="D5584" i="106" s="1"/>
  <c r="B1522" i="106"/>
  <c r="D1522" i="106" s="1"/>
  <c r="K302" i="29"/>
  <c r="B1558" i="106" s="1"/>
  <c r="D1558" i="106" s="1"/>
  <c r="B7694" i="106"/>
  <c r="D7694" i="106" s="1"/>
  <c r="B6643" i="106"/>
  <c r="D6643" i="106" s="1"/>
  <c r="B4446" i="106"/>
  <c r="D4446" i="106" s="1"/>
  <c r="B4416" i="106"/>
  <c r="D4416" i="106" s="1"/>
  <c r="L229" i="29"/>
  <c r="B6960" i="106"/>
  <c r="D6960" i="106" s="1"/>
  <c r="B7141" i="106"/>
  <c r="D7141" i="106" s="1"/>
  <c r="I330" i="29"/>
  <c r="B7124" i="106"/>
  <c r="D7124" i="106" s="1"/>
  <c r="B7191" i="106"/>
  <c r="D7191" i="106" s="1"/>
  <c r="B7258" i="106"/>
  <c r="D7258" i="106" s="1"/>
  <c r="B1019" i="106"/>
  <c r="D1019" i="106" s="1"/>
  <c r="B6668" i="106"/>
  <c r="D6668" i="106" s="1"/>
  <c r="B5353" i="106"/>
  <c r="D5353" i="106" s="1"/>
  <c r="B2719" i="106"/>
  <c r="D2719" i="106" s="1"/>
  <c r="B846" i="106"/>
  <c r="D846" i="106" s="1"/>
  <c r="B5919" i="106"/>
  <c r="D5919" i="106" s="1"/>
  <c r="I18" i="5"/>
  <c r="B5923" i="106" s="1"/>
  <c r="D5923" i="106" s="1"/>
  <c r="B13" i="7"/>
  <c r="B5026" i="106"/>
  <c r="D5026" i="106" s="1"/>
  <c r="B7152" i="106"/>
  <c r="D7152" i="106" s="1"/>
  <c r="F128" i="34"/>
  <c r="B5278" i="106"/>
  <c r="D5278" i="106" s="1"/>
  <c r="B6968" i="106"/>
  <c r="D6968" i="106" s="1"/>
  <c r="D57" i="29"/>
  <c r="B795" i="106" s="1"/>
  <c r="D795" i="106" s="1"/>
  <c r="B793" i="106"/>
  <c r="D793" i="106" s="1"/>
  <c r="B6375" i="106"/>
  <c r="D6375" i="106" s="1"/>
  <c r="B5164" i="106"/>
  <c r="D5164" i="106" s="1"/>
  <c r="B5336" i="106"/>
  <c r="D5336" i="106" s="1"/>
  <c r="B5464" i="106"/>
  <c r="D5464" i="106" s="1"/>
  <c r="B6325" i="106"/>
  <c r="D6325" i="106" s="1"/>
  <c r="B7700" i="106"/>
  <c r="D7700" i="106" s="1"/>
  <c r="B2957" i="106"/>
  <c r="D2957" i="106" s="1"/>
  <c r="K16" i="29"/>
  <c r="B1094" i="106" s="1"/>
  <c r="D1094" i="106" s="1"/>
  <c r="B706" i="106"/>
  <c r="D706" i="106" s="1"/>
  <c r="B1450" i="106"/>
  <c r="D1450" i="106" s="1"/>
  <c r="K289" i="29"/>
  <c r="B1513" i="106" s="1"/>
  <c r="D1513" i="106" s="1"/>
  <c r="B6713" i="106"/>
  <c r="D6713" i="106" s="1"/>
  <c r="B6655" i="106"/>
  <c r="D6655" i="106" s="1"/>
  <c r="I47" i="29"/>
  <c r="B6924" i="106" s="1"/>
  <c r="D6924" i="106" s="1"/>
  <c r="B6918" i="106"/>
  <c r="D6918" i="106" s="1"/>
  <c r="B5358" i="106"/>
  <c r="D5358" i="106" s="1"/>
  <c r="B4805" i="106"/>
  <c r="D4805" i="106" s="1"/>
  <c r="L53" i="29"/>
  <c r="B973" i="106"/>
  <c r="D973" i="106" s="1"/>
  <c r="B5929" i="106"/>
  <c r="D5929" i="106" s="1"/>
  <c r="B6861" i="106"/>
  <c r="D6861" i="106" s="1"/>
  <c r="B2792" i="106"/>
  <c r="D2792" i="106" s="1"/>
  <c r="K108" i="29"/>
  <c r="B2796" i="106" s="1"/>
  <c r="D2796" i="106" s="1"/>
  <c r="B4879" i="106"/>
  <c r="D4879" i="106" s="1"/>
  <c r="K60" i="29"/>
  <c r="B739" i="106"/>
  <c r="D739" i="106" s="1"/>
  <c r="B4864" i="106"/>
  <c r="D4864" i="106" s="1"/>
  <c r="B6867" i="106"/>
  <c r="D6867" i="106" s="1"/>
  <c r="B6717" i="106"/>
  <c r="D6717" i="106" s="1"/>
  <c r="B6730" i="106"/>
  <c r="D6730" i="106" s="1"/>
  <c r="K284" i="29"/>
  <c r="B4166" i="106" s="1"/>
  <c r="D4166" i="106" s="1"/>
  <c r="B4165" i="106"/>
  <c r="D4165" i="106" s="1"/>
  <c r="B6680" i="106"/>
  <c r="D6680" i="106" s="1"/>
  <c r="B3639" i="106"/>
  <c r="D3639" i="106" s="1"/>
  <c r="B6632" i="106"/>
  <c r="D6632" i="106" s="1"/>
  <c r="B7268" i="106"/>
  <c r="B7264" i="106"/>
  <c r="B834" i="106"/>
  <c r="D834" i="106" s="1"/>
  <c r="I53" i="29"/>
  <c r="B6942" i="106" s="1"/>
  <c r="D6942" i="106" s="1"/>
  <c r="B6926" i="106"/>
  <c r="D6926" i="106" s="1"/>
  <c r="B6645" i="106"/>
  <c r="D6645" i="106" s="1"/>
  <c r="B6393" i="106"/>
  <c r="D6393" i="106" s="1"/>
  <c r="F27" i="34"/>
  <c r="B5578" i="106"/>
  <c r="D5578" i="106" s="1"/>
  <c r="B6906" i="106"/>
  <c r="D6906" i="106" s="1"/>
  <c r="B4855" i="106"/>
  <c r="D4855" i="106" s="1"/>
  <c r="B6738" i="106"/>
  <c r="D6738" i="106" s="1"/>
  <c r="B1030" i="106"/>
  <c r="D1030" i="106" s="1"/>
  <c r="B6686" i="106"/>
  <c r="D6686" i="106" s="1"/>
  <c r="B5432" i="106"/>
  <c r="D5432" i="106" s="1"/>
  <c r="B5331" i="106"/>
  <c r="D5331" i="106" s="1"/>
  <c r="B6862" i="106"/>
  <c r="D6862" i="106" s="1"/>
  <c r="B6757" i="106"/>
  <c r="D6757" i="106" s="1"/>
  <c r="B5241" i="106"/>
  <c r="D5241" i="106" s="1"/>
  <c r="B1008" i="106"/>
  <c r="D1008" i="106" s="1"/>
  <c r="B764" i="106"/>
  <c r="D764" i="106" s="1"/>
  <c r="B858" i="106"/>
  <c r="D858" i="106" s="1"/>
  <c r="B7769" i="106"/>
  <c r="D7769" i="106" s="1"/>
  <c r="B4887" i="106"/>
  <c r="D4887" i="106" s="1"/>
  <c r="B1032" i="106"/>
  <c r="D1032" i="106" s="1"/>
  <c r="B724" i="106"/>
  <c r="D724" i="106" s="1"/>
  <c r="K39" i="29"/>
  <c r="B1112" i="106" s="1"/>
  <c r="D1112" i="106" s="1"/>
  <c r="B6878" i="106"/>
  <c r="D6878" i="106" s="1"/>
  <c r="K21" i="29"/>
  <c r="B6750" i="106"/>
  <c r="D6750" i="106" s="1"/>
  <c r="B5884" i="106"/>
  <c r="D5884" i="106" s="1"/>
  <c r="B6850" i="106"/>
  <c r="D6850" i="106" s="1"/>
  <c r="B5755" i="106"/>
  <c r="D5755" i="106" s="1"/>
  <c r="B6361" i="106"/>
  <c r="D6361" i="106" s="1"/>
  <c r="B928" i="106"/>
  <c r="D928" i="106" s="1"/>
  <c r="B1268" i="106"/>
  <c r="D1268" i="106" s="1"/>
  <c r="K142" i="29"/>
  <c r="B1283" i="106" s="1"/>
  <c r="D1283" i="106" s="1"/>
  <c r="H147" i="29"/>
  <c r="B5888" i="106"/>
  <c r="D5888" i="106" s="1"/>
  <c r="K256" i="29"/>
  <c r="B7098" i="106" s="1"/>
  <c r="D7098" i="106" s="1"/>
  <c r="B7097" i="106"/>
  <c r="D7097" i="106" s="1"/>
  <c r="B3372" i="106"/>
  <c r="D3372" i="106" s="1"/>
  <c r="B1525" i="106"/>
  <c r="D1525" i="106" s="1"/>
  <c r="D303" i="29"/>
  <c r="B7147" i="106"/>
  <c r="D7147" i="106" s="1"/>
  <c r="B800" i="106"/>
  <c r="D800" i="106" s="1"/>
  <c r="L243" i="29"/>
  <c r="B1534" i="106"/>
  <c r="D1534" i="106" s="1"/>
  <c r="B863" i="106"/>
  <c r="D863" i="106" s="1"/>
  <c r="B3055" i="106"/>
  <c r="D3055" i="106" s="1"/>
  <c r="K10" i="29"/>
  <c r="B3062" i="106" s="1"/>
  <c r="D3062" i="106" s="1"/>
  <c r="B6743" i="106"/>
  <c r="D6743" i="106" s="1"/>
  <c r="K7" i="29"/>
  <c r="B6727" i="106"/>
  <c r="D6727" i="106" s="1"/>
  <c r="B4381" i="106"/>
  <c r="D4381" i="106" s="1"/>
  <c r="J175" i="5"/>
  <c r="B6400" i="106" s="1"/>
  <c r="D6400" i="106" s="1"/>
  <c r="B6398" i="106"/>
  <c r="D6398" i="106" s="1"/>
  <c r="B870" i="106"/>
  <c r="D870" i="106" s="1"/>
  <c r="B7188" i="106"/>
  <c r="D7188" i="106" s="1"/>
  <c r="B839" i="106"/>
  <c r="D839" i="106" s="1"/>
  <c r="B5375" i="106"/>
  <c r="D5375" i="106" s="1"/>
  <c r="B7266" i="106"/>
  <c r="K181" i="5"/>
  <c r="B6016" i="106" s="1"/>
  <c r="D6016" i="106" s="1"/>
  <c r="B4816" i="106"/>
  <c r="D4816" i="106" s="1"/>
  <c r="B1046" i="106"/>
  <c r="D1046" i="106" s="1"/>
  <c r="F90" i="34"/>
  <c r="B6314" i="106"/>
  <c r="D6314" i="106" s="1"/>
  <c r="B4333" i="106"/>
  <c r="D4333" i="106" s="1"/>
  <c r="B6726" i="106"/>
  <c r="D6726" i="106" s="1"/>
  <c r="B7128" i="106"/>
  <c r="D7128" i="106" s="1"/>
  <c r="B4813" i="106"/>
  <c r="D4813" i="106" s="1"/>
  <c r="B6908" i="106"/>
  <c r="D6908" i="106" s="1"/>
  <c r="B6676" i="106"/>
  <c r="D6676" i="106" s="1"/>
  <c r="L57" i="29"/>
  <c r="B5077" i="106"/>
  <c r="D5077" i="106" s="1"/>
  <c r="B6755" i="106"/>
  <c r="D6755" i="106" s="1"/>
  <c r="B3370" i="106"/>
  <c r="D3370" i="106" s="1"/>
  <c r="K237" i="29"/>
  <c r="B1480" i="106" s="1"/>
  <c r="D1480" i="106" s="1"/>
  <c r="B1416" i="106"/>
  <c r="D1416" i="106" s="1"/>
  <c r="L270" i="29"/>
  <c r="F132" i="5"/>
  <c r="B5600" i="106"/>
  <c r="D5600" i="106" s="1"/>
  <c r="B784" i="106"/>
  <c r="D784" i="106" s="1"/>
  <c r="K12" i="29"/>
  <c r="B716" i="106"/>
  <c r="D716" i="106" s="1"/>
  <c r="B3655" i="106"/>
  <c r="D3655" i="106" s="1"/>
  <c r="B4853" i="106"/>
  <c r="D4853" i="106" s="1"/>
  <c r="K78" i="29"/>
  <c r="B2949" i="106"/>
  <c r="D2949" i="106" s="1"/>
  <c r="E84" i="29"/>
  <c r="E102" i="29" s="1"/>
  <c r="B2790" i="106" s="1"/>
  <c r="D2790" i="106" s="1"/>
  <c r="H137" i="29"/>
  <c r="B7775" i="106"/>
  <c r="D7775" i="106" s="1"/>
  <c r="K169" i="5"/>
  <c r="B5000" i="106" s="1"/>
  <c r="D5000" i="106" s="1"/>
  <c r="B6374" i="106"/>
  <c r="D6374" i="106" s="1"/>
  <c r="F112" i="34"/>
  <c r="B5181" i="106"/>
  <c r="D5181" i="106" s="1"/>
  <c r="K319" i="29"/>
  <c r="B7126" i="106" s="1"/>
  <c r="D7126" i="106" s="1"/>
  <c r="C330" i="29"/>
  <c r="B7118" i="106"/>
  <c r="D7118" i="106" s="1"/>
  <c r="B6780" i="106"/>
  <c r="D6780" i="106" s="1"/>
  <c r="B6830" i="106"/>
  <c r="D6830" i="106" s="1"/>
  <c r="B856" i="106"/>
  <c r="D856" i="106" s="1"/>
  <c r="F85" i="34"/>
  <c r="B5565" i="106"/>
  <c r="D5565" i="106" s="1"/>
  <c r="B5330" i="106"/>
  <c r="D5330" i="106" s="1"/>
  <c r="B3373" i="106"/>
  <c r="D3373" i="106" s="1"/>
  <c r="K165" i="29"/>
  <c r="B2818" i="106" s="1"/>
  <c r="D2818" i="106" s="1"/>
  <c r="B2812" i="106"/>
  <c r="D2812" i="106" s="1"/>
  <c r="B717" i="106"/>
  <c r="D717" i="106" s="1"/>
  <c r="K13" i="29"/>
  <c r="B1105" i="106" s="1"/>
  <c r="D1105" i="106" s="1"/>
  <c r="F175" i="5"/>
  <c r="B5655" i="106" s="1"/>
  <c r="D5655" i="106" s="1"/>
  <c r="B5654" i="106"/>
  <c r="D5654" i="106" s="1"/>
  <c r="B6682" i="106"/>
  <c r="D6682" i="106" s="1"/>
  <c r="F141" i="34"/>
  <c r="B5247" i="106"/>
  <c r="D5247" i="106" s="1"/>
  <c r="C204" i="5"/>
  <c r="B6657" i="106"/>
  <c r="D6657" i="106" s="1"/>
  <c r="B5256" i="106"/>
  <c r="D5256" i="106" s="1"/>
  <c r="C209" i="5"/>
  <c r="B6795" i="106"/>
  <c r="D6795" i="106" s="1"/>
  <c r="B4342" i="106"/>
  <c r="D4342" i="106" s="1"/>
  <c r="B6815" i="106"/>
  <c r="D6815" i="106" s="1"/>
  <c r="I184" i="29"/>
  <c r="B7059" i="106"/>
  <c r="D7059" i="106" s="1"/>
  <c r="B3631" i="106"/>
  <c r="D3631" i="106" s="1"/>
  <c r="E350" i="29"/>
  <c r="B6729" i="106"/>
  <c r="D6729" i="106" s="1"/>
  <c r="F145" i="34"/>
  <c r="B1229" i="106"/>
  <c r="D1229" i="106" s="1"/>
  <c r="F26" i="34"/>
  <c r="B5577" i="106"/>
  <c r="D5577" i="106" s="1"/>
  <c r="D181" i="5"/>
  <c r="B5425" i="106" s="1"/>
  <c r="D5425" i="106" s="1"/>
  <c r="B5424" i="106"/>
  <c r="D5424" i="106" s="1"/>
  <c r="B6975" i="106"/>
  <c r="D6975" i="106" s="1"/>
  <c r="B1341" i="106"/>
  <c r="D1341" i="106" s="1"/>
  <c r="D184" i="29"/>
  <c r="B4230" i="106"/>
  <c r="D4230" i="106" s="1"/>
  <c r="J33" i="29"/>
  <c r="B6903" i="106" s="1"/>
  <c r="D6903" i="106" s="1"/>
  <c r="B6845" i="106"/>
  <c r="D6845" i="106" s="1"/>
  <c r="B6659" i="106"/>
  <c r="D6659" i="106" s="1"/>
  <c r="B6972" i="106"/>
  <c r="D6972" i="106" s="1"/>
  <c r="B5875" i="106"/>
  <c r="D5875" i="106" s="1"/>
  <c r="B6629" i="106"/>
  <c r="D6629" i="106" s="1"/>
  <c r="B988" i="106"/>
  <c r="D988" i="106" s="1"/>
  <c r="B782" i="106"/>
  <c r="D782" i="106" s="1"/>
  <c r="B5515" i="106"/>
  <c r="D5515" i="106" s="1"/>
  <c r="B6760" i="106"/>
  <c r="D6760" i="106" s="1"/>
  <c r="F108" i="34"/>
  <c r="B5167" i="106"/>
  <c r="D5167" i="106" s="1"/>
  <c r="E169" i="5"/>
  <c r="B5537" i="106" s="1"/>
  <c r="D5537" i="106" s="1"/>
  <c r="B6368" i="106"/>
  <c r="D6368" i="106" s="1"/>
  <c r="B770" i="106"/>
  <c r="D770" i="106" s="1"/>
  <c r="B6348" i="106"/>
  <c r="D6348" i="106" s="1"/>
  <c r="E127" i="29"/>
  <c r="B1235" i="106"/>
  <c r="D1235" i="106" s="1"/>
  <c r="B909" i="106"/>
  <c r="D909" i="106" s="1"/>
  <c r="F57" i="29"/>
  <c r="B911" i="106" s="1"/>
  <c r="D911" i="106" s="1"/>
  <c r="B5395" i="106"/>
  <c r="D5395" i="106" s="1"/>
  <c r="B6628" i="106"/>
  <c r="D6628" i="106" s="1"/>
  <c r="B2996" i="106"/>
  <c r="D2996" i="106" s="1"/>
  <c r="B6800" i="106"/>
  <c r="D6800" i="106" s="1"/>
  <c r="B6673" i="106"/>
  <c r="D6673" i="106" s="1"/>
  <c r="B5659" i="106"/>
  <c r="D5659" i="106" s="1"/>
  <c r="F188" i="5"/>
  <c r="B6764" i="106"/>
  <c r="D6764" i="106" s="1"/>
  <c r="B4334" i="106"/>
  <c r="D4334" i="106" s="1"/>
  <c r="B6816" i="106"/>
  <c r="D6816" i="106" s="1"/>
  <c r="B6966" i="106"/>
  <c r="D6966" i="106" s="1"/>
  <c r="K46" i="29"/>
  <c r="B1118" i="106" s="1"/>
  <c r="D1118" i="106" s="1"/>
  <c r="B730" i="106"/>
  <c r="D730" i="106" s="1"/>
  <c r="B4919" i="106"/>
  <c r="D4919" i="106" s="1"/>
  <c r="B6678" i="106"/>
  <c r="D6678" i="106" s="1"/>
  <c r="F114" i="5"/>
  <c r="B5589" i="106"/>
  <c r="D5589" i="106" s="1"/>
  <c r="H122" i="5"/>
  <c r="B5893" i="106" s="1"/>
  <c r="D5893" i="106" s="1"/>
  <c r="B5887" i="106"/>
  <c r="D5887" i="106" s="1"/>
  <c r="B6339" i="106"/>
  <c r="D6339" i="106" s="1"/>
  <c r="B5345" i="106"/>
  <c r="D5345" i="106" s="1"/>
  <c r="B2720" i="106"/>
  <c r="D2720" i="106" s="1"/>
  <c r="B5516" i="106"/>
  <c r="D5516" i="106" s="1"/>
  <c r="B4917" i="106"/>
  <c r="D4917" i="106" s="1"/>
  <c r="B6929" i="106"/>
  <c r="D6929" i="106" s="1"/>
  <c r="B5724" i="106"/>
  <c r="D5724" i="106" s="1"/>
  <c r="H33" i="29"/>
  <c r="B1010" i="106" s="1"/>
  <c r="D1010" i="106" s="1"/>
  <c r="B995" i="106"/>
  <c r="D995" i="106" s="1"/>
  <c r="B5280" i="106"/>
  <c r="D5280" i="106" s="1"/>
  <c r="F130" i="34"/>
  <c r="B5391" i="106"/>
  <c r="D5391" i="106" s="1"/>
  <c r="D155" i="5"/>
  <c r="B5394" i="106" s="1"/>
  <c r="D5394" i="106" s="1"/>
  <c r="B6787" i="106"/>
  <c r="D6787" i="106" s="1"/>
  <c r="B5098" i="106"/>
  <c r="D5098" i="106" s="1"/>
  <c r="B804" i="106"/>
  <c r="D804" i="106" s="1"/>
  <c r="D72" i="29"/>
  <c r="B811" i="106" s="1"/>
  <c r="D811" i="106" s="1"/>
  <c r="B6931" i="106"/>
  <c r="D6931" i="106" s="1"/>
  <c r="B5083" i="106"/>
  <c r="D5083" i="106" s="1"/>
  <c r="B6782" i="106"/>
  <c r="D6782" i="106" s="1"/>
  <c r="K96" i="29"/>
  <c r="B7003" i="106" s="1"/>
  <c r="D7003" i="106" s="1"/>
  <c r="B7002" i="106"/>
  <c r="D7002" i="106" s="1"/>
  <c r="B6378" i="106"/>
  <c r="D6378" i="106" s="1"/>
  <c r="B7259" i="106"/>
  <c r="B981" i="106"/>
  <c r="D981" i="106" s="1"/>
  <c r="B5883" i="106"/>
  <c r="D5883" i="106" s="1"/>
  <c r="B6369" i="106"/>
  <c r="D6369" i="106" s="1"/>
  <c r="B4215" i="106"/>
  <c r="D4215" i="106" s="1"/>
  <c r="C141" i="5"/>
  <c r="B5148" i="106"/>
  <c r="D5148" i="106" s="1"/>
  <c r="B5153" i="106"/>
  <c r="D5153" i="106" s="1"/>
  <c r="B6890" i="106"/>
  <c r="D6890" i="106" s="1"/>
  <c r="K27" i="29"/>
  <c r="B4419" i="106"/>
  <c r="D4419" i="106" s="1"/>
  <c r="B5117" i="106"/>
  <c r="D5117" i="106" s="1"/>
  <c r="B5374" i="106"/>
  <c r="D5374" i="106" s="1"/>
  <c r="K222" i="29"/>
  <c r="B1471" i="106" s="1"/>
  <c r="D1471" i="106" s="1"/>
  <c r="B1407" i="106"/>
  <c r="D1407" i="106" s="1"/>
  <c r="B4370" i="106"/>
  <c r="D4370" i="106" s="1"/>
  <c r="B5352" i="106"/>
  <c r="D5352" i="106" s="1"/>
  <c r="B6719" i="106"/>
  <c r="D6719" i="106" s="1"/>
  <c r="B6724" i="106"/>
  <c r="D6724" i="106" s="1"/>
  <c r="B7197" i="106"/>
  <c r="D7197" i="106" s="1"/>
  <c r="B7236" i="106"/>
  <c r="D7236" i="106" s="1"/>
  <c r="B7791" i="106"/>
  <c r="D7791" i="106" s="1"/>
  <c r="K354" i="29"/>
  <c r="H357" i="29"/>
  <c r="B7061" i="106"/>
  <c r="D7061" i="106" s="1"/>
  <c r="E330" i="29"/>
  <c r="B7120" i="106"/>
  <c r="D7120" i="106" s="1"/>
  <c r="B7807" i="106"/>
  <c r="D7807" i="106" s="1"/>
  <c r="B6854" i="106"/>
  <c r="D6854" i="106" s="1"/>
  <c r="B7167" i="106"/>
  <c r="D7167" i="106" s="1"/>
  <c r="B4344" i="106"/>
  <c r="D4344" i="106" s="1"/>
  <c r="B838" i="106"/>
  <c r="D838" i="106" s="1"/>
  <c r="B4949" i="106"/>
  <c r="D4949" i="106" s="1"/>
  <c r="B7813" i="106"/>
  <c r="D7813" i="106" s="1"/>
  <c r="F167" i="34"/>
  <c r="F119" i="34"/>
  <c r="B4317" i="106"/>
  <c r="D4317" i="106" s="1"/>
  <c r="B996" i="106"/>
  <c r="D996" i="106" s="1"/>
  <c r="B930" i="106"/>
  <c r="D930" i="106" s="1"/>
  <c r="B4341" i="106"/>
  <c r="D4341" i="106" s="1"/>
  <c r="B4313" i="106"/>
  <c r="D4313" i="106" s="1"/>
  <c r="F30" i="34"/>
  <c r="B5512" i="106"/>
  <c r="D5512" i="106" s="1"/>
  <c r="B5463" i="106"/>
  <c r="D5463" i="106" s="1"/>
  <c r="B6623" i="106"/>
  <c r="D6623" i="106" s="1"/>
  <c r="B7101" i="106"/>
  <c r="D7101" i="106" s="1"/>
  <c r="K56" i="29"/>
  <c r="B736" i="106"/>
  <c r="D736" i="106" s="1"/>
  <c r="B7170" i="106"/>
  <c r="D7170" i="106" s="1"/>
  <c r="B6828" i="106"/>
  <c r="D6828" i="106" s="1"/>
  <c r="B7163" i="106"/>
  <c r="D7163" i="106" s="1"/>
  <c r="K324" i="29"/>
  <c r="B7171" i="106" s="1"/>
  <c r="D7171" i="106" s="1"/>
  <c r="B4865" i="106"/>
  <c r="D4865" i="106" s="1"/>
  <c r="L84" i="29"/>
  <c r="B6693" i="106"/>
  <c r="D6693" i="106" s="1"/>
  <c r="F28" i="34"/>
  <c r="B6315" i="106"/>
  <c r="D6315" i="106" s="1"/>
  <c r="B6631" i="106"/>
  <c r="D6631" i="106" s="1"/>
  <c r="B6751" i="106"/>
  <c r="D6751" i="106" s="1"/>
  <c r="I67" i="5"/>
  <c r="B5926" i="106" s="1"/>
  <c r="D5926" i="106" s="1"/>
  <c r="B5924" i="106"/>
  <c r="D5924" i="106" s="1"/>
  <c r="B7263" i="106"/>
  <c r="K17" i="29"/>
  <c r="B6871" i="106" s="1"/>
  <c r="D6871" i="106" s="1"/>
  <c r="E18" i="5"/>
  <c r="B5518" i="106" s="1"/>
  <c r="D5518" i="106" s="1"/>
  <c r="B5514" i="106"/>
  <c r="D5514" i="106" s="1"/>
  <c r="B4340" i="106"/>
  <c r="D4340" i="106" s="1"/>
  <c r="F131" i="34"/>
  <c r="B6625" i="106"/>
  <c r="D6625" i="106" s="1"/>
  <c r="B6624" i="106"/>
  <c r="D6624" i="106" s="1"/>
  <c r="B4322" i="106"/>
  <c r="D4322" i="106" s="1"/>
  <c r="B7262" i="106"/>
  <c r="B7179" i="106"/>
  <c r="D7179" i="106" s="1"/>
  <c r="H72" i="29"/>
  <c r="B1043" i="106" s="1"/>
  <c r="D1043" i="106" s="1"/>
  <c r="B1036" i="106"/>
  <c r="D1036" i="106" s="1"/>
  <c r="B4886" i="106"/>
  <c r="D4886" i="106" s="1"/>
  <c r="F330" i="29"/>
  <c r="B7202" i="106" s="1"/>
  <c r="D7202" i="106" s="1"/>
  <c r="B7121" i="106"/>
  <c r="D7121" i="106" s="1"/>
  <c r="G47" i="29"/>
  <c r="B963" i="106" s="1"/>
  <c r="D963" i="106" s="1"/>
  <c r="B960" i="106"/>
  <c r="D960" i="106" s="1"/>
  <c r="B6810" i="106"/>
  <c r="D6810" i="106" s="1"/>
  <c r="B7176" i="106"/>
  <c r="D7176" i="106" s="1"/>
  <c r="B7065" i="106"/>
  <c r="D7065" i="106" s="1"/>
  <c r="B4332" i="106"/>
  <c r="D4332" i="106" s="1"/>
  <c r="B6370" i="106"/>
  <c r="D6370" i="106" s="1"/>
  <c r="D108" i="5"/>
  <c r="B5355" i="106" s="1"/>
  <c r="D5355" i="106" s="1"/>
  <c r="B5349" i="106"/>
  <c r="D5349" i="106" s="1"/>
  <c r="B2952" i="106"/>
  <c r="D2952" i="106" s="1"/>
  <c r="K81" i="29"/>
  <c r="B2976" i="106" s="1"/>
  <c r="D2976" i="106" s="1"/>
  <c r="B5239" i="106"/>
  <c r="D5239" i="106" s="1"/>
  <c r="B6407" i="106"/>
  <c r="D6407" i="106" s="1"/>
  <c r="B5858" i="106"/>
  <c r="D5858" i="106" s="1"/>
  <c r="B4883" i="106"/>
  <c r="D4883" i="106" s="1"/>
  <c r="B2953" i="106"/>
  <c r="D2953" i="106" s="1"/>
  <c r="K82" i="29"/>
  <c r="B2977" i="106" s="1"/>
  <c r="D2977" i="106" s="1"/>
  <c r="B6328" i="106"/>
  <c r="D6328" i="106" s="1"/>
  <c r="G141" i="5"/>
  <c r="B5749" i="106"/>
  <c r="D5749" i="106" s="1"/>
  <c r="H57" i="29"/>
  <c r="B1027" i="106" s="1"/>
  <c r="D1027" i="106" s="1"/>
  <c r="B1025" i="106"/>
  <c r="D1025" i="106" s="1"/>
  <c r="B4354" i="106"/>
  <c r="D4354" i="106" s="1"/>
  <c r="B6965" i="106"/>
  <c r="D6965" i="106" s="1"/>
  <c r="B4379" i="106"/>
  <c r="D4379" i="106" s="1"/>
  <c r="B2723" i="106"/>
  <c r="D2723" i="106" s="1"/>
  <c r="B6941" i="106"/>
  <c r="D6941" i="106" s="1"/>
  <c r="B7040" i="106"/>
  <c r="D7040" i="106" s="1"/>
  <c r="D47" i="29"/>
  <c r="B789" i="106" s="1"/>
  <c r="D789" i="106" s="1"/>
  <c r="B786" i="106"/>
  <c r="D786" i="106" s="1"/>
  <c r="L100" i="29"/>
  <c r="B7232" i="106"/>
  <c r="D7232" i="106" s="1"/>
  <c r="B7254" i="106"/>
  <c r="D7254" i="106" s="1"/>
  <c r="B5920" i="106"/>
  <c r="D5920" i="106" s="1"/>
  <c r="I175" i="5"/>
  <c r="B4366" i="106"/>
  <c r="D4366" i="106" s="1"/>
  <c r="B7161" i="106"/>
  <c r="D7161" i="106" s="1"/>
  <c r="B3064" i="106"/>
  <c r="D3064" i="106" s="1"/>
  <c r="K219" i="29"/>
  <c r="B3065" i="106" s="1"/>
  <c r="D3065" i="106" s="1"/>
  <c r="B6702" i="106"/>
  <c r="D6702" i="106" s="1"/>
  <c r="B6744" i="106"/>
  <c r="D6744" i="106" s="1"/>
  <c r="B907" i="106"/>
  <c r="D907" i="106" s="1"/>
  <c r="B6898" i="106"/>
  <c r="D6898" i="106" s="1"/>
  <c r="K31" i="29"/>
  <c r="B6899" i="106" s="1"/>
  <c r="D6899" i="106" s="1"/>
  <c r="B983" i="106"/>
  <c r="D983" i="106" s="1"/>
  <c r="B6649" i="106"/>
  <c r="D6649" i="106" s="1"/>
  <c r="B6772" i="106"/>
  <c r="D6772" i="106" s="1"/>
  <c r="B7122" i="106"/>
  <c r="D7122" i="106" s="1"/>
  <c r="G330" i="29"/>
  <c r="K349" i="29"/>
  <c r="B3669" i="106" s="1"/>
  <c r="D3669" i="106" s="1"/>
  <c r="B3618" i="106"/>
  <c r="D3618" i="106" s="1"/>
  <c r="B754" i="106"/>
  <c r="D754" i="106" s="1"/>
  <c r="K73" i="29"/>
  <c r="B5586" i="106"/>
  <c r="D5586" i="106" s="1"/>
  <c r="B4922" i="106"/>
  <c r="D4922" i="106" s="1"/>
  <c r="C57" i="29"/>
  <c r="B737" i="106" s="1"/>
  <c r="D737" i="106" s="1"/>
  <c r="B735" i="106"/>
  <c r="D735" i="106" s="1"/>
  <c r="K55" i="29"/>
  <c r="B1123" i="106" s="1"/>
  <c r="D1123" i="106" s="1"/>
  <c r="B7110" i="106"/>
  <c r="D7110" i="106" s="1"/>
  <c r="K308" i="29"/>
  <c r="B4100" i="106" s="1"/>
  <c r="D4100" i="106" s="1"/>
  <c r="B915" i="106"/>
  <c r="D915" i="106" s="1"/>
  <c r="B5617" i="106"/>
  <c r="D5617" i="106" s="1"/>
  <c r="B4881" i="106"/>
  <c r="D4881" i="106" s="1"/>
  <c r="B5559" i="106"/>
  <c r="D5559" i="106" s="1"/>
  <c r="K68" i="29"/>
  <c r="B747" i="106"/>
  <c r="D747" i="106" s="1"/>
  <c r="B6360" i="106"/>
  <c r="D6360" i="106" s="1"/>
  <c r="B1265" i="106"/>
  <c r="D1265" i="106" s="1"/>
  <c r="F47" i="29"/>
  <c r="B905" i="106" s="1"/>
  <c r="D905" i="106" s="1"/>
  <c r="B902" i="106"/>
  <c r="D902" i="106" s="1"/>
  <c r="B6321" i="106"/>
  <c r="D6321" i="106" s="1"/>
  <c r="B7802" i="106"/>
  <c r="D7802" i="106" s="1"/>
  <c r="B841" i="106"/>
  <c r="D841" i="106" s="1"/>
  <c r="B6343" i="106"/>
  <c r="D6343" i="106" s="1"/>
  <c r="B5175" i="106"/>
  <c r="D5175" i="106" s="1"/>
  <c r="C155" i="5"/>
  <c r="B897" i="106"/>
  <c r="D897" i="106" s="1"/>
  <c r="J122" i="5"/>
  <c r="B6353" i="106"/>
  <c r="D6353" i="106" s="1"/>
  <c r="E252" i="5"/>
  <c r="B6616" i="106"/>
  <c r="D6616" i="106" s="1"/>
  <c r="B6722" i="106"/>
  <c r="D6722" i="106" s="1"/>
  <c r="K218" i="29"/>
  <c r="B7075" i="106"/>
  <c r="D7075" i="106" s="1"/>
  <c r="B6299" i="106"/>
  <c r="D6299" i="106" s="1"/>
  <c r="K93" i="29"/>
  <c r="B6997" i="106" s="1"/>
  <c r="D6997" i="106" s="1"/>
  <c r="B6996" i="106"/>
  <c r="D6996" i="106" s="1"/>
  <c r="H100" i="29"/>
  <c r="B7012" i="106" s="1"/>
  <c r="D7012" i="106" s="1"/>
  <c r="B5604" i="106"/>
  <c r="D5604" i="106" s="1"/>
  <c r="B1037" i="106"/>
  <c r="D1037" i="106" s="1"/>
  <c r="B6921" i="106"/>
  <c r="D6921" i="106" s="1"/>
  <c r="B775" i="106"/>
  <c r="D775" i="106" s="1"/>
  <c r="B806" i="106"/>
  <c r="D806" i="106" s="1"/>
  <c r="B898" i="106"/>
  <c r="D898" i="106" s="1"/>
  <c r="B7638" i="106"/>
  <c r="B1372" i="106"/>
  <c r="D1372" i="106" s="1"/>
  <c r="K200" i="29"/>
  <c r="B1384" i="106" s="1"/>
  <c r="D1384" i="106" s="1"/>
  <c r="B6745" i="106"/>
  <c r="D6745" i="106" s="1"/>
  <c r="B3487" i="106"/>
  <c r="D3487" i="106" s="1"/>
  <c r="L293" i="29"/>
  <c r="F29" i="34"/>
  <c r="B5387" i="106"/>
  <c r="D5387" i="106" s="1"/>
  <c r="D42" i="29"/>
  <c r="B785" i="106" s="1"/>
  <c r="D785" i="106" s="1"/>
  <c r="B779" i="106"/>
  <c r="D779" i="106" s="1"/>
  <c r="B2797" i="106"/>
  <c r="D2797" i="106" s="1"/>
  <c r="K130" i="29"/>
  <c r="B7233" i="106"/>
  <c r="D7233" i="106" s="1"/>
  <c r="D175" i="5"/>
  <c r="B5423" i="106" s="1"/>
  <c r="D5423" i="106" s="1"/>
  <c r="B5422" i="106"/>
  <c r="D5422" i="106" s="1"/>
  <c r="B6769" i="106"/>
  <c r="D6769" i="106" s="1"/>
  <c r="F149" i="34"/>
  <c r="B5350" i="106"/>
  <c r="D5350" i="106" s="1"/>
  <c r="L261" i="29"/>
  <c r="B6626" i="106"/>
  <c r="D6626" i="106" s="1"/>
  <c r="F134" i="34"/>
  <c r="B6705" i="106"/>
  <c r="D6705" i="106" s="1"/>
  <c r="B2721" i="106"/>
  <c r="D2721" i="106" s="1"/>
  <c r="B738" i="106"/>
  <c r="D738" i="106" s="1"/>
  <c r="K59" i="29"/>
  <c r="K65" i="29" s="1"/>
  <c r="B1133" i="106" s="1"/>
  <c r="D1133" i="106" s="1"/>
  <c r="C65" i="29"/>
  <c r="B745" i="106" s="1"/>
  <c r="D745" i="106" s="1"/>
  <c r="B5231" i="106"/>
  <c r="D5231" i="106" s="1"/>
  <c r="B6660" i="106"/>
  <c r="D6660" i="106" s="1"/>
  <c r="B1236" i="106"/>
  <c r="D1236" i="106" s="1"/>
  <c r="B4393" i="106"/>
  <c r="D4393" i="106" s="1"/>
  <c r="B6309" i="106"/>
  <c r="D6309" i="106" s="1"/>
  <c r="B7248" i="106"/>
  <c r="D7248" i="106" s="1"/>
  <c r="F143" i="34"/>
  <c r="B6712" i="106"/>
  <c r="D6712" i="106" s="1"/>
  <c r="B7154" i="106"/>
  <c r="D7154" i="106" s="1"/>
  <c r="K323" i="29"/>
  <c r="B7162" i="106" s="1"/>
  <c r="D7162" i="106" s="1"/>
  <c r="B6919" i="106"/>
  <c r="D6919" i="106" s="1"/>
  <c r="J47" i="29"/>
  <c r="B6925" i="106" s="1"/>
  <c r="D6925" i="106" s="1"/>
  <c r="B5695" i="106"/>
  <c r="D5695" i="106" s="1"/>
  <c r="B925" i="106"/>
  <c r="D925" i="106" s="1"/>
  <c r="B6786" i="106"/>
  <c r="D6786" i="106" s="1"/>
  <c r="B6955" i="106"/>
  <c r="D6955" i="106" s="1"/>
  <c r="D238" i="29"/>
  <c r="B1417" i="106" s="1"/>
  <c r="D1417" i="106" s="1"/>
  <c r="K235" i="29"/>
  <c r="B1478" i="106" s="1"/>
  <c r="D1478" i="106" s="1"/>
  <c r="B1414" i="106"/>
  <c r="D1414" i="106" s="1"/>
  <c r="B5069" i="106"/>
  <c r="D5069" i="106" s="1"/>
  <c r="K133" i="29"/>
  <c r="B7776" i="106" s="1"/>
  <c r="D7776" i="106" s="1"/>
  <c r="E137" i="29"/>
  <c r="B7774" i="106"/>
  <c r="D7774" i="106" s="1"/>
  <c r="B5194" i="106"/>
  <c r="D5194" i="106" s="1"/>
  <c r="F114" i="34"/>
  <c r="B5332" i="106"/>
  <c r="D5332" i="106" s="1"/>
  <c r="B15" i="7"/>
  <c r="B1756" i="106" s="1"/>
  <c r="D1756" i="106" s="1"/>
  <c r="K248" i="29"/>
  <c r="B7082" i="106" s="1"/>
  <c r="D7082" i="106" s="1"/>
  <c r="B7081" i="106"/>
  <c r="D7081" i="106" s="1"/>
  <c r="C108" i="5"/>
  <c r="B5120" i="106" s="1"/>
  <c r="D5120" i="106" s="1"/>
  <c r="F101" i="34"/>
  <c r="B5113" i="106"/>
  <c r="D5113" i="106" s="1"/>
  <c r="B6971" i="106"/>
  <c r="D6971" i="106" s="1"/>
  <c r="B7255" i="106"/>
  <c r="D7255" i="106" s="1"/>
  <c r="B7044" i="106"/>
  <c r="D7044" i="106" s="1"/>
  <c r="K109" i="29"/>
  <c r="B1149" i="106" s="1"/>
  <c r="D1149" i="106" s="1"/>
  <c r="B1051" i="106"/>
  <c r="D1051" i="106" s="1"/>
  <c r="B4353" i="106"/>
  <c r="D4353" i="106" s="1"/>
  <c r="B5572" i="106"/>
  <c r="D5572" i="106" s="1"/>
  <c r="F89" i="34"/>
  <c r="B4336" i="106"/>
  <c r="D4336" i="106" s="1"/>
  <c r="B7158" i="106"/>
  <c r="D7158" i="106" s="1"/>
  <c r="B6714" i="106"/>
  <c r="D6714" i="106" s="1"/>
  <c r="B6365" i="106"/>
  <c r="D6365" i="106" s="1"/>
  <c r="G217" i="5"/>
  <c r="B5829" i="106" s="1"/>
  <c r="D5829" i="106" s="1"/>
  <c r="B5817" i="106"/>
  <c r="D5817" i="106" s="1"/>
  <c r="K333" i="29"/>
  <c r="B7788" i="106" s="1"/>
  <c r="D7788" i="106" s="1"/>
  <c r="B7787" i="106"/>
  <c r="D7787" i="106" s="1"/>
  <c r="B7186" i="106"/>
  <c r="D7186" i="106" s="1"/>
  <c r="B5989" i="106"/>
  <c r="D5989" i="106" s="1"/>
  <c r="B6376" i="106"/>
  <c r="D6376" i="106" s="1"/>
  <c r="B6642" i="106"/>
  <c r="D6642" i="106" s="1"/>
  <c r="F136" i="34"/>
  <c r="B5556" i="106"/>
  <c r="D5556" i="106" s="1"/>
  <c r="B906" i="106"/>
  <c r="D906" i="106" s="1"/>
  <c r="F53" i="29"/>
  <c r="B908" i="106" s="1"/>
  <c r="D908" i="106" s="1"/>
  <c r="G350" i="29"/>
  <c r="B3645" i="106"/>
  <c r="D3645" i="106" s="1"/>
  <c r="B956" i="106"/>
  <c r="D956" i="106" s="1"/>
  <c r="L160" i="29"/>
  <c r="B950" i="106"/>
  <c r="D950" i="106" s="1"/>
  <c r="B728" i="106"/>
  <c r="D728" i="106" s="1"/>
  <c r="K44" i="29"/>
  <c r="B1116" i="106" s="1"/>
  <c r="D1116" i="106" s="1"/>
  <c r="C47" i="29"/>
  <c r="B731" i="106" s="1"/>
  <c r="D731" i="106" s="1"/>
  <c r="B958" i="106"/>
  <c r="D958" i="106" s="1"/>
  <c r="B951" i="106"/>
  <c r="D951" i="106" s="1"/>
  <c r="B6914" i="106"/>
  <c r="D6914" i="106" s="1"/>
  <c r="B5581" i="106"/>
  <c r="D5581" i="106" s="1"/>
  <c r="K356" i="29"/>
  <c r="B4321" i="106"/>
  <c r="D4321" i="106" s="1"/>
  <c r="B6735" i="106"/>
  <c r="D6735" i="106" s="1"/>
  <c r="B7194" i="106"/>
  <c r="D7194" i="106" s="1"/>
  <c r="B2980" i="106"/>
  <c r="D2980" i="106" s="1"/>
  <c r="B7184" i="106"/>
  <c r="D7184" i="106" s="1"/>
  <c r="B6332" i="106"/>
  <c r="D6332" i="106" s="1"/>
  <c r="B776" i="106"/>
  <c r="D776" i="106" s="1"/>
  <c r="B910" i="106"/>
  <c r="D910" i="106" s="1"/>
  <c r="B6688" i="106"/>
  <c r="D6688" i="106" s="1"/>
  <c r="B4315" i="106"/>
  <c r="D4315" i="106" s="1"/>
  <c r="B6706" i="106"/>
  <c r="D6706" i="106" s="1"/>
  <c r="B1451" i="106"/>
  <c r="D1451" i="106" s="1"/>
  <c r="K292" i="29"/>
  <c r="B1514" i="106" s="1"/>
  <c r="D1514" i="106" s="1"/>
  <c r="B6770" i="106"/>
  <c r="D6770" i="106" s="1"/>
  <c r="B6792" i="106"/>
  <c r="D6792" i="106" s="1"/>
  <c r="B5885" i="106"/>
  <c r="D5885" i="106" s="1"/>
  <c r="B879" i="106"/>
  <c r="D879" i="106" s="1"/>
  <c r="F33" i="29"/>
  <c r="B6658" i="106"/>
  <c r="D6658" i="106" s="1"/>
  <c r="B7102" i="106"/>
  <c r="D7102" i="106" s="1"/>
  <c r="B7183" i="106"/>
  <c r="D7183" i="106" s="1"/>
  <c r="B6399" i="106"/>
  <c r="D6399" i="106" s="1"/>
  <c r="B5511" i="106"/>
  <c r="D5511" i="106" s="1"/>
  <c r="B4882" i="106"/>
  <c r="D4882" i="106" s="1"/>
  <c r="B6869" i="106"/>
  <c r="D6869" i="106" s="1"/>
  <c r="B6721" i="106"/>
  <c r="D6721" i="106" s="1"/>
  <c r="B6892" i="106"/>
  <c r="D6892" i="106" s="1"/>
  <c r="K28" i="29"/>
  <c r="B5988" i="106"/>
  <c r="D5988" i="106" s="1"/>
  <c r="K18" i="5"/>
  <c r="B5992" i="106" s="1"/>
  <c r="D5992" i="106" s="1"/>
  <c r="B1009" i="106"/>
  <c r="D1009" i="106" s="1"/>
  <c r="B6627" i="106"/>
  <c r="D6627" i="106" s="1"/>
  <c r="G12" i="5"/>
  <c r="B5725" i="106" s="1"/>
  <c r="D5725" i="106" s="1"/>
  <c r="B5722" i="106"/>
  <c r="D5722" i="106" s="1"/>
  <c r="B859" i="106"/>
  <c r="D859" i="106" s="1"/>
  <c r="B970" i="106"/>
  <c r="D970" i="106" s="1"/>
  <c r="G65" i="29"/>
  <c r="B977" i="106" s="1"/>
  <c r="D977" i="106" s="1"/>
  <c r="B5927" i="106"/>
  <c r="D5927" i="106" s="1"/>
  <c r="I108" i="5"/>
  <c r="B5930" i="106" s="1"/>
  <c r="D5930" i="106" s="1"/>
  <c r="B6001" i="106"/>
  <c r="D6001" i="106" s="1"/>
  <c r="B6749" i="106"/>
  <c r="D6749" i="106" s="1"/>
  <c r="B1044" i="106"/>
  <c r="D1044" i="106" s="1"/>
  <c r="B5458" i="106"/>
  <c r="D5458" i="106" s="1"/>
  <c r="F31" i="34"/>
  <c r="D217" i="5"/>
  <c r="B5470" i="106" s="1"/>
  <c r="D5470" i="106" s="1"/>
  <c r="B1438" i="106"/>
  <c r="D1438" i="106" s="1"/>
  <c r="K273" i="29"/>
  <c r="B1502" i="106" s="1"/>
  <c r="D1502" i="106" s="1"/>
  <c r="B6322" i="106"/>
  <c r="D6322" i="106" s="1"/>
  <c r="B4339" i="106"/>
  <c r="D4339" i="106" s="1"/>
  <c r="B6674" i="106"/>
  <c r="D6674" i="106" s="1"/>
  <c r="F140" i="34"/>
  <c r="C303" i="29"/>
  <c r="B1519" i="106"/>
  <c r="D1519" i="106" s="1"/>
  <c r="K301" i="29"/>
  <c r="B4808" i="106"/>
  <c r="D4808" i="106" s="1"/>
  <c r="B1406" i="106"/>
  <c r="D1406" i="106" s="1"/>
  <c r="K221" i="29"/>
  <c r="F117" i="34"/>
  <c r="B4915" i="106"/>
  <c r="D4915" i="106" s="1"/>
  <c r="B840" i="106"/>
  <c r="D840" i="106" s="1"/>
  <c r="B5673" i="106"/>
  <c r="D5673" i="106" s="1"/>
  <c r="F209" i="5"/>
  <c r="B4413" i="106" s="1"/>
  <c r="D4413" i="106" s="1"/>
  <c r="L330" i="29"/>
  <c r="F98" i="34"/>
  <c r="B5107" i="106"/>
  <c r="D5107" i="106" s="1"/>
  <c r="B7134" i="106"/>
  <c r="D7134" i="106" s="1"/>
  <c r="B4346" i="106"/>
  <c r="D4346" i="106" s="1"/>
  <c r="B5736" i="106"/>
  <c r="D5736" i="106" s="1"/>
  <c r="B746" i="106"/>
  <c r="D746" i="106" s="1"/>
  <c r="K67" i="29"/>
  <c r="C72" i="29"/>
  <c r="B753" i="106" s="1"/>
  <c r="D753" i="106" s="1"/>
  <c r="B948" i="106"/>
  <c r="D948" i="106" s="1"/>
  <c r="B6662" i="106"/>
  <c r="D6662" i="106" s="1"/>
  <c r="E65" i="29"/>
  <c r="B861" i="106" s="1"/>
  <c r="D861" i="106" s="1"/>
  <c r="B854" i="106"/>
  <c r="D854" i="106" s="1"/>
  <c r="B979" i="106"/>
  <c r="D979" i="106" s="1"/>
  <c r="B4868" i="106"/>
  <c r="D4868" i="106" s="1"/>
  <c r="B6784" i="106"/>
  <c r="D6784" i="106" s="1"/>
  <c r="B5517" i="106"/>
  <c r="D5517" i="106" s="1"/>
  <c r="B5708" i="106"/>
  <c r="D5708" i="106" s="1"/>
  <c r="B5100" i="106"/>
  <c r="D5100" i="106" s="1"/>
  <c r="B6766" i="106"/>
  <c r="D6766" i="106" s="1"/>
  <c r="B6327" i="106"/>
  <c r="D6327" i="106" s="1"/>
  <c r="B6359" i="106"/>
  <c r="D6359" i="106" s="1"/>
  <c r="B790" i="106"/>
  <c r="D790" i="106" s="1"/>
  <c r="D53" i="29"/>
  <c r="B792" i="106" s="1"/>
  <c r="D792" i="106" s="1"/>
  <c r="J350" i="29"/>
  <c r="B7227" i="106"/>
  <c r="D7227" i="106" s="1"/>
  <c r="L279" i="29"/>
  <c r="L295" i="29" s="1"/>
  <c r="L151" i="29"/>
  <c r="K147" i="29"/>
  <c r="K149" i="29" s="1"/>
  <c r="J74" i="29"/>
  <c r="B6978" i="106" s="1"/>
  <c r="D6978" i="106" s="1"/>
  <c r="K238" i="29"/>
  <c r="L74" i="29"/>
  <c r="B1053" i="106"/>
  <c r="D1053" i="106" s="1"/>
  <c r="B19" i="7"/>
  <c r="B1759" i="106" s="1"/>
  <c r="D1759" i="106" s="1"/>
  <c r="F342" i="29"/>
  <c r="B7219" i="106" s="1"/>
  <c r="D7219" i="106" s="1"/>
  <c r="C129" i="29"/>
  <c r="B1225" i="106" s="1"/>
  <c r="D1225" i="106" s="1"/>
  <c r="F50" i="34"/>
  <c r="B2789" i="106"/>
  <c r="D2789" i="106" s="1"/>
  <c r="K110" i="29"/>
  <c r="K112" i="29" s="1"/>
  <c r="K293" i="29"/>
  <c r="B1515" i="106" s="1"/>
  <c r="D1515" i="106" s="1"/>
  <c r="H295" i="29"/>
  <c r="B1454" i="106" s="1"/>
  <c r="D1454" i="106" s="1"/>
  <c r="F43" i="34"/>
  <c r="F36" i="34"/>
  <c r="K127" i="29"/>
  <c r="K129" i="29" s="1"/>
  <c r="K362" i="29"/>
  <c r="B3676" i="106" s="1"/>
  <c r="D3676" i="106" s="1"/>
  <c r="K33" i="29"/>
  <c r="G19" i="108" s="1"/>
  <c r="D9" i="7"/>
  <c r="B1767" i="106" s="1"/>
  <c r="D1767" i="106" s="1"/>
  <c r="D12" i="7"/>
  <c r="B1769" i="106" s="1"/>
  <c r="D1769" i="106" s="1"/>
  <c r="L174" i="29"/>
  <c r="L102" i="29"/>
  <c r="L114" i="29" s="1"/>
  <c r="D15" i="7"/>
  <c r="B1772" i="106" s="1"/>
  <c r="D1772" i="106" s="1"/>
  <c r="B959" i="106"/>
  <c r="D959" i="106" s="1"/>
  <c r="G74" i="29"/>
  <c r="B987" i="106" s="1"/>
  <c r="D987" i="106" s="1"/>
  <c r="B7103" i="106"/>
  <c r="D7103" i="106" s="1"/>
  <c r="I312" i="29"/>
  <c r="B7116" i="106" s="1"/>
  <c r="D7116" i="106" s="1"/>
  <c r="H170" i="5"/>
  <c r="B5906" i="106" s="1"/>
  <c r="D5906" i="106" s="1"/>
  <c r="D279" i="29"/>
  <c r="D295" i="29" s="1"/>
  <c r="B1448" i="106" s="1"/>
  <c r="D1448" i="106" s="1"/>
  <c r="D4" i="7"/>
  <c r="B1760" i="106" s="1"/>
  <c r="D1760" i="106" s="1"/>
  <c r="B894" i="106"/>
  <c r="D894" i="106" s="1"/>
  <c r="K229" i="29"/>
  <c r="B5369" i="106"/>
  <c r="D5369" i="106" s="1"/>
  <c r="D169" i="5"/>
  <c r="K340" i="29"/>
  <c r="J16" i="4" s="1"/>
  <c r="B6226" i="106" s="1"/>
  <c r="D6226" i="106" s="1"/>
  <c r="E109" i="5"/>
  <c r="E4" i="4" s="1"/>
  <c r="B2630" i="106" s="1"/>
  <c r="D2630" i="106" s="1"/>
  <c r="D129" i="29"/>
  <c r="B1555" i="106"/>
  <c r="D1555" i="106" s="1"/>
  <c r="K303" i="29"/>
  <c r="B2091" i="106"/>
  <c r="D2091" i="106" s="1"/>
  <c r="H139" i="29"/>
  <c r="B1267" i="106" s="1"/>
  <c r="D1267" i="106" s="1"/>
  <c r="B2836" i="106"/>
  <c r="D2836" i="106" s="1"/>
  <c r="F62" i="34"/>
  <c r="F14" i="4"/>
  <c r="B2597" i="106" s="1"/>
  <c r="D2597" i="106" s="1"/>
  <c r="I170" i="5"/>
  <c r="B4363" i="106"/>
  <c r="D4363" i="106" s="1"/>
  <c r="B7034" i="106"/>
  <c r="D7034" i="106" s="1"/>
  <c r="J129" i="29"/>
  <c r="B3007" i="106"/>
  <c r="D3007" i="106" s="1"/>
  <c r="K194" i="29"/>
  <c r="B7784" i="106"/>
  <c r="D7784" i="106" s="1"/>
  <c r="K285" i="29"/>
  <c r="K270" i="29"/>
  <c r="B1500" i="106" s="1"/>
  <c r="D1500" i="106" s="1"/>
  <c r="K100" i="29"/>
  <c r="B7013" i="106" s="1"/>
  <c r="D7013" i="106" s="1"/>
  <c r="E170" i="5"/>
  <c r="E6" i="4" s="1"/>
  <c r="B2631" i="106" s="1"/>
  <c r="D2631" i="106" s="1"/>
  <c r="B727" i="106"/>
  <c r="D727" i="106" s="1"/>
  <c r="C74" i="29"/>
  <c r="B4951" i="106"/>
  <c r="D4951" i="106" s="1"/>
  <c r="B6357" i="106"/>
  <c r="D6357" i="106" s="1"/>
  <c r="J170" i="5"/>
  <c r="L342" i="29"/>
  <c r="B6881" i="106"/>
  <c r="D6881" i="106" s="1"/>
  <c r="F41" i="34"/>
  <c r="K266" i="5"/>
  <c r="B4442" i="106" s="1"/>
  <c r="D4442" i="106" s="1"/>
  <c r="B6840" i="106"/>
  <c r="D6840" i="106" s="1"/>
  <c r="B7794" i="106"/>
  <c r="D7794" i="106" s="1"/>
  <c r="B3674" i="106"/>
  <c r="D3674" i="106" s="1"/>
  <c r="F312" i="29"/>
  <c r="B1542" i="106" s="1"/>
  <c r="D1542" i="106" s="1"/>
  <c r="J312" i="29"/>
  <c r="B7117" i="106" s="1"/>
  <c r="D7117" i="106" s="1"/>
  <c r="D109" i="5"/>
  <c r="B5356" i="106" s="1"/>
  <c r="D5356" i="106" s="1"/>
  <c r="F38" i="34"/>
  <c r="E139" i="29"/>
  <c r="B4203" i="106" s="1"/>
  <c r="D4203" i="106" s="1"/>
  <c r="B4202" i="106"/>
  <c r="D4202" i="106" s="1"/>
  <c r="B1109" i="106"/>
  <c r="D1109" i="106" s="1"/>
  <c r="K42" i="29"/>
  <c r="B6916" i="106"/>
  <c r="D6916" i="106" s="1"/>
  <c r="I74" i="29"/>
  <c r="B6977" i="106" s="1"/>
  <c r="D6977" i="106" s="1"/>
  <c r="B1129" i="106"/>
  <c r="D1129" i="106" s="1"/>
  <c r="E29" i="108"/>
  <c r="G29" i="108"/>
  <c r="E74" i="29"/>
  <c r="E114" i="29" s="1"/>
  <c r="B873" i="106" s="1"/>
  <c r="D873" i="106" s="1"/>
  <c r="K310" i="29"/>
  <c r="B2102" i="106" s="1"/>
  <c r="D2102" i="106" s="1"/>
  <c r="B952" i="106"/>
  <c r="D952" i="106" s="1"/>
  <c r="K160" i="29"/>
  <c r="G109" i="5"/>
  <c r="B6024" i="106" s="1"/>
  <c r="D6024" i="106" s="1"/>
  <c r="F48" i="34"/>
  <c r="H312" i="29"/>
  <c r="B1554" i="106" s="1"/>
  <c r="D1554" i="106" s="1"/>
  <c r="K184" i="29"/>
  <c r="F13" i="4" s="1"/>
  <c r="B2596" i="106" s="1"/>
  <c r="D2596" i="106" s="1"/>
  <c r="F123" i="34"/>
  <c r="K257" i="29"/>
  <c r="B1488" i="106" s="1"/>
  <c r="D1488" i="106" s="1"/>
  <c r="E14" i="145"/>
  <c r="G14" i="145" s="1"/>
  <c r="B1124" i="106"/>
  <c r="D1124" i="106" s="1"/>
  <c r="E15" i="145"/>
  <c r="D26" i="108"/>
  <c r="B1126" i="106"/>
  <c r="D1126" i="106" s="1"/>
  <c r="F26" i="108"/>
  <c r="B1139" i="106"/>
  <c r="D1139" i="106" s="1"/>
  <c r="D37" i="108"/>
  <c r="F37" i="108"/>
  <c r="B5918" i="106"/>
  <c r="D5918" i="106" s="1"/>
  <c r="I109" i="5"/>
  <c r="F124" i="34"/>
  <c r="F266" i="5"/>
  <c r="B4397" i="106"/>
  <c r="D4397" i="106" s="1"/>
  <c r="E39" i="108"/>
  <c r="G39" i="108"/>
  <c r="B4411" i="106"/>
  <c r="D4411" i="106" s="1"/>
  <c r="F127" i="34"/>
  <c r="B6902" i="106"/>
  <c r="D6902" i="106" s="1"/>
  <c r="B901" i="106"/>
  <c r="D901" i="106" s="1"/>
  <c r="B1151" i="106"/>
  <c r="D1151" i="106" s="1"/>
  <c r="B1481" i="106"/>
  <c r="D1481" i="106" s="1"/>
  <c r="C151" i="29"/>
  <c r="B1226" i="106" s="1"/>
  <c r="D1226" i="106" s="1"/>
  <c r="B871" i="106"/>
  <c r="D871" i="106" s="1"/>
  <c r="K365" i="29"/>
  <c r="F60" i="34"/>
  <c r="E15" i="4"/>
  <c r="D4" i="4"/>
  <c r="B2564" i="106" s="1"/>
  <c r="D2564" i="106" s="1"/>
  <c r="D151" i="29"/>
  <c r="B1234" i="106" s="1"/>
  <c r="D1234" i="106" s="1"/>
  <c r="B1233" i="106"/>
  <c r="D1233" i="106" s="1"/>
  <c r="N41" i="3"/>
  <c r="B287" i="106"/>
  <c r="D287" i="106" s="1"/>
  <c r="B4997" i="106"/>
  <c r="D4997" i="106" s="1"/>
  <c r="H32" i="118"/>
  <c r="K32" i="118" s="1"/>
  <c r="O31" i="118" s="1"/>
  <c r="O33" i="118" s="1"/>
  <c r="A7260" i="106"/>
  <c r="D7259" i="106"/>
  <c r="F157" i="34" l="1"/>
  <c r="B5304" i="106"/>
  <c r="D5304" i="106" s="1"/>
  <c r="F132" i="34"/>
  <c r="B5599" i="106"/>
  <c r="D5599" i="106" s="1"/>
  <c r="B2081" i="106"/>
  <c r="D2081" i="106" s="1"/>
  <c r="H102" i="29"/>
  <c r="B1047" i="106" s="1"/>
  <c r="D1047" i="106" s="1"/>
  <c r="B7074" i="106"/>
  <c r="D7074" i="106" s="1"/>
  <c r="F67" i="34"/>
  <c r="B1136" i="106"/>
  <c r="D1136" i="106" s="1"/>
  <c r="G35" i="108"/>
  <c r="E35" i="108"/>
  <c r="B3446" i="106"/>
  <c r="D3446" i="106" s="1"/>
  <c r="D16" i="7"/>
  <c r="B3447" i="106" s="1"/>
  <c r="D3447" i="106" s="1"/>
  <c r="H266" i="5"/>
  <c r="B6838" i="106"/>
  <c r="D6838" i="106" s="1"/>
  <c r="F94" i="34"/>
  <c r="B5096" i="106"/>
  <c r="D5096" i="106" s="1"/>
  <c r="B1358" i="106"/>
  <c r="D1358" i="106" s="1"/>
  <c r="F210" i="29"/>
  <c r="B1359" i="106" s="1"/>
  <c r="D1359" i="106" s="1"/>
  <c r="B1752" i="106"/>
  <c r="D1752" i="106" s="1"/>
  <c r="D11" i="7"/>
  <c r="B1768" i="106" s="1"/>
  <c r="D1768" i="106" s="1"/>
  <c r="B4395" i="106"/>
  <c r="D4395" i="106" s="1"/>
  <c r="C266" i="5"/>
  <c r="E30" i="108"/>
  <c r="G30" i="108"/>
  <c r="B1130" i="106"/>
  <c r="D1130" i="106" s="1"/>
  <c r="B5165" i="106"/>
  <c r="D5165" i="106" s="1"/>
  <c r="F107" i="34"/>
  <c r="B1745" i="106"/>
  <c r="D1745" i="106" s="1"/>
  <c r="D5" i="7"/>
  <c r="B1761" i="106" s="1"/>
  <c r="D1761" i="106" s="1"/>
  <c r="B1137" i="106"/>
  <c r="D1137" i="106" s="1"/>
  <c r="F36" i="108"/>
  <c r="D36" i="108"/>
  <c r="J352" i="29"/>
  <c r="B7231" i="106"/>
  <c r="D7231" i="106" s="1"/>
  <c r="B5178" i="106"/>
  <c r="D5178" i="106" s="1"/>
  <c r="F111" i="34"/>
  <c r="D210" i="29"/>
  <c r="B1346" i="106" s="1"/>
  <c r="D1346" i="106" s="1"/>
  <c r="B1345" i="106"/>
  <c r="D1345" i="106" s="1"/>
  <c r="B2973" i="106"/>
  <c r="D2973" i="106" s="1"/>
  <c r="K84" i="29"/>
  <c r="B2088" i="106" s="1"/>
  <c r="D2088" i="106" s="1"/>
  <c r="D266" i="5"/>
  <c r="B4396" i="106"/>
  <c r="D4396" i="106" s="1"/>
  <c r="F64" i="34"/>
  <c r="B4211" i="106"/>
  <c r="D4211" i="106" s="1"/>
  <c r="B7786" i="106"/>
  <c r="D7786" i="106" s="1"/>
  <c r="K334" i="29"/>
  <c r="L367" i="29"/>
  <c r="B5125" i="106"/>
  <c r="D5125" i="106" s="1"/>
  <c r="C5" i="4"/>
  <c r="B3405" i="106" s="1"/>
  <c r="D3405" i="106" s="1"/>
  <c r="B1308" i="106"/>
  <c r="D1308" i="106" s="1"/>
  <c r="E174" i="29"/>
  <c r="B1309" i="106" s="1"/>
  <c r="D1309" i="106" s="1"/>
  <c r="J210" i="29"/>
  <c r="B7072" i="106" s="1"/>
  <c r="D7072" i="106" s="1"/>
  <c r="B7064" i="106"/>
  <c r="D7064" i="106" s="1"/>
  <c r="B5987" i="106"/>
  <c r="D5987" i="106" s="1"/>
  <c r="K109" i="5"/>
  <c r="B1128" i="106"/>
  <c r="D1128" i="106" s="1"/>
  <c r="F28" i="108"/>
  <c r="E28" i="108"/>
  <c r="B1142" i="106"/>
  <c r="D1142" i="106" s="1"/>
  <c r="G38" i="108"/>
  <c r="E38" i="108"/>
  <c r="D74" i="29"/>
  <c r="G266" i="5"/>
  <c r="K47" i="29"/>
  <c r="G33" i="108"/>
  <c r="B1134" i="106"/>
  <c r="D1134" i="106" s="1"/>
  <c r="E17" i="145"/>
  <c r="G17" i="145" s="1"/>
  <c r="E33" i="108"/>
  <c r="K72" i="29"/>
  <c r="B1141" i="106" s="1"/>
  <c r="D1141" i="106" s="1"/>
  <c r="F68" i="34"/>
  <c r="B7076" i="106"/>
  <c r="D7076" i="106" s="1"/>
  <c r="B4373" i="106"/>
  <c r="D4373" i="106" s="1"/>
  <c r="I267" i="5"/>
  <c r="I268" i="5" s="1"/>
  <c r="B5946" i="106" s="1"/>
  <c r="D5946" i="106" s="1"/>
  <c r="B5752" i="106"/>
  <c r="D5752" i="106" s="1"/>
  <c r="G169" i="5"/>
  <c r="B1501" i="106"/>
  <c r="D1501" i="106" s="1"/>
  <c r="K277" i="29"/>
  <c r="B1508" i="106" s="1"/>
  <c r="D1508" i="106" s="1"/>
  <c r="B6897" i="106"/>
  <c r="D6897" i="106" s="1"/>
  <c r="F49" i="34"/>
  <c r="F61" i="34"/>
  <c r="B1329" i="106"/>
  <c r="D1329" i="106" s="1"/>
  <c r="B1749" i="106"/>
  <c r="D1749" i="106" s="1"/>
  <c r="D10" i="7"/>
  <c r="B1765" i="106" s="1"/>
  <c r="D1765" i="106" s="1"/>
  <c r="J342" i="29"/>
  <c r="B7223" i="106" s="1"/>
  <c r="D7223" i="106" s="1"/>
  <c r="B7206" i="106"/>
  <c r="D7206" i="106" s="1"/>
  <c r="E26" i="108"/>
  <c r="F15" i="145"/>
  <c r="F19" i="145" s="1"/>
  <c r="G26" i="108"/>
  <c r="B1274" i="106"/>
  <c r="D1274" i="106" s="1"/>
  <c r="F105" i="34"/>
  <c r="B5147" i="106"/>
  <c r="D5147" i="106" s="1"/>
  <c r="C169" i="5"/>
  <c r="B5246" i="106"/>
  <c r="D5246" i="106" s="1"/>
  <c r="F125" i="34"/>
  <c r="B7078" i="106"/>
  <c r="D7078" i="106" s="1"/>
  <c r="F69" i="34"/>
  <c r="B1247" i="106"/>
  <c r="D1247" i="106" s="1"/>
  <c r="F129" i="29"/>
  <c r="I129" i="29"/>
  <c r="B7033" i="106"/>
  <c r="D7033" i="106" s="1"/>
  <c r="B5741" i="106"/>
  <c r="D5741" i="106" s="1"/>
  <c r="G5" i="4"/>
  <c r="B3409" i="106" s="1"/>
  <c r="D3409" i="106" s="1"/>
  <c r="F169" i="5"/>
  <c r="B5644" i="106" s="1"/>
  <c r="D5644" i="106" s="1"/>
  <c r="B5614" i="106"/>
  <c r="D5614" i="106" s="1"/>
  <c r="K330" i="29"/>
  <c r="K342" i="29" s="1"/>
  <c r="K137" i="29"/>
  <c r="B2805" i="106"/>
  <c r="D2805" i="106" s="1"/>
  <c r="D14" i="4"/>
  <c r="B2570" i="106" s="1"/>
  <c r="D2570" i="106" s="1"/>
  <c r="F56" i="34"/>
  <c r="K57" i="29"/>
  <c r="B7792" i="106"/>
  <c r="D7792" i="106" s="1"/>
  <c r="B3673" i="106"/>
  <c r="D3673" i="106" s="1"/>
  <c r="K357" i="29"/>
  <c r="K15" i="4" s="1"/>
  <c r="B3573" i="106" s="1"/>
  <c r="D3573" i="106" s="1"/>
  <c r="B3633" i="106"/>
  <c r="D3633" i="106" s="1"/>
  <c r="E352" i="29"/>
  <c r="E367" i="29" s="1"/>
  <c r="B3636" i="106" s="1"/>
  <c r="D3636" i="106" s="1"/>
  <c r="H149" i="29"/>
  <c r="B1272" i="106" s="1"/>
  <c r="D1272" i="106" s="1"/>
  <c r="B7047" i="106"/>
  <c r="D7047" i="106" s="1"/>
  <c r="D27" i="108"/>
  <c r="D41" i="108" s="1"/>
  <c r="E43" i="108" s="1"/>
  <c r="F27" i="108"/>
  <c r="B1127" i="106"/>
  <c r="D1127" i="106" s="1"/>
  <c r="B3725" i="106"/>
  <c r="D3725" i="106" s="1"/>
  <c r="D13" i="7"/>
  <c r="B3726" i="106" s="1"/>
  <c r="D3726" i="106" s="1"/>
  <c r="B1746" i="106"/>
  <c r="D1746" i="106" s="1"/>
  <c r="D6" i="7"/>
  <c r="B1762" i="106" s="1"/>
  <c r="D1762" i="106" s="1"/>
  <c r="B1547" i="106"/>
  <c r="D1547" i="106" s="1"/>
  <c r="G312" i="29"/>
  <c r="B1548" i="106" s="1"/>
  <c r="D1548" i="106" s="1"/>
  <c r="E13" i="145"/>
  <c r="G13" i="145" s="1"/>
  <c r="B2724" i="106"/>
  <c r="D2724" i="106" s="1"/>
  <c r="E196" i="29"/>
  <c r="B1352" i="106" s="1"/>
  <c r="D1352" i="106" s="1"/>
  <c r="B2823" i="106"/>
  <c r="D2823" i="106" s="1"/>
  <c r="B5360" i="106"/>
  <c r="D5360" i="106" s="1"/>
  <c r="D5" i="4"/>
  <c r="B3406" i="106" s="1"/>
  <c r="D3406" i="106" s="1"/>
  <c r="B6006" i="106"/>
  <c r="D6006" i="106" s="1"/>
  <c r="K170" i="5"/>
  <c r="D18" i="7"/>
  <c r="B4105" i="106" s="1"/>
  <c r="D4105" i="106" s="1"/>
  <c r="B4103" i="106"/>
  <c r="D4103" i="106" s="1"/>
  <c r="B3619" i="106"/>
  <c r="D3619" i="106" s="1"/>
  <c r="C352" i="29"/>
  <c r="B1535" i="106"/>
  <c r="D1535" i="106" s="1"/>
  <c r="E312" i="29"/>
  <c r="B1536" i="106" s="1"/>
  <c r="D1536" i="106" s="1"/>
  <c r="E342" i="29"/>
  <c r="B7218" i="106" s="1"/>
  <c r="D7218" i="106" s="1"/>
  <c r="B7201" i="106"/>
  <c r="D7201" i="106" s="1"/>
  <c r="K204" i="29"/>
  <c r="B4157" i="106" s="1"/>
  <c r="D4157" i="106" s="1"/>
  <c r="C312" i="29"/>
  <c r="B1524" i="106" s="1"/>
  <c r="D1524" i="106" s="1"/>
  <c r="B1523" i="106"/>
  <c r="D1523" i="106" s="1"/>
  <c r="B6893" i="106"/>
  <c r="D6893" i="106" s="1"/>
  <c r="F47" i="34"/>
  <c r="G352" i="29"/>
  <c r="B3647" i="106"/>
  <c r="D3647" i="106" s="1"/>
  <c r="B1135" i="106"/>
  <c r="D1135" i="106" s="1"/>
  <c r="G34" i="108"/>
  <c r="E34" i="108"/>
  <c r="B7203" i="106"/>
  <c r="D7203" i="106" s="1"/>
  <c r="G342" i="29"/>
  <c r="B7220" i="106" s="1"/>
  <c r="D7220" i="106" s="1"/>
  <c r="B5161" i="106"/>
  <c r="D5161" i="106" s="1"/>
  <c r="F106" i="34"/>
  <c r="B5592" i="106"/>
  <c r="D5592" i="106" s="1"/>
  <c r="F5" i="4"/>
  <c r="B3408" i="106" s="1"/>
  <c r="D3408" i="106" s="1"/>
  <c r="B6848" i="106"/>
  <c r="D6848" i="106" s="1"/>
  <c r="F34" i="34"/>
  <c r="F40" i="34"/>
  <c r="B6879" i="106"/>
  <c r="D6879" i="106" s="1"/>
  <c r="B6901" i="106"/>
  <c r="D6901" i="106" s="1"/>
  <c r="F51" i="34"/>
  <c r="B6839" i="106"/>
  <c r="D6839" i="106" s="1"/>
  <c r="J266" i="5"/>
  <c r="B5102" i="106"/>
  <c r="D5102" i="106" s="1"/>
  <c r="F95" i="34"/>
  <c r="B1339" i="106"/>
  <c r="D1339" i="106" s="1"/>
  <c r="C210" i="29"/>
  <c r="B1340" i="106" s="1"/>
  <c r="D1340" i="106" s="1"/>
  <c r="F31" i="108"/>
  <c r="E16" i="145"/>
  <c r="G16" i="145" s="1"/>
  <c r="B1131" i="106"/>
  <c r="D1131" i="106" s="1"/>
  <c r="D31" i="108"/>
  <c r="B5557" i="106"/>
  <c r="D5557" i="106" s="1"/>
  <c r="F109" i="5"/>
  <c r="B6883" i="106"/>
  <c r="D6883" i="106" s="1"/>
  <c r="F42" i="34"/>
  <c r="D342" i="29"/>
  <c r="B7217" i="106" s="1"/>
  <c r="D7217" i="106" s="1"/>
  <c r="B7200" i="106"/>
  <c r="D7200" i="106" s="1"/>
  <c r="L210" i="29"/>
  <c r="B5066" i="106"/>
  <c r="D5066" i="106" s="1"/>
  <c r="C109" i="5"/>
  <c r="F44" i="34"/>
  <c r="B6887" i="106"/>
  <c r="D6887" i="106" s="1"/>
  <c r="B3668" i="106"/>
  <c r="D3668" i="106" s="1"/>
  <c r="K350" i="29"/>
  <c r="B1144" i="106"/>
  <c r="D1144" i="106" s="1"/>
  <c r="F52" i="34"/>
  <c r="C14" i="4"/>
  <c r="B2558" i="106" s="1"/>
  <c r="D2558" i="106" s="1"/>
  <c r="I352" i="29"/>
  <c r="B7230" i="106"/>
  <c r="D7230" i="106" s="1"/>
  <c r="B6891" i="106"/>
  <c r="D6891" i="106" s="1"/>
  <c r="F46" i="34"/>
  <c r="C12" i="4"/>
  <c r="B2556" i="106" s="1"/>
  <c r="D2556" i="106" s="1"/>
  <c r="F74" i="29"/>
  <c r="B929" i="106" s="1"/>
  <c r="D929" i="106" s="1"/>
  <c r="H109" i="5"/>
  <c r="B6025" i="106" s="1"/>
  <c r="D6025" i="106" s="1"/>
  <c r="H74" i="29"/>
  <c r="B6835" i="106"/>
  <c r="D6835" i="106" s="1"/>
  <c r="E266" i="5"/>
  <c r="B5260" i="106"/>
  <c r="D5260" i="106" s="1"/>
  <c r="F126" i="34"/>
  <c r="B1104" i="106"/>
  <c r="D1104" i="106" s="1"/>
  <c r="F37" i="34"/>
  <c r="D312" i="29"/>
  <c r="B1530" i="106" s="1"/>
  <c r="D1530" i="106" s="1"/>
  <c r="B1529" i="106"/>
  <c r="D1529" i="106" s="1"/>
  <c r="B7204" i="106"/>
  <c r="D7204" i="106" s="1"/>
  <c r="H342" i="29"/>
  <c r="B7221" i="106" s="1"/>
  <c r="D7221" i="106" s="1"/>
  <c r="B1484" i="106"/>
  <c r="D1484" i="106" s="1"/>
  <c r="K243" i="29"/>
  <c r="B1485" i="106" s="1"/>
  <c r="D1485" i="106" s="1"/>
  <c r="B1747" i="106"/>
  <c r="D1747" i="106" s="1"/>
  <c r="D7" i="7"/>
  <c r="B1763" i="106" s="1"/>
  <c r="D1763" i="106" s="1"/>
  <c r="B3654" i="106"/>
  <c r="D3654" i="106" s="1"/>
  <c r="H352" i="29"/>
  <c r="B1264" i="106"/>
  <c r="D1264" i="106" s="1"/>
  <c r="H129" i="29"/>
  <c r="B4102" i="106"/>
  <c r="D4102" i="106" s="1"/>
  <c r="D17" i="7"/>
  <c r="B4104" i="106" s="1"/>
  <c r="D4104" i="106" s="1"/>
  <c r="B1324" i="106"/>
  <c r="D1324" i="106" s="1"/>
  <c r="K168" i="29"/>
  <c r="K92" i="29"/>
  <c r="B2089" i="106" s="1"/>
  <c r="D2089" i="106" s="1"/>
  <c r="B6995" i="106"/>
  <c r="D6995" i="106" s="1"/>
  <c r="B3640" i="106"/>
  <c r="D3640" i="106" s="1"/>
  <c r="F352" i="29"/>
  <c r="E19" i="108"/>
  <c r="B7063" i="106"/>
  <c r="D7063" i="106" s="1"/>
  <c r="I210" i="29"/>
  <c r="B7205" i="106"/>
  <c r="D7205" i="106" s="1"/>
  <c r="I342" i="29"/>
  <c r="B7222" i="106" s="1"/>
  <c r="D7222" i="106" s="1"/>
  <c r="B1511" i="106"/>
  <c r="D1511" i="106" s="1"/>
  <c r="F72" i="34"/>
  <c r="G14" i="4"/>
  <c r="B2609" i="106" s="1"/>
  <c r="D2609" i="106" s="1"/>
  <c r="B1754" i="106"/>
  <c r="D1754" i="106" s="1"/>
  <c r="D14" i="7"/>
  <c r="B1770" i="106" s="1"/>
  <c r="D1770" i="106" s="1"/>
  <c r="B3626" i="106"/>
  <c r="D3626" i="106" s="1"/>
  <c r="D352" i="29"/>
  <c r="B1314" i="106"/>
  <c r="D1314" i="106" s="1"/>
  <c r="H172" i="29"/>
  <c r="B1364" i="106"/>
  <c r="D1364" i="106" s="1"/>
  <c r="G210" i="29"/>
  <c r="B3658" i="106"/>
  <c r="D3658" i="106" s="1"/>
  <c r="H365" i="29"/>
  <c r="B7242" i="106" s="1"/>
  <c r="D7242" i="106" s="1"/>
  <c r="B1108" i="106"/>
  <c r="D1108" i="106" s="1"/>
  <c r="B1470" i="106"/>
  <c r="D1470" i="106" s="1"/>
  <c r="F70" i="34"/>
  <c r="E129" i="29"/>
  <c r="B1239" i="106"/>
  <c r="D1239" i="106" s="1"/>
  <c r="B7199" i="106"/>
  <c r="D7199" i="106" s="1"/>
  <c r="C342" i="29"/>
  <c r="B7216" i="106" s="1"/>
  <c r="D7216" i="106" s="1"/>
  <c r="B4156" i="106"/>
  <c r="D4156" i="106" s="1"/>
  <c r="H208" i="29"/>
  <c r="B1375" i="106" s="1"/>
  <c r="D1375" i="106" s="1"/>
  <c r="B1120" i="106"/>
  <c r="D1120" i="106" s="1"/>
  <c r="K53" i="29"/>
  <c r="E12" i="145"/>
  <c r="G12" i="145" s="1"/>
  <c r="B1121" i="106"/>
  <c r="D1121" i="106" s="1"/>
  <c r="B1490" i="106"/>
  <c r="D1490" i="106" s="1"/>
  <c r="K261" i="29"/>
  <c r="B1491" i="106" s="1"/>
  <c r="D1491" i="106" s="1"/>
  <c r="H196" i="29"/>
  <c r="B2828" i="106"/>
  <c r="D2828" i="106" s="1"/>
  <c r="B6889" i="106"/>
  <c r="D6889" i="106" s="1"/>
  <c r="F45" i="34"/>
  <c r="B6853" i="106"/>
  <c r="D6853" i="106" s="1"/>
  <c r="F35" i="34"/>
  <c r="B6877" i="106"/>
  <c r="D6877" i="106" s="1"/>
  <c r="F39" i="34"/>
  <c r="B6301" i="106"/>
  <c r="D6301" i="106" s="1"/>
  <c r="J109" i="5"/>
  <c r="B1256" i="106"/>
  <c r="D1256" i="106" s="1"/>
  <c r="G129" i="29"/>
  <c r="B1381" i="106"/>
  <c r="D1381" i="106" s="1"/>
  <c r="H4" i="4"/>
  <c r="B2655" i="106" s="1"/>
  <c r="D2655" i="106" s="1"/>
  <c r="B7215" i="106"/>
  <c r="D7215" i="106" s="1"/>
  <c r="B1279" i="106"/>
  <c r="D1279" i="106" s="1"/>
  <c r="K208" i="29"/>
  <c r="B1446" i="106"/>
  <c r="D1446" i="106" s="1"/>
  <c r="B7048" i="106"/>
  <c r="D7048" i="106" s="1"/>
  <c r="H6" i="4"/>
  <c r="B2656" i="106" s="1"/>
  <c r="D2656" i="106" s="1"/>
  <c r="G16" i="4"/>
  <c r="B2611" i="106" s="1"/>
  <c r="D2611" i="106" s="1"/>
  <c r="J114" i="29"/>
  <c r="B7021" i="106" s="1"/>
  <c r="D7021" i="106" s="1"/>
  <c r="B5544" i="106"/>
  <c r="D5544" i="106" s="1"/>
  <c r="G4" i="4"/>
  <c r="B2603" i="106" s="1"/>
  <c r="D2603" i="106" s="1"/>
  <c r="G114" i="29"/>
  <c r="F54" i="34" s="1"/>
  <c r="K312" i="29"/>
  <c r="B1560" i="106" s="1"/>
  <c r="D1560" i="106" s="1"/>
  <c r="H15" i="4"/>
  <c r="B2660" i="106" s="1"/>
  <c r="D2660" i="106" s="1"/>
  <c r="B5527" i="106"/>
  <c r="D5527" i="106" s="1"/>
  <c r="K267" i="5"/>
  <c r="K268" i="5" s="1"/>
  <c r="B6023" i="106" s="1"/>
  <c r="D6023" i="106" s="1"/>
  <c r="I114" i="29"/>
  <c r="B5713" i="106"/>
  <c r="D5713" i="106" s="1"/>
  <c r="F267" i="5"/>
  <c r="B2837" i="106"/>
  <c r="D2837" i="106" s="1"/>
  <c r="K196" i="29"/>
  <c r="K102" i="29"/>
  <c r="C15" i="4" s="1"/>
  <c r="B2559" i="106" s="1"/>
  <c r="D2559" i="106" s="1"/>
  <c r="B755" i="106"/>
  <c r="D755" i="106" s="1"/>
  <c r="C114" i="29"/>
  <c r="B757" i="106" s="1"/>
  <c r="D757" i="106" s="1"/>
  <c r="D170" i="5"/>
  <c r="B5412" i="106"/>
  <c r="D5412" i="106" s="1"/>
  <c r="B6026" i="106"/>
  <c r="D6026" i="106" s="1"/>
  <c r="I4" i="4"/>
  <c r="B3225" i="106" s="1"/>
  <c r="D3225" i="106" s="1"/>
  <c r="B7038" i="106"/>
  <c r="D7038" i="106" s="1"/>
  <c r="J151" i="29"/>
  <c r="B7052" i="106" s="1"/>
  <c r="D7052" i="106" s="1"/>
  <c r="J13" i="4"/>
  <c r="B7042" i="106" s="1"/>
  <c r="D7042" i="106" s="1"/>
  <c r="B7207" i="106"/>
  <c r="D7207" i="106" s="1"/>
  <c r="B1559" i="106"/>
  <c r="D1559" i="106" s="1"/>
  <c r="H13" i="4"/>
  <c r="B2659" i="106" s="1"/>
  <c r="D2659" i="106" s="1"/>
  <c r="B1474" i="106"/>
  <c r="D1474" i="106" s="1"/>
  <c r="G12" i="4"/>
  <c r="B2607" i="106" s="1"/>
  <c r="D2607" i="106" s="1"/>
  <c r="B6397" i="106"/>
  <c r="D6397" i="106" s="1"/>
  <c r="J6" i="4"/>
  <c r="B6221" i="106" s="1"/>
  <c r="D6221" i="106" s="1"/>
  <c r="B4216" i="106"/>
  <c r="D4216" i="106" s="1"/>
  <c r="I6" i="4"/>
  <c r="B5011" i="106" s="1"/>
  <c r="D5011" i="106" s="1"/>
  <c r="E21" i="108"/>
  <c r="B1115" i="106"/>
  <c r="D1115" i="106" s="1"/>
  <c r="G21" i="108"/>
  <c r="B3724" i="106"/>
  <c r="D3724" i="106" s="1"/>
  <c r="F73" i="34"/>
  <c r="G15" i="4"/>
  <c r="B6032" i="106" s="1"/>
  <c r="D6032" i="106" s="1"/>
  <c r="D13" i="4"/>
  <c r="B1281" i="106"/>
  <c r="D1281" i="106" s="1"/>
  <c r="B2633" i="106"/>
  <c r="D2633" i="106" s="1"/>
  <c r="B7243" i="106"/>
  <c r="D7243" i="106" s="1"/>
  <c r="K16" i="4"/>
  <c r="B3574" i="106" s="1"/>
  <c r="D3574" i="106" s="1"/>
  <c r="B7019" i="106"/>
  <c r="D7019" i="106" s="1"/>
  <c r="C16" i="4"/>
  <c r="B2560" i="106" s="1"/>
  <c r="D2560" i="106" s="1"/>
  <c r="B1287" i="106"/>
  <c r="D1287" i="106" s="1"/>
  <c r="D16" i="4"/>
  <c r="B2572" i="106" s="1"/>
  <c r="D2572" i="106" s="1"/>
  <c r="B1387" i="106"/>
  <c r="D1387" i="106" s="1"/>
  <c r="F16" i="4"/>
  <c r="A7261" i="106"/>
  <c r="D7260" i="106"/>
  <c r="B288" i="106"/>
  <c r="D288" i="106" s="1"/>
  <c r="D55" i="36"/>
  <c r="G15" i="145" l="1"/>
  <c r="G19" i="145"/>
  <c r="J20" i="145" s="1"/>
  <c r="F170" i="5"/>
  <c r="F41" i="108"/>
  <c r="G43" i="108" s="1"/>
  <c r="E19" i="145"/>
  <c r="F174" i="34"/>
  <c r="K279" i="29"/>
  <c r="G13" i="4" s="1"/>
  <c r="K210" i="29"/>
  <c r="K74" i="29"/>
  <c r="F114" i="29"/>
  <c r="B931" i="106" s="1"/>
  <c r="D931" i="106" s="1"/>
  <c r="D19" i="7"/>
  <c r="B1775" i="106" s="1"/>
  <c r="D1775" i="106" s="1"/>
  <c r="F13" i="34"/>
  <c r="B7224" i="106"/>
  <c r="D7224" i="106" s="1"/>
  <c r="C13" i="4"/>
  <c r="C17" i="4" s="1"/>
  <c r="B1143" i="106"/>
  <c r="D1143" i="106" s="1"/>
  <c r="B1510" i="106"/>
  <c r="D1510" i="106" s="1"/>
  <c r="B3628" i="106"/>
  <c r="D3628" i="106" s="1"/>
  <c r="D367" i="29"/>
  <c r="B3629" i="106" s="1"/>
  <c r="D3629" i="106" s="1"/>
  <c r="K172" i="29"/>
  <c r="B1328" i="106"/>
  <c r="D1328" i="106" s="1"/>
  <c r="J267" i="5"/>
  <c r="B7041" i="106"/>
  <c r="D7041" i="106" s="1"/>
  <c r="K6" i="4"/>
  <c r="B3570" i="106" s="1"/>
  <c r="D3570" i="106" s="1"/>
  <c r="B6014" i="106"/>
  <c r="D6014" i="106" s="1"/>
  <c r="G24" i="108"/>
  <c r="E24" i="108"/>
  <c r="B1125" i="106"/>
  <c r="D1125" i="106" s="1"/>
  <c r="B6028" i="106"/>
  <c r="D6028" i="106" s="1"/>
  <c r="K4" i="4"/>
  <c r="B3569" i="106" s="1"/>
  <c r="D3569" i="106" s="1"/>
  <c r="J4" i="4"/>
  <c r="B6220" i="106" s="1"/>
  <c r="D6220" i="106" s="1"/>
  <c r="B6352" i="106"/>
  <c r="D6352" i="106" s="1"/>
  <c r="F66" i="34"/>
  <c r="B7071" i="106"/>
  <c r="D7071" i="106" s="1"/>
  <c r="D114" i="29"/>
  <c r="B815" i="106" s="1"/>
  <c r="D815" i="106" s="1"/>
  <c r="B813" i="106"/>
  <c r="D813" i="106" s="1"/>
  <c r="J15" i="4"/>
  <c r="B7796" i="106" s="1"/>
  <c r="D7796" i="106" s="1"/>
  <c r="F74" i="34"/>
  <c r="B7790" i="106"/>
  <c r="D7790" i="106" s="1"/>
  <c r="B5320" i="106"/>
  <c r="D5320" i="106" s="1"/>
  <c r="C267" i="5"/>
  <c r="B2830" i="106"/>
  <c r="D2830" i="106" s="1"/>
  <c r="H210" i="29"/>
  <c r="B1376" i="106" s="1"/>
  <c r="D1376" i="106" s="1"/>
  <c r="B3649" i="106"/>
  <c r="D3649" i="106" s="1"/>
  <c r="G367" i="29"/>
  <c r="B3650" i="106" s="1"/>
  <c r="D3650" i="106" s="1"/>
  <c r="B5214" i="106"/>
  <c r="D5214" i="106" s="1"/>
  <c r="C170" i="5"/>
  <c r="B4441" i="106"/>
  <c r="D4441" i="106" s="1"/>
  <c r="H267" i="5"/>
  <c r="E210" i="29"/>
  <c r="B1353" i="106" s="1"/>
  <c r="D1353" i="106" s="1"/>
  <c r="K352" i="29"/>
  <c r="B3670" i="106"/>
  <c r="D3670" i="106" s="1"/>
  <c r="B7037" i="106"/>
  <c r="D7037" i="106" s="1"/>
  <c r="I151" i="29"/>
  <c r="G170" i="5"/>
  <c r="B5770" i="106"/>
  <c r="D5770" i="106" s="1"/>
  <c r="F65" i="34"/>
  <c r="B1365" i="106"/>
  <c r="D1365" i="106" s="1"/>
  <c r="F367" i="29"/>
  <c r="B3643" i="106" s="1"/>
  <c r="D3643" i="106" s="1"/>
  <c r="B3642" i="106"/>
  <c r="D3642" i="106" s="1"/>
  <c r="B1266" i="106"/>
  <c r="D1266" i="106" s="1"/>
  <c r="H151" i="29"/>
  <c r="B1273" i="106" s="1"/>
  <c r="D1273" i="106" s="1"/>
  <c r="B7747" i="106"/>
  <c r="D7747" i="106" s="1"/>
  <c r="E267" i="5"/>
  <c r="C367" i="29"/>
  <c r="B3622" i="106" s="1"/>
  <c r="D3622" i="106" s="1"/>
  <c r="B3621" i="106"/>
  <c r="D3621" i="106" s="1"/>
  <c r="K139" i="29"/>
  <c r="B2093" i="106"/>
  <c r="D2093" i="106" s="1"/>
  <c r="B1249" i="106"/>
  <c r="D1249" i="106" s="1"/>
  <c r="F151" i="29"/>
  <c r="B1250" i="106" s="1"/>
  <c r="D1250" i="106" s="1"/>
  <c r="F6" i="4"/>
  <c r="B2593" i="106" s="1"/>
  <c r="D2593" i="106" s="1"/>
  <c r="B5653" i="106"/>
  <c r="D5653" i="106" s="1"/>
  <c r="B4435" i="106"/>
  <c r="D4435" i="106" s="1"/>
  <c r="I7" i="4"/>
  <c r="B4444" i="106" s="1"/>
  <c r="D4444" i="106" s="1"/>
  <c r="K295" i="29"/>
  <c r="E151" i="29"/>
  <c r="B1242" i="106" s="1"/>
  <c r="D1242" i="106" s="1"/>
  <c r="B1241" i="106"/>
  <c r="D1241" i="106" s="1"/>
  <c r="H174" i="29"/>
  <c r="B1318" i="106" s="1"/>
  <c r="D1318" i="106" s="1"/>
  <c r="B1317" i="106"/>
  <c r="D1317" i="106" s="1"/>
  <c r="B3656" i="106"/>
  <c r="D3656" i="106" s="1"/>
  <c r="H367" i="29"/>
  <c r="B3660" i="106" s="1"/>
  <c r="D3660" i="106" s="1"/>
  <c r="B1045" i="106"/>
  <c r="D1045" i="106" s="1"/>
  <c r="H114" i="29"/>
  <c r="B1054" i="106" s="1"/>
  <c r="D1054" i="106" s="1"/>
  <c r="F4" i="4"/>
  <c r="B2591" i="106" s="1"/>
  <c r="D2591" i="106" s="1"/>
  <c r="B5588" i="106"/>
  <c r="D5588" i="106" s="1"/>
  <c r="G22" i="108"/>
  <c r="E22" i="108"/>
  <c r="B1119" i="106"/>
  <c r="D1119" i="106" s="1"/>
  <c r="B5501" i="106"/>
  <c r="D5501" i="106" s="1"/>
  <c r="D267" i="5"/>
  <c r="D268" i="5" s="1"/>
  <c r="J367" i="29"/>
  <c r="B7245" i="106" s="1"/>
  <c r="D7245" i="106" s="1"/>
  <c r="B7235" i="106"/>
  <c r="D7235" i="106" s="1"/>
  <c r="B1258" i="106"/>
  <c r="D1258" i="106" s="1"/>
  <c r="G151" i="29"/>
  <c r="E23" i="108"/>
  <c r="B1122" i="106"/>
  <c r="D1122" i="106" s="1"/>
  <c r="G23" i="108"/>
  <c r="B7234" i="106"/>
  <c r="D7234" i="106" s="1"/>
  <c r="I367" i="29"/>
  <c r="B7244" i="106" s="1"/>
  <c r="D7244" i="106" s="1"/>
  <c r="B5121" i="106"/>
  <c r="D5121" i="106" s="1"/>
  <c r="C4" i="4"/>
  <c r="B2551" i="106" s="1"/>
  <c r="D2551" i="106" s="1"/>
  <c r="B5863" i="106"/>
  <c r="D5863" i="106" s="1"/>
  <c r="G267" i="5"/>
  <c r="B989" i="106"/>
  <c r="D989" i="106" s="1"/>
  <c r="B7020" i="106"/>
  <c r="D7020" i="106" s="1"/>
  <c r="K114" i="29"/>
  <c r="B6022" i="106"/>
  <c r="D6022" i="106" s="1"/>
  <c r="F55" i="34"/>
  <c r="B1145" i="106"/>
  <c r="D1145" i="106" s="1"/>
  <c r="F53" i="34"/>
  <c r="K7" i="4"/>
  <c r="B3718" i="106" s="1"/>
  <c r="D3718" i="106" s="1"/>
  <c r="H17" i="4"/>
  <c r="H19" i="4" s="1"/>
  <c r="B4141" i="106" s="1"/>
  <c r="D4141" i="106" s="1"/>
  <c r="F15" i="4"/>
  <c r="B2598" i="106" s="1"/>
  <c r="D2598" i="106" s="1"/>
  <c r="B1382" i="106"/>
  <c r="D1382" i="106" s="1"/>
  <c r="F63" i="34"/>
  <c r="F7" i="4"/>
  <c r="B5719" i="106"/>
  <c r="D5719" i="106" s="1"/>
  <c r="F268" i="5"/>
  <c r="B5720" i="106" s="1"/>
  <c r="D5720" i="106" s="1"/>
  <c r="D6" i="4"/>
  <c r="B2566" i="106" s="1"/>
  <c r="D2566" i="106" s="1"/>
  <c r="B5421" i="106"/>
  <c r="D5421" i="106" s="1"/>
  <c r="B2557" i="106"/>
  <c r="D2557" i="106" s="1"/>
  <c r="G17" i="4"/>
  <c r="B2608" i="106"/>
  <c r="D2608" i="106" s="1"/>
  <c r="B2599" i="106"/>
  <c r="D2599" i="106" s="1"/>
  <c r="F11" i="34"/>
  <c r="B1388" i="106"/>
  <c r="D1388" i="106" s="1"/>
  <c r="B2569" i="106"/>
  <c r="D2569" i="106" s="1"/>
  <c r="F12" i="34"/>
  <c r="B1517" i="106"/>
  <c r="D1517" i="106" s="1"/>
  <c r="A7262" i="106"/>
  <c r="D7261" i="106"/>
  <c r="I8" i="4" l="1"/>
  <c r="B3226" i="106" s="1"/>
  <c r="D3226" i="106" s="1"/>
  <c r="G41" i="108"/>
  <c r="G44" i="108" s="1"/>
  <c r="G45" i="108" s="1"/>
  <c r="E41" i="108"/>
  <c r="E44" i="108" s="1"/>
  <c r="E45" i="108" s="1"/>
  <c r="I10" i="4"/>
  <c r="B4128" i="106" s="1"/>
  <c r="D4128" i="106" s="1"/>
  <c r="I20" i="4"/>
  <c r="I78" i="4" s="1"/>
  <c r="J17" i="4"/>
  <c r="B5508" i="106"/>
  <c r="D5508" i="106" s="1"/>
  <c r="G7" i="4"/>
  <c r="B2605" i="106" s="1"/>
  <c r="D2605" i="106" s="1"/>
  <c r="B5869" i="106"/>
  <c r="D5869" i="106" s="1"/>
  <c r="F58" i="34"/>
  <c r="B1259" i="106"/>
  <c r="D1259" i="106" s="1"/>
  <c r="B4434" i="106"/>
  <c r="D4434" i="106" s="1"/>
  <c r="E268" i="5"/>
  <c r="E7" i="4"/>
  <c r="H268" i="5"/>
  <c r="H7" i="4"/>
  <c r="B5914" i="106"/>
  <c r="D5914" i="106" s="1"/>
  <c r="B5778" i="106"/>
  <c r="D5778" i="106" s="1"/>
  <c r="G268" i="5"/>
  <c r="G6" i="4"/>
  <c r="B5326" i="106"/>
  <c r="D5326" i="106" s="1"/>
  <c r="C7" i="4"/>
  <c r="B2554" i="106" s="1"/>
  <c r="D2554" i="106" s="1"/>
  <c r="B7051" i="106"/>
  <c r="D7051" i="106" s="1"/>
  <c r="F59" i="34"/>
  <c r="B5223" i="106"/>
  <c r="D5223" i="106" s="1"/>
  <c r="C6" i="4"/>
  <c r="C268" i="5"/>
  <c r="B5327" i="106" s="1"/>
  <c r="D5327" i="106" s="1"/>
  <c r="F17" i="11"/>
  <c r="D7" i="4"/>
  <c r="B2567" i="106" s="1"/>
  <c r="D2567" i="106" s="1"/>
  <c r="B5507" i="106"/>
  <c r="D5507" i="106" s="1"/>
  <c r="B7054" i="106"/>
  <c r="D7054" i="106" s="1"/>
  <c r="J7" i="4"/>
  <c r="B6222" i="106" s="1"/>
  <c r="D6222" i="106" s="1"/>
  <c r="J268" i="5"/>
  <c r="E8" i="146"/>
  <c r="E10" i="146" s="1"/>
  <c r="B1282" i="106"/>
  <c r="D1282" i="106" s="1"/>
  <c r="K151" i="29"/>
  <c r="D15" i="4"/>
  <c r="F57" i="34"/>
  <c r="K13" i="4"/>
  <c r="B3672" i="106"/>
  <c r="D3672" i="106" s="1"/>
  <c r="K367" i="29"/>
  <c r="E16" i="4"/>
  <c r="K174" i="29"/>
  <c r="B1331" i="106"/>
  <c r="D1331" i="106" s="1"/>
  <c r="F8" i="34"/>
  <c r="B1152" i="106"/>
  <c r="D1152" i="106" s="1"/>
  <c r="K211" i="29"/>
  <c r="B1389" i="106" s="1"/>
  <c r="D1389" i="106" s="1"/>
  <c r="F17" i="4"/>
  <c r="D9" i="146" s="1"/>
  <c r="K8" i="4"/>
  <c r="K10" i="4" s="1"/>
  <c r="B4130" i="106" s="1"/>
  <c r="D4130" i="106" s="1"/>
  <c r="B2594" i="106"/>
  <c r="D2594" i="106" s="1"/>
  <c r="F8" i="4"/>
  <c r="B2661" i="106"/>
  <c r="D2661" i="106" s="1"/>
  <c r="G19" i="4"/>
  <c r="B4140" i="106" s="1"/>
  <c r="D4140" i="106" s="1"/>
  <c r="B2612" i="106"/>
  <c r="D2612" i="106" s="1"/>
  <c r="B3227" i="106"/>
  <c r="D3227" i="106" s="1"/>
  <c r="B9" i="146"/>
  <c r="B2561" i="106"/>
  <c r="D2561" i="106" s="1"/>
  <c r="C19" i="4"/>
  <c r="B4136" i="106" s="1"/>
  <c r="D4136" i="106" s="1"/>
  <c r="A7263" i="106"/>
  <c r="D7262" i="106"/>
  <c r="F76" i="34" l="1"/>
  <c r="K115" i="29"/>
  <c r="B1153" i="106" s="1"/>
  <c r="D1153" i="106" s="1"/>
  <c r="B6227" i="106"/>
  <c r="D6227" i="106" s="1"/>
  <c r="J19" i="4"/>
  <c r="B6229" i="106" s="1"/>
  <c r="D6229" i="106" s="1"/>
  <c r="D8" i="4"/>
  <c r="D10" i="4" s="1"/>
  <c r="B4123" i="106" s="1"/>
  <c r="D4123" i="106" s="1"/>
  <c r="D10" i="171"/>
  <c r="D19" i="171" s="1"/>
  <c r="D32" i="171" s="1"/>
  <c r="D49" i="171" s="1"/>
  <c r="B1288" i="106"/>
  <c r="D1288" i="106" s="1"/>
  <c r="F9" i="34"/>
  <c r="F14" i="34" s="1"/>
  <c r="B4443" i="106"/>
  <c r="D4443" i="106" s="1"/>
  <c r="E8" i="4"/>
  <c r="B1332" i="106"/>
  <c r="D1332" i="106" s="1"/>
  <c r="F10" i="34"/>
  <c r="B5870" i="106"/>
  <c r="D5870" i="106" s="1"/>
  <c r="K296" i="29"/>
  <c r="B1518" i="106" s="1"/>
  <c r="D1518" i="106" s="1"/>
  <c r="B5552" i="106"/>
  <c r="D5552" i="106" s="1"/>
  <c r="K175" i="29"/>
  <c r="B1333" i="106" s="1"/>
  <c r="D1333" i="106" s="1"/>
  <c r="B7624" i="106"/>
  <c r="I17" i="11"/>
  <c r="B2634" i="106"/>
  <c r="D2634" i="106" s="1"/>
  <c r="E17" i="4"/>
  <c r="K17" i="4"/>
  <c r="K20" i="4" s="1"/>
  <c r="B3576" i="106" s="1"/>
  <c r="D3576" i="106" s="1"/>
  <c r="B3572" i="106"/>
  <c r="D3572" i="106" s="1"/>
  <c r="G8" i="4"/>
  <c r="B2604" i="106"/>
  <c r="D2604" i="106" s="1"/>
  <c r="C8" i="4"/>
  <c r="B2553" i="106"/>
  <c r="D2553" i="106" s="1"/>
  <c r="K368" i="29"/>
  <c r="B3681" i="106" s="1"/>
  <c r="D3681" i="106" s="1"/>
  <c r="B3678" i="106"/>
  <c r="D3678" i="106" s="1"/>
  <c r="B7055" i="106"/>
  <c r="D7055" i="106" s="1"/>
  <c r="K343" i="29"/>
  <c r="B7225" i="106" s="1"/>
  <c r="D7225" i="106" s="1"/>
  <c r="J8" i="4"/>
  <c r="B2657" i="106"/>
  <c r="D2657" i="106" s="1"/>
  <c r="H8" i="4"/>
  <c r="B2571" i="106"/>
  <c r="D2571" i="106" s="1"/>
  <c r="D17" i="4"/>
  <c r="B5915" i="106"/>
  <c r="D5915" i="106" s="1"/>
  <c r="K313" i="29"/>
  <c r="B1561" i="106" s="1"/>
  <c r="D1561" i="106" s="1"/>
  <c r="K152" i="29"/>
  <c r="B1289" i="106" s="1"/>
  <c r="D1289" i="106" s="1"/>
  <c r="B2600" i="106"/>
  <c r="D2600" i="106" s="1"/>
  <c r="F19" i="4"/>
  <c r="B4139" i="106" s="1"/>
  <c r="D4139" i="106" s="1"/>
  <c r="B3571" i="106"/>
  <c r="D3571" i="106" s="1"/>
  <c r="F20" i="4"/>
  <c r="B2601" i="106" s="1"/>
  <c r="D2601" i="106" s="1"/>
  <c r="F10" i="4"/>
  <c r="B4125" i="106" s="1"/>
  <c r="D4125" i="106" s="1"/>
  <c r="B2595" i="106"/>
  <c r="D2595" i="106" s="1"/>
  <c r="D8" i="146"/>
  <c r="D10" i="146" s="1"/>
  <c r="B3320" i="106"/>
  <c r="D3320" i="106" s="1"/>
  <c r="I81" i="4"/>
  <c r="A7264" i="106"/>
  <c r="D7263" i="106"/>
  <c r="F77" i="34" l="1"/>
  <c r="F79" i="34" s="1"/>
  <c r="C8" i="146"/>
  <c r="B2568" i="106"/>
  <c r="D2568" i="106" s="1"/>
  <c r="D20" i="4"/>
  <c r="B2574" i="106" s="1"/>
  <c r="D2574" i="106" s="1"/>
  <c r="H17" i="118"/>
  <c r="H25" i="118" s="1"/>
  <c r="K24" i="118" s="1"/>
  <c r="O23" i="118" s="1"/>
  <c r="O25" i="118" s="1"/>
  <c r="C10" i="4"/>
  <c r="B4122" i="106" s="1"/>
  <c r="D4122" i="106" s="1"/>
  <c r="C20" i="4"/>
  <c r="B8" i="146"/>
  <c r="B10" i="146" s="1"/>
  <c r="B2555" i="106"/>
  <c r="D2555" i="106" s="1"/>
  <c r="B3575" i="106"/>
  <c r="D3575" i="106" s="1"/>
  <c r="K19" i="4"/>
  <c r="B4144" i="106" s="1"/>
  <c r="D4144" i="106" s="1"/>
  <c r="B2635" i="106"/>
  <c r="D2635" i="106" s="1"/>
  <c r="E19" i="4"/>
  <c r="B4138" i="106" s="1"/>
  <c r="D4138" i="106" s="1"/>
  <c r="B6223" i="106"/>
  <c r="D6223" i="106" s="1"/>
  <c r="J10" i="4"/>
  <c r="B6225" i="106" s="1"/>
  <c r="D6225" i="106" s="1"/>
  <c r="J20" i="4"/>
  <c r="D19" i="4"/>
  <c r="B4137" i="106" s="1"/>
  <c r="D4137" i="106" s="1"/>
  <c r="B2573" i="106"/>
  <c r="D2573" i="106" s="1"/>
  <c r="C9" i="146"/>
  <c r="F9" i="146" s="1"/>
  <c r="D16" i="37"/>
  <c r="F16" i="37"/>
  <c r="H10" i="4"/>
  <c r="B4127" i="106" s="1"/>
  <c r="D4127" i="106" s="1"/>
  <c r="H20" i="4"/>
  <c r="B2658" i="106"/>
  <c r="D2658" i="106" s="1"/>
  <c r="H18" i="118"/>
  <c r="I18" i="11"/>
  <c r="B7625" i="106"/>
  <c r="E10" i="4"/>
  <c r="B4124" i="106" s="1"/>
  <c r="D4124" i="106" s="1"/>
  <c r="E20" i="4"/>
  <c r="B2632" i="106"/>
  <c r="D2632" i="106" s="1"/>
  <c r="H13" i="118"/>
  <c r="G10" i="4"/>
  <c r="B4126" i="106" s="1"/>
  <c r="D4126" i="106" s="1"/>
  <c r="G20" i="4"/>
  <c r="B2606" i="106"/>
  <c r="D2606" i="106" s="1"/>
  <c r="F175" i="34"/>
  <c r="K78" i="4"/>
  <c r="F78" i="4"/>
  <c r="F81" i="4" s="1"/>
  <c r="E11" i="146"/>
  <c r="B3323" i="106"/>
  <c r="D3323" i="106" s="1"/>
  <c r="D63" i="36"/>
  <c r="I82" i="4"/>
  <c r="A7265" i="106"/>
  <c r="D7264" i="106"/>
  <c r="D78" i="4" l="1"/>
  <c r="B3239" i="106" s="1"/>
  <c r="D3239" i="106" s="1"/>
  <c r="D81" i="4"/>
  <c r="C11" i="146" s="1"/>
  <c r="K17" i="118"/>
  <c r="K20" i="118" s="1"/>
  <c r="B7631" i="106"/>
  <c r="F176" i="34"/>
  <c r="F177" i="34" s="1"/>
  <c r="F179" i="34" s="1"/>
  <c r="G78" i="4"/>
  <c r="B2613" i="106"/>
  <c r="D2613" i="106" s="1"/>
  <c r="F8" i="146"/>
  <c r="F10" i="146" s="1"/>
  <c r="B6230" i="106"/>
  <c r="D6230" i="106" s="1"/>
  <c r="J78" i="4"/>
  <c r="C78" i="4"/>
  <c r="B2562" i="106"/>
  <c r="D2562" i="106" s="1"/>
  <c r="B2662" i="106"/>
  <c r="D2662" i="106" s="1"/>
  <c r="H78" i="4"/>
  <c r="B2636" i="106"/>
  <c r="D2636" i="106" s="1"/>
  <c r="E78" i="4"/>
  <c r="C10" i="146"/>
  <c r="H16" i="37"/>
  <c r="B3588" i="106"/>
  <c r="D3588" i="106" s="1"/>
  <c r="K81" i="4"/>
  <c r="B3256" i="106"/>
  <c r="D3256" i="106" s="1"/>
  <c r="D82" i="4"/>
  <c r="I83" i="4"/>
  <c r="B6282" i="106" s="1"/>
  <c r="D6282" i="106" s="1"/>
  <c r="B6273" i="106"/>
  <c r="D6273" i="106" s="1"/>
  <c r="D60" i="36"/>
  <c r="F82" i="4"/>
  <c r="B1672" i="106"/>
  <c r="D1672" i="106" s="1"/>
  <c r="D11" i="146"/>
  <c r="A7266" i="106"/>
  <c r="D7265" i="106"/>
  <c r="D58" i="36" l="1"/>
  <c r="B1644" i="106"/>
  <c r="D1644" i="106" s="1"/>
  <c r="J20" i="118"/>
  <c r="O16" i="118"/>
  <c r="C81" i="4"/>
  <c r="B3233" i="106"/>
  <c r="D3233" i="106" s="1"/>
  <c r="J81" i="4"/>
  <c r="B6263" i="106"/>
  <c r="D6263" i="106" s="1"/>
  <c r="B3278" i="106"/>
  <c r="D3278" i="106" s="1"/>
  <c r="E81" i="4"/>
  <c r="B3300" i="106"/>
  <c r="D3300" i="106" s="1"/>
  <c r="H81" i="4"/>
  <c r="G81" i="4"/>
  <c r="B3262" i="106"/>
  <c r="D3262" i="106" s="1"/>
  <c r="K82" i="4"/>
  <c r="D65" i="36"/>
  <c r="B3591" i="106"/>
  <c r="D3591" i="106" s="1"/>
  <c r="F83" i="4"/>
  <c r="B6279" i="106" s="1"/>
  <c r="D6279" i="106" s="1"/>
  <c r="B6270" i="106"/>
  <c r="D6270" i="106" s="1"/>
  <c r="B6268" i="106"/>
  <c r="D6268" i="106" s="1"/>
  <c r="D83" i="4"/>
  <c r="B6277" i="106" s="1"/>
  <c r="D6277" i="106" s="1"/>
  <c r="A7267" i="106"/>
  <c r="D7266" i="106"/>
  <c r="O17" i="118" l="1"/>
  <c r="O20" i="118" s="1"/>
  <c r="D61" i="36"/>
  <c r="B1686" i="106"/>
  <c r="D1686" i="106" s="1"/>
  <c r="G82" i="4"/>
  <c r="J16" i="37"/>
  <c r="B4269" i="106" s="1"/>
  <c r="D4269" i="106" s="1"/>
  <c r="H12" i="118"/>
  <c r="K12" i="118" s="1"/>
  <c r="O11" i="118" s="1"/>
  <c r="O13" i="118" s="1"/>
  <c r="O35" i="118" s="1"/>
  <c r="O37" i="118" s="1"/>
  <c r="C82" i="4"/>
  <c r="B11" i="146"/>
  <c r="F11" i="146" s="1"/>
  <c r="D29" i="36" s="1"/>
  <c r="J24" i="24" s="1"/>
  <c r="D57" i="36"/>
  <c r="B1630" i="106"/>
  <c r="D1630" i="106" s="1"/>
  <c r="H82" i="4"/>
  <c r="B1700" i="106"/>
  <c r="D1700" i="106" s="1"/>
  <c r="D62" i="36"/>
  <c r="E82" i="4"/>
  <c r="D59" i="36"/>
  <c r="B1658" i="106"/>
  <c r="D1658" i="106" s="1"/>
  <c r="J82" i="4"/>
  <c r="D64" i="36"/>
  <c r="B6266" i="106"/>
  <c r="D6266" i="106" s="1"/>
  <c r="K83" i="4"/>
  <c r="B6284" i="106" s="1"/>
  <c r="D6284" i="106" s="1"/>
  <c r="B6275" i="106"/>
  <c r="D6275" i="106" s="1"/>
  <c r="A7268" i="106"/>
  <c r="D7267" i="106"/>
  <c r="C12" i="146" l="1"/>
  <c r="J83" i="4"/>
  <c r="B6283" i="106" s="1"/>
  <c r="D6283" i="106" s="1"/>
  <c r="B6274" i="106"/>
  <c r="D6274" i="106" s="1"/>
  <c r="B6267" i="106"/>
  <c r="D6267" i="106" s="1"/>
  <c r="C83" i="4"/>
  <c r="B6276" i="106" s="1"/>
  <c r="D6276" i="106" s="1"/>
  <c r="B6269" i="106"/>
  <c r="D6269" i="106" s="1"/>
  <c r="E83" i="4"/>
  <c r="B6278" i="106" s="1"/>
  <c r="D6278" i="106" s="1"/>
  <c r="B6271" i="106"/>
  <c r="D6271" i="106" s="1"/>
  <c r="G83" i="4"/>
  <c r="B6280" i="106" s="1"/>
  <c r="D6280" i="106" s="1"/>
  <c r="H83" i="4"/>
  <c r="B6281" i="106" s="1"/>
  <c r="D6281" i="106" s="1"/>
  <c r="B6272" i="106"/>
  <c r="D6272" i="106" s="1"/>
  <c r="A7269" i="106"/>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<sst xmlns="http://schemas.openxmlformats.org/spreadsheetml/2006/main" count="5297" uniqueCount="2202">
  <si>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</si>
  <si>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</si>
  <si>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</si>
  <si>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</si>
  <si>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</si>
  <si>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</si>
  <si>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</si>
  <si>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</si>
  <si>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</si>
  <si>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</si>
  <si>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</si>
  <si>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</si>
  <si>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</si>
  <si>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</si>
  <si>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</si>
  <si>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</si>
  <si>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</si>
  <si>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</si>
  <si>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</si>
  <si>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</si>
  <si>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</si>
  <si>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</si>
  <si>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</si>
  <si>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</si>
  <si>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</si>
  <si>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</si>
  <si>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</si>
  <si>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</si>
  <si>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</si>
  <si>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</si>
  <si>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</si>
  <si>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</si>
  <si>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</si>
  <si>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</si>
  <si>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</si>
  <si>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</si>
  <si>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</si>
  <si>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</si>
  <si>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</si>
  <si>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</si>
  <si>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</si>
  <si>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</si>
  <si>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</si>
  <si>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</si>
  <si>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</si>
  <si>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</si>
  <si>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</si>
  <si>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</si>
  <si>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</si>
  <si>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</si>
  <si>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</si>
  <si>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</si>
  <si>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</si>
  <si>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</si>
  <si>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</si>
  <si>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</si>
  <si>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</si>
  <si>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</si>
  <si>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</si>
  <si>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</si>
  <si>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</si>
  <si>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</si>
  <si>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</si>
  <si>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</si>
  <si>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</si>
  <si>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</si>
  <si>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</si>
  <si>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</si>
  <si>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</si>
  <si>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</si>
  <si>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</si>
  <si>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</si>
  <si>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</si>
  <si>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</si>
  <si>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</si>
  <si>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</si>
  <si>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</si>
  <si>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</si>
  <si>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</si>
  <si>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</si>
  <si>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</si>
  <si>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</si>
  <si>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</si>
  <si>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</si>
  <si>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</si>
  <si>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</si>
  <si>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</si>
  <si>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</si>
  <si>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</si>
  <si>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</si>
  <si>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</si>
  <si>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</si>
  <si>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</si>
  <si>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</si>
  <si>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</si>
  <si>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</si>
  <si>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</si>
  <si>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</si>
  <si>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</si>
  <si>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</si>
  <si>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</si>
  <si>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</si>
  <si>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</si>
  <si>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</si>
  <si>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</si>
  <si>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</si>
  <si>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</si>
  <si>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</si>
  <si>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</si>
  <si>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</si>
  <si>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</si>
  <si>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</si>
  <si>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</si>
  <si>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</si>
  <si>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</si>
  <si>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</si>
  <si>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</si>
  <si>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</si>
  <si>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</si>
  <si>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</si>
  <si>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</si>
  <si>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</si>
  <si>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</si>
  <si>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</si>
  <si>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</si>
  <si>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</si>
  <si>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</si>
  <si>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</si>
  <si>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</si>
  <si>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</si>
  <si>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</si>
  <si>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</si>
  <si>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</si>
  <si>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</si>
  <si>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</si>
  <si>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</si>
  <si>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</si>
  <si>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</si>
  <si>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</si>
  <si>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</si>
  <si>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</si>
  <si>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</si>
  <si>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</si>
  <si>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</si>
  <si>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</si>
  <si>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</si>
  <si>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</si>
  <si>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</si>
  <si>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</si>
  <si>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</si>
  <si>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</si>
  <si>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</si>
  <si>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</si>
  <si>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</si>
  <si>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</si>
  <si>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</si>
  <si>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</si>
  <si>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</si>
  <si>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</si>
  <si>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</si>
  <si>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</si>
  <si>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</si>
  <si>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</si>
  <si>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</si>
  <si>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</si>
  <si>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</si>
  <si>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</si>
  <si>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</si>
  <si>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</si>
  <si>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</si>
  <si>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</si>
  <si>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</si>
  <si>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</si>
  <si>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</si>
  <si>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</si>
  <si>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</si>
  <si>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</si>
  <si>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</si>
  <si>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</si>
  <si>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</si>
  <si>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</si>
  <si>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</si>
  <si>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</si>
  <si>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</si>
  <si>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</si>
  <si>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</si>
  <si>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</si>
  <si>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</si>
  <si>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</si>
  <si>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</si>
  <si>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</si>
  <si>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</si>
  <si>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</si>
  <si>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</si>
  <si>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</si>
  <si>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</si>
  <si>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</si>
  <si>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</si>
  <si>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</si>
  <si>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</si>
  <si>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</si>
  <si>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</si>
  <si>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</si>
  <si>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</si>
  <si>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</si>
  <si>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</si>
  <si>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</si>
  <si>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</si>
  <si>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</si>
  <si>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</si>
  <si>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</si>
  <si>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</si>
  <si>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</si>
  <si>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</si>
  <si>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</si>
  <si>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</si>
  <si>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</si>
  <si>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</si>
  <si>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</si>
  <si>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</si>
  <si>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</si>
  <si>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</si>
  <si>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</si>
  <si>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</si>
  <si>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</si>
  <si>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</si>
  <si>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</si>
  <si>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</si>
  <si>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</si>
  <si>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</si>
  <si>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</si>
  <si>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</si>
  <si>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</si>
  <si>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</si>
  <si>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</si>
  <si>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</si>
  <si>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</si>
  <si>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</si>
  <si>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</si>
  <si>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</si>
  <si>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</si>
  <si>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</si>
  <si>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</si>
  <si>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</si>
  <si>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</si>
  <si>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</si>
  <si>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</si>
  <si>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</si>
  <si>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</si>
  <si>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</si>
  <si>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</si>
  <si>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</si>
  <si>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</si>
  <si>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</si>
  <si>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</si>
  <si>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</si>
  <si>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</si>
  <si>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</si>
  <si>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</si>
  <si>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</si>
  <si>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</si>
  <si>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</si>
  <si>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</si>
  <si>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</si>
  <si>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</si>
  <si>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</si>
  <si>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</si>
  <si>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</si>
  <si>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</si>
  <si>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</si>
  <si>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</si>
  <si>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</si>
  <si>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</si>
  <si>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</si>
  <si>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</si>
  <si>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</si>
  <si>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</si>
  <si>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</si>
  <si>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</si>
  <si>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</si>
  <si>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</si>
  <si>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</si>
  <si>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</si>
  <si>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</si>
  <si>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</si>
  <si>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</si>
  <si>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</si>
  <si>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</si>
  <si>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</si>
  <si>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</si>
  <si>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</si>
  <si>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</si>
  <si>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</si>
  <si>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</si>
  <si>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</si>
  <si>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</si>
  <si>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</si>
  <si>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</si>
  <si>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</si>
  <si>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</si>
  <si>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</si>
  <si>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</si>
  <si>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</si>
  <si>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</si>
  <si>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</si>
  <si>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</si>
  <si>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</si>
  <si>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</si>
  <si>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</si>
  <si>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</si>
  <si>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</si>
  <si>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</si>
  <si>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</si>
  <si>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</si>
  <si>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</si>
  <si>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</si>
  <si>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</si>
  <si>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</si>
  <si>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</si>
  <si>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</si>
  <si>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</si>
  <si>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</si>
  <si>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</si>
  <si>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</si>
  <si>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</si>
  <si>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</si>
  <si>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</si>
  <si>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</si>
  <si>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</si>
  <si>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</si>
  <si>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</si>
  <si>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</si>
  <si>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</si>
  <si>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</si>
  <si>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</si>
  <si>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</si>
  <si>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</si>
  <si>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</si>
  <si>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</si>
  <si>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</si>
  <si>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</si>
  <si>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</si>
  <si>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</si>
  <si>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</si>
  <si>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</si>
  <si>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</si>
  <si>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</si>
  <si>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</si>
  <si>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</si>
  <si>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</si>
  <si>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</si>
  <si>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</si>
  <si>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</si>
  <si>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</si>
  <si>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</si>
  <si>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</si>
  <si>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</si>
  <si>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</si>
  <si>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</si>
  <si>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</si>
  <si>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</si>
  <si>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</si>
  <si>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</si>
  <si>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</si>
  <si>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</si>
  <si>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</si>
  <si>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</si>
  <si>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</si>
  <si>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</si>
  <si>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</si>
  <si>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</si>
  <si>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</si>
  <si>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</si>
  <si>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</si>
  <si>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</si>
  <si>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</si>
  <si>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</si>
  <si>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</si>
  <si>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</si>
  <si>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</si>
  <si>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</si>
  <si>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</si>
  <si>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</si>
  <si>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</si>
  <si>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</si>
  <si>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</si>
  <si>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</si>
  <si>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</si>
  <si>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</si>
  <si>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</si>
  <si>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</si>
  <si>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</si>
  <si>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</si>
  <si>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</si>
  <si>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</si>
  <si>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</si>
  <si>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</si>
  <si>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</si>
  <si>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</si>
  <si>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</si>
  <si>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</si>
  <si>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</si>
  <si>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</si>
  <si>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</si>
  <si>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</si>
  <si>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</si>
  <si>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</si>
  <si>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</si>
  <si>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</si>
  <si>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</si>
  <si>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</si>
  <si>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</si>
  <si>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</si>
  <si>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</si>
  <si>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</si>
  <si>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</si>
  <si>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</si>
  <si>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</si>
  <si>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</si>
  <si>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</si>
  <si>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</si>
  <si>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</si>
  <si>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</si>
  <si>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</si>
  <si>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</si>
  <si>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</si>
  <si>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</si>
  <si>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</si>
  <si>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</si>
  <si>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</si>
  <si>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</si>
  <si>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</si>
  <si>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</si>
  <si>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</si>
  <si>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</si>
  <si>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</si>
  <si>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</si>
  <si>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</si>
  <si>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</si>
  <si>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</si>
  <si>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</si>
  <si>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</si>
  <si>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</si>
  <si>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</si>
  <si>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</si>
  <si>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</si>
  <si>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</si>
  <si>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</si>
  <si>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</si>
  <si>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</si>
  <si>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</si>
  <si>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</si>
  <si>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</si>
  <si>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</si>
  <si>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</si>
  <si>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</si>
  <si>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</si>
  <si>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</si>
  <si>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</si>
  <si>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</si>
  <si>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</si>
  <si>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</si>
  <si>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</si>
  <si>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</si>
  <si>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</si>
  <si>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</si>
  <si>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</si>
  <si>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</si>
  <si>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</si>
  <si>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</si>
  <si>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</si>
  <si>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</si>
  <si>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</si>
  <si>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</si>
  <si>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</si>
  <si>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</si>
  <si>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</si>
  <si>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</si>
  <si>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</si>
  <si>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</si>
  <si>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</si>
  <si>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</si>
  <si>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</si>
  <si>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</si>
  <si>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</si>
  <si>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</si>
  <si>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</si>
  <si>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</si>
  <si>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</si>
  <si>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</si>
  <si>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</si>
  <si>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</si>
  <si>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</si>
  <si>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</si>
  <si>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</si>
  <si>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</si>
  <si>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</si>
  <si>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</si>
  <si>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</si>
  <si>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</si>
  <si>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</si>
  <si>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</si>
  <si>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</si>
  <si>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</si>
  <si>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</si>
  <si>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</si>
  <si>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</si>
  <si>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</si>
  <si>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</si>
  <si>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</si>
  <si>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</si>
  <si>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</si>
  <si>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</si>
  <si>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</si>
  <si>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</si>
  <si>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</si>
  <si>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</si>
  <si>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</si>
  <si>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</si>
  <si>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</si>
  <si>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</si>
  <si>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</si>
  <si>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</si>
  <si>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</si>
  <si>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</si>
  <si>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</si>
  <si>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</si>
  <si>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</si>
  <si>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</si>
  <si>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</si>
  <si>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</si>
  <si>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</si>
  <si>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</si>
  <si>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</si>
  <si>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</si>
  <si>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</si>
  <si>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</si>
  <si>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</si>
  <si>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</si>
  <si>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</si>
  <si>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</si>
  <si>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</si>
  <si>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</si>
  <si>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</si>
  <si>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</si>
  <si>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</si>
  <si>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</si>
  <si>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</si>
  <si>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</si>
  <si>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</si>
  <si>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</si>
  <si>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</si>
  <si>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</si>
  <si>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</si>
  <si>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</si>
  <si>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</si>
  <si>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</si>
  <si>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</si>
  <si>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</si>
  <si>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</si>
  <si>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</si>
  <si>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</si>
  <si>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</si>
  <si>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</si>
  <si>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</si>
  <si>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</si>
  <si>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</si>
  <si>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</si>
  <si>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</si>
  <si>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</si>
  <si>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</si>
  <si>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</si>
  <si>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</si>
  <si>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</si>
  <si>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</si>
  <si>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</si>
  <si>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</si>
  <si>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</si>
  <si>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</si>
  <si>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</si>
  <si>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</si>
  <si>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</si>
  <si>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</si>
  <si>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</si>
  <si>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</si>
  <si>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</si>
  <si>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</si>
  <si>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</si>
  <si>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</si>
  <si>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</si>
  <si>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</si>
  <si>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</si>
  <si>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</si>
  <si>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</si>
  <si>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</si>
  <si>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</si>
  <si>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</si>
  <si>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</si>
  <si>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</si>
  <si>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</si>
  <si>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</si>
  <si>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</si>
  <si>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</si>
  <si>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</si>
  <si>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</si>
  <si>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</si>
  <si>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</si>
  <si>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</si>
  <si>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</si>
  <si>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</si>
  <si>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</si>
  <si>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</si>
  <si>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</si>
  <si>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</si>
  <si>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</si>
  <si>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</si>
  <si>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</si>
  <si>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</si>
  <si>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</si>
  <si>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</si>
  <si>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</si>
  <si>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</si>
  <si>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</si>
  <si>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</si>
  <si>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</si>
  <si>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</si>
  <si>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</si>
  <si>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</si>
  <si>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</si>
  <si>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</si>
  <si>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</si>
  <si>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</si>
  <si>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</si>
  <si>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</si>
  <si>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</si>
  <si>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</si>
  <si>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</si>
  <si>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</si>
  <si>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</si>
  <si>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</si>
  <si>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</si>
  <si>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</si>
  <si>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</si>
  <si>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</si>
  <si>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</si>
  <si>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</si>
  <si>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</si>
  <si>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</si>
  <si>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</si>
  <si>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</si>
  <si>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</si>
  <si>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</si>
  <si>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</si>
  <si>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</si>
  <si>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</si>
  <si>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</si>
  <si>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</si>
  <si>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</si>
  <si>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</si>
  <si>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</si>
  <si>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</si>
  <si>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</si>
  <si>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</si>
  <si>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</si>
  <si>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</si>
  <si>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</si>
  <si>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</si>
  <si>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</si>
  <si>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</si>
  <si>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</si>
  <si>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</si>
  <si>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</si>
  <si>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</si>
  <si>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</si>
  <si>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</si>
  <si>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</si>
  <si>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</si>
  <si>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</si>
  <si>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</si>
  <si>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</si>
  <si>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</si>
  <si>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</si>
  <si>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</si>
  <si>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</si>
  <si>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</si>
  <si>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</si>
  <si>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</si>
  <si>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</si>
  <si>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</si>
  <si>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</si>
  <si>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</si>
  <si>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</si>
  <si>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</si>
  <si>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</si>
  <si>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</si>
  <si>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</si>
  <si>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</si>
  <si>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</si>
  <si>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</si>
  <si>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</si>
  <si>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</si>
  <si>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</si>
  <si>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</si>
  <si>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</si>
  <si>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</si>
  <si>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</si>
  <si>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</si>
  <si>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</si>
  <si>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</si>
  <si>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</si>
  <si>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</si>
  <si>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</si>
  <si>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</si>
  <si>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</si>
  <si>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</si>
  <si>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</si>
  <si>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</si>
  <si>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</si>
  <si>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</si>
  <si>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</si>
  <si>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</si>
  <si>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</si>
  <si>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</si>
  <si>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</si>
  <si>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</si>
  <si>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</si>
  <si>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</si>
  <si>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</si>
  <si>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</si>
  <si>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</si>
  <si>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</si>
  <si>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</si>
  <si>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</si>
  <si>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</si>
  <si>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</si>
  <si>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</si>
  <si>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</si>
  <si>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</si>
  <si>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</si>
  <si>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</si>
  <si>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</si>
  <si>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</si>
  <si>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</si>
  <si>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</si>
  <si>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</si>
  <si>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</si>
  <si>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</si>
  <si>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</si>
  <si>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</si>
  <si>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</si>
  <si>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</si>
  <si>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</si>
  <si>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</si>
  <si>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</si>
  <si>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</si>
  <si>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</si>
  <si>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</si>
  <si>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</si>
  <si>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</si>
  <si>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</si>
  <si>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</si>
  <si>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</si>
  <si>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</si>
  <si>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</si>
  <si>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</si>
  <si>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</si>
  <si>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</si>
  <si>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</si>
  <si>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</si>
  <si>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</si>
  <si>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</si>
  <si>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</si>
  <si>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</si>
  <si>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</si>
  <si>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</si>
  <si>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</si>
  <si>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</si>
  <si>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</si>
  <si>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</si>
  <si>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</si>
  <si>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</si>
  <si>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</si>
  <si>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</si>
  <si>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</si>
  <si>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</si>
  <si>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</si>
  <si>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</si>
  <si>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</si>
  <si>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</si>
  <si>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</si>
  <si>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</si>
  <si>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</si>
  <si>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</si>
  <si>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</si>
  <si>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</si>
  <si>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</si>
  <si>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</si>
  <si>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</si>
  <si>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</si>
  <si>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</si>
  <si>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</si>
  <si>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</si>
  <si>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</si>
  <si>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</si>
  <si>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</si>
  <si>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</si>
  <si>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</si>
  <si>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</si>
  <si>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</si>
  <si>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</si>
  <si>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</si>
  <si>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</si>
  <si>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</si>
  <si>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</si>
  <si>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</si>
  <si>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</si>
  <si>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</si>
  <si>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</si>
  <si>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</si>
  <si>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</si>
  <si>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</si>
  <si>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</si>
  <si>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</si>
  <si>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</si>
  <si>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</si>
  <si>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</si>
  <si>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</si>
  <si>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</si>
  <si>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</si>
  <si>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</si>
  <si>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</si>
  <si>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</si>
  <si>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</si>
  <si>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</si>
  <si>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</si>
  <si>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</si>
  <si>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</si>
  <si>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</si>
  <si>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</si>
  <si>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</si>
  <si>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</si>
  <si>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</si>
  <si>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</si>
  <si>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</si>
  <si>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</si>
  <si>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</si>
  <si>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</si>
  <si>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</si>
  <si>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</si>
  <si>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</si>
  <si>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</si>
  <si>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</si>
  <si>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</si>
  <si>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</si>
  <si>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</si>
  <si>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</si>
  <si>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</si>
  <si>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</si>
  <si>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</si>
  <si>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</si>
  <si>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</si>
  <si>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</si>
  <si>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</si>
  <si>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</si>
  <si>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</si>
  <si>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</si>
  <si>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</si>
  <si>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</si>
  <si>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</si>
  <si>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</si>
  <si>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</si>
  <si>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</si>
  <si>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</si>
  <si>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</si>
  <si>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</si>
  <si>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</si>
  <si>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</si>
  <si>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</si>
  <si>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</si>
  <si>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</si>
  <si>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</si>
  <si>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</si>
  <si>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</si>
  <si>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</si>
  <si>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</si>
  <si>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</si>
  <si>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</si>
  <si>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</si>
  <si>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</si>
  <si>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</si>
  <si>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</si>
  <si>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</si>
  <si>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</si>
  <si>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</si>
  <si>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</si>
  <si>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</si>
  <si>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</si>
  <si>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</si>
  <si>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</si>
  <si>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</si>
  <si>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</si>
  <si>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</si>
  <si>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</si>
  <si>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</si>
  <si>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</si>
  <si>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</si>
  <si>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</si>
  <si>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</si>
  <si>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</si>
  <si>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</si>
  <si>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</si>
  <si>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</si>
  <si>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</si>
  <si>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</si>
  <si>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</si>
  <si>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</si>
  <si>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</si>
  <si>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</si>
  <si>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</si>
  <si>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</si>
  <si>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</si>
  <si>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</si>
  <si>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</si>
  <si>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</si>
  <si>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</si>
  <si>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</si>
  <si>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</si>
  <si>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</si>
  <si>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</si>
  <si>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</si>
  <si>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</si>
  <si>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</si>
  <si>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</si>
  <si>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</si>
  <si>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</si>
  <si>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</si>
  <si>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</si>
  <si>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</si>
  <si>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</si>
  <si>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</si>
  <si>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</si>
  <si>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</si>
  <si>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</si>
  <si>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</si>
  <si>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</si>
  <si>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</si>
  <si>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</si>
  <si>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</si>
  <si>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</si>
  <si>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</si>
  <si>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</si>
  <si>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</si>
  <si>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</si>
  <si>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</si>
  <si>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</si>
  <si>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</si>
  <si>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</si>
  <si>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</si>
  <si>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</si>
  <si>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</si>
  <si>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</si>
  <si>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</si>
  <si>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</si>
  <si>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</si>
  <si>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</si>
  <si>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</si>
  <si>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</si>
  <si>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</si>
  <si>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</si>
  <si>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</si>
  <si>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</si>
  <si>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</si>
  <si>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</si>
  <si>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</si>
  <si>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</si>
  <si>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</si>
  <si>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</si>
  <si>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</si>
  <si>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</si>
  <si>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</si>
  <si>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</si>
  <si>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</si>
  <si>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</si>
  <si>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</si>
  <si>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</si>
  <si>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</si>
  <si>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</si>
  <si>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</si>
  <si>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</si>
  <si>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</si>
  <si>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</si>
  <si>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</si>
  <si>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</si>
  <si>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</si>
  <si>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</si>
  <si>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</si>
  <si>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</si>
  <si>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</si>
  <si>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</si>
  <si>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</si>
  <si>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</si>
  <si>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</si>
  <si>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</si>
  <si>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</si>
  <si>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</si>
  <si>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</si>
  <si>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</si>
  <si>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</si>
  <si>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</si>
  <si>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</si>
  <si>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</si>
  <si>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</si>
  <si>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</si>
  <si>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</si>
  <si>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</si>
  <si>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</si>
  <si>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</si>
  <si>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</si>
  <si>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</si>
  <si>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</si>
  <si>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</si>
  <si>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</si>
  <si>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</si>
  <si>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</si>
  <si>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</si>
  <si>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</si>
  <si>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</si>
  <si>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</si>
  <si>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</si>
  <si>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</si>
  <si>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</si>
  <si>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</si>
  <si>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</si>
  <si>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</si>
  <si>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</si>
  <si>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</si>
  <si>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</si>
  <si>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</si>
  <si>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</si>
  <si>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</si>
  <si>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</si>
  <si>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</si>
  <si>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</si>
  <si>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</si>
  <si>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</si>
  <si>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</si>
  <si>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</si>
  <si>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</si>
  <si>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</si>
  <si>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</si>
  <si>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</si>
  <si>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</si>
  <si>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</si>
  <si>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</si>
  <si>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</si>
  <si>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</si>
  <si>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</si>
  <si>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</si>
  <si>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</si>
  <si>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</si>
  <si>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</si>
  <si>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</si>
  <si>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</si>
  <si>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</si>
  <si>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</si>
  <si>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</si>
  <si>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</si>
  <si>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</si>
  <si>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</si>
  <si>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</si>
  <si>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</si>
  <si>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</si>
  <si>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</si>
  <si>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</si>
  <si>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</si>
  <si>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</si>
  <si>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</si>
  <si>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</si>
  <si>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</si>
  <si>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</si>
  <si>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</si>
  <si>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</si>
  <si>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</si>
  <si>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</si>
  <si>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</si>
  <si>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</si>
  <si>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</si>
  <si>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</si>
  <si>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</si>
  <si>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</si>
  <si>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</si>
  <si>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</si>
  <si>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</si>
  <si>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</si>
  <si>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</si>
  <si>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</si>
  <si>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</si>
  <si>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</si>
  <si>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</si>
  <si>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</si>
  <si>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</si>
  <si>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</si>
  <si>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</si>
  <si>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</si>
  <si>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</si>
  <si>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</si>
  <si>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</si>
  <si>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</si>
  <si>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</si>
  <si>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</si>
  <si>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</si>
  <si>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</si>
  <si>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</si>
  <si>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</si>
  <si>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</si>
  <si>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</si>
  <si>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</si>
  <si>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</si>
  <si>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</si>
  <si>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</si>
  <si>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</si>
  <si>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</si>
  <si>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</si>
  <si>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</si>
  <si>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</si>
  <si>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</si>
  <si>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</si>
  <si>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</si>
  <si>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</si>
  <si>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</si>
  <si>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</si>
  <si>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</si>
  <si>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</si>
  <si>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</si>
  <si>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</si>
  <si>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</si>
  <si>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</si>
  <si>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</si>
  <si>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</si>
  <si>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</si>
  <si>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</si>
  <si>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</si>
  <si>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</si>
  <si>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</si>
  <si>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</si>
  <si>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</si>
  <si>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</si>
  <si>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</si>
  <si>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</si>
  <si>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</si>
  <si>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</si>
  <si>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</si>
  <si>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</si>
  <si>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</si>
  <si>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</si>
  <si>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</si>
  <si>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</si>
  <si>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</si>
  <si>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</si>
  <si>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</si>
  <si>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</si>
  <si>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</si>
  <si>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</si>
  <si>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</si>
  <si>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</si>
  <si>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</si>
  <si>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</si>
  <si>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</si>
  <si>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</si>
  <si>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</si>
  <si>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</si>
  <si>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</si>
  <si>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</si>
  <si>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</si>
  <si>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</si>
  <si>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</si>
  <si>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</si>
  <si>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</si>
  <si>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</si>
  <si>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</si>
  <si>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</si>
  <si>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</si>
  <si>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</si>
  <si>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</si>
  <si>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</si>
  <si>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</si>
  <si>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</si>
  <si>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</si>
  <si>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</si>
  <si>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</si>
  <si>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</si>
  <si>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</si>
  <si>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</si>
  <si>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</si>
  <si>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</si>
  <si>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</si>
  <si>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</si>
  <si>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</si>
  <si>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</si>
  <si>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</si>
  <si>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</si>
  <si>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</si>
  <si>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</si>
  <si>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</si>
  <si>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</si>
  <si>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</si>
  <si>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</si>
  <si>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</si>
  <si>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</si>
  <si>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</si>
  <si>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</si>
  <si>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</si>
  <si>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</si>
  <si>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</si>
  <si>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</si>
  <si>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</si>
  <si>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</si>
  <si>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</si>
  <si>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</si>
  <si>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</si>
  <si>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</si>
  <si>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</si>
  <si>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</si>
  <si>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</si>
  <si>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</si>
  <si>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</si>
  <si>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</si>
  <si>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</si>
  <si>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</si>
  <si>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</si>
  <si>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</si>
  <si>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</si>
  <si>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</si>
  <si>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</si>
  <si>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</si>
  <si>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</si>
  <si>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</si>
  <si>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</si>
  <si>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</si>
  <si>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</si>
  <si>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</si>
  <si>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</si>
  <si>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</si>
  <si>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</si>
  <si>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</si>
  <si>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</si>
  <si>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</si>
  <si>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</si>
  <si>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</si>
  <si>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</si>
  <si>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</si>
  <si>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</si>
  <si>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</si>
  <si>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</si>
  <si>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</si>
  <si>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</si>
  <si>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</si>
  <si>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</si>
  <si>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</si>
  <si>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</si>
  <si>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</si>
  <si>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</si>
  <si>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</si>
  <si>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</si>
  <si>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</si>
  <si>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</si>
  <si>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</si>
  <si>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</si>
  <si>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</si>
  <si>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</si>
  <si>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</si>
  <si>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</si>
  <si>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</si>
  <si>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</si>
  <si>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</si>
  <si>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</si>
  <si>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</si>
  <si>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</si>
  <si>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</si>
  <si>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</si>
  <si>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</si>
  <si>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</si>
  <si>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</si>
  <si>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</si>
  <si>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</si>
  <si>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</si>
  <si>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</si>
  <si>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</si>
  <si>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</si>
  <si>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</si>
  <si>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</si>
  <si>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</si>
  <si>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</si>
  <si>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</si>
  <si>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</si>
  <si>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</si>
  <si>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</si>
  <si>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</si>
  <si>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</si>
  <si>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</si>
  <si>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</si>
  <si>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</si>
  <si>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</si>
  <si>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</si>
  <si>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</si>
  <si>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</si>
  <si>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</si>
  <si>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</si>
  <si>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</si>
  <si>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</si>
  <si>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</si>
  <si>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</si>
  <si>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</si>
  <si>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</si>
  <si>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</si>
  <si>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</si>
  <si>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</si>
  <si>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</si>
  <si>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</si>
  <si>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</si>
  <si>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</si>
  <si>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</si>
  <si>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</si>
  <si>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</si>
  <si>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</si>
  <si>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</si>
  <si>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</si>
  <si>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</si>
  <si>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</si>
  <si>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</si>
  <si>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</si>
  <si>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</si>
  <si>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</si>
  <si>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</si>
  <si>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</si>
  <si>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</si>
  <si>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</si>
  <si>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</si>
  <si>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</si>
  <si>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</si>
  <si>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</si>
  <si>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</si>
  <si>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</si>
  <si>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</si>
  <si>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</si>
  <si>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</si>
  <si>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</si>
  <si>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</si>
  <si>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</si>
  <si>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</si>
  <si>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</si>
  <si>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</si>
  <si>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</si>
  <si>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</si>
  <si>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</si>
  <si>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</si>
  <si>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</si>
  <si>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</si>
  <si>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</si>
  <si>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</si>
  <si>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</si>
  <si>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</si>
  <si>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</si>
  <si>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</si>
  <si>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</si>
  <si>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</si>
  <si>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</si>
  <si>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</si>
  <si>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</si>
  <si>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</si>
  <si>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</si>
  <si>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</si>
  <si>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</si>
  <si>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</si>
  <si>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</si>
  <si>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</si>
  <si>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</si>
  <si>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</si>
  <si>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</si>
  <si>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</si>
  <si>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</si>
  <si>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</si>
  <si>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</si>
  <si>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</si>
  <si>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</si>
  <si>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</si>
  <si>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</si>
  <si>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</si>
  <si>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</si>
  <si>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</si>
  <si>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</si>
  <si>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</si>
  <si>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</si>
  <si>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</si>
  <si>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</si>
  <si>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</si>
  <si>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</si>
  <si>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</si>
  <si>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</si>
  <si>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</si>
  <si>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</si>
  <si>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</si>
  <si>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</si>
  <si>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</si>
  <si>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</si>
  <si>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</si>
  <si>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</si>
  <si>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</si>
  <si>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</si>
  <si>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</si>
  <si>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</si>
  <si>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</si>
  <si>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</si>
  <si>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</si>
  <si>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</si>
  <si>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</si>
  <si>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</si>
  <si>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</si>
  <si>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</si>
  <si>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</si>
  <si>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</si>
  <si>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</si>
  <si>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</si>
  <si>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</si>
  <si>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</si>
  <si>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</si>
  <si>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</si>
  <si>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</si>
  <si>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</si>
  <si>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</si>
  <si>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</si>
  <si>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</si>
  <si>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</si>
  <si>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</si>
  <si>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</si>
  <si>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</si>
  <si>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</si>
  <si>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</si>
  <si>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</si>
  <si>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</si>
  <si>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</si>
  <si>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</si>
  <si>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</si>
  <si>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</si>
  <si>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</si>
  <si>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</si>
  <si>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</si>
  <si>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</si>
  <si>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</si>
  <si>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</si>
  <si>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</si>
  <si>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</si>
  <si>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</si>
  <si>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</si>
  <si>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</si>
  <si>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</si>
  <si>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</si>
  <si>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</si>
  <si>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</si>
  <si>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</si>
  <si>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</si>
  <si>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</si>
  <si>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</si>
  <si>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</si>
  <si>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</si>
  <si>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</si>
  <si>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</si>
  <si>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</si>
  <si>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</si>
  <si>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</si>
  <si>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</si>
  <si>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</si>
  <si>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</si>
  <si>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</si>
  <si>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</si>
  <si>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</si>
  <si>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</si>
  <si>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</si>
  <si>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</si>
  <si>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</si>
  <si>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</si>
  <si>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</si>
  <si>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</si>
  <si>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</si>
  <si>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</si>
  <si>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</si>
  <si>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</si>
  <si>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</si>
  <si>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</si>
  <si>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</si>
  <si>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</si>
  <si>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</si>
  <si>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</si>
  <si>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</si>
  <si>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</si>
  <si>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</si>
  <si>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</si>
  <si>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</si>
  <si>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</si>
  <si>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</si>
  <si>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</si>
  <si>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</si>
  <si>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</si>
  <si>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</si>
  <si>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</si>
  <si>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</si>
  <si>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</si>
  <si>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</si>
  <si>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</si>
  <si>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</si>
  <si>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</si>
  <si>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</si>
  <si>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</si>
  <si>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</si>
  <si>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</si>
  <si>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</si>
  <si>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</si>
  <si>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</si>
  <si>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</si>
  <si>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</si>
  <si>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</si>
  <si>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</si>
  <si>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</si>
  <si>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</si>
  <si>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</si>
  <si>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</si>
  <si>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</si>
  <si>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</si>
  <si>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</si>
  <si>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</si>
  <si>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</si>
  <si>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</si>
  <si>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</si>
  <si>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</si>
  <si>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</si>
  <si>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</si>
  <si>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</si>
  <si>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</si>
  <si>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</si>
  <si>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</si>
  <si>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</si>
  <si>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</si>
  <si>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</si>
  <si>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</si>
  <si>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</si>
  <si>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</si>
  <si>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</si>
  <si>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</si>
  <si>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</si>
  <si>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</si>
  <si>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</si>
  <si>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</si>
  <si>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</si>
  <si>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</si>
  <si>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</si>
  <si>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</si>
  <si>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</si>
  <si>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</si>
  <si>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</si>
  <si>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</si>
  <si>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</si>
  <si>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</si>
  <si>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</si>
  <si>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</si>
  <si>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</si>
  <si>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</si>
  <si>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</si>
  <si>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</si>
  <si>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</si>
  <si>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</si>
  <si>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</si>
  <si>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</si>
  <si>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</si>
  <si>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</si>
  <si>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</si>
  <si>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</si>
  <si>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</si>
  <si>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</si>
  <si>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</si>
  <si>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</si>
  <si>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</si>
  <si>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</si>
  <si>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</si>
  <si>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</si>
  <si>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</si>
  <si>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</si>
  <si>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</si>
  <si>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</si>
  <si>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</si>
  <si>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</si>
  <si>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</si>
  <si>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</si>
  <si>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</si>
  <si>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</si>
  <si>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</si>
  <si>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</si>
  <si>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</si>
  <si>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</si>
  <si>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</si>
  <si>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</si>
  <si>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</si>
  <si>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</si>
  <si>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</si>
  <si>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</si>
  <si>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</si>
  <si>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</si>
  <si>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</si>
  <si>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</si>
  <si>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</si>
  <si>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</si>
  <si>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</si>
  <si>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</si>
  <si>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</si>
  <si>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</si>
  <si>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</si>
  <si>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</si>
  <si>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</si>
  <si>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</si>
  <si>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</si>
  <si>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</si>
  <si>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</si>
  <si>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</si>
  <si>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</si>
  <si>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</si>
  <si>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</si>
  <si>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</si>
  <si>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</si>
  <si>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</si>
  <si>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</si>
  <si>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</si>
  <si>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</si>
  <si>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</si>
  <si>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</si>
  <si>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</si>
  <si>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</si>
  <si>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</si>
  <si>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</si>
  <si>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</si>
  <si>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</si>
  <si>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</si>
  <si>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</si>
  <si>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</si>
  <si>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</si>
  <si>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</si>
  <si>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</si>
  <si>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</si>
  <si>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</si>
  <si>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</si>
  <si>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</si>
  <si>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</si>
  <si>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</si>
  <si>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</si>
  <si>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</si>
  <si>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</si>
  <si>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</si>
  <si>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</si>
  <si>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</si>
  <si>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</si>
  <si>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</si>
  <si>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</si>
  <si>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</si>
  <si>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</si>
  <si>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</si>
  <si>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</si>
  <si>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</si>
  <si>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</si>
  <si>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</si>
  <si>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</si>
  <si>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</si>
  <si>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</si>
  <si>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</si>
  <si>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</si>
  <si>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</si>
  <si>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</si>
  <si>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</si>
  <si>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</si>
  <si>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</si>
  <si>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</si>
  <si>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</si>
  <si>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</si>
  <si>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</si>
  <si>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</si>
  <si>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</si>
  <si>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</si>
  <si>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</si>
  <si>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</si>
  <si>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</si>
  <si>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</si>
  <si>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</si>
  <si>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</si>
  <si>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</si>
  <si>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</si>
  <si>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</si>
  <si>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</si>
  <si>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</si>
  <si>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</si>
  <si>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</si>
  <si>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</si>
  <si>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</si>
  <si>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</si>
  <si>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</si>
  <si>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</si>
  <si>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</si>
  <si>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</si>
  <si>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</si>
  <si>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</si>
  <si>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</si>
  <si>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</si>
  <si>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</si>
  <si>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</si>
  <si>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</si>
  <si>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</si>
  <si>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</si>
  <si>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</si>
  <si>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</si>
  <si>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</si>
  <si>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</si>
  <si>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</si>
  <si>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</si>
  <si>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</si>
  <si>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</si>
  <si>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</si>
  <si>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</si>
  <si>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</si>
  <si>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</si>
  <si>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</si>
  <si>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</si>
  <si>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</si>
  <si>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</si>
  <si>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</si>
  <si>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</si>
  <si>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</si>
  <si>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</si>
  <si>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</si>
  <si>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</si>
  <si>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</si>
  <si>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</si>
  <si>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</si>
  <si>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</si>
  <si>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</si>
  <si>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</si>
  <si>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</si>
  <si>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</si>
  <si>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</si>
  <si>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</si>
  <si>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</si>
  <si>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</si>
  <si>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</si>
  <si>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</si>
  <si>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</si>
  <si>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</si>
  <si>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</si>
  <si>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</si>
  <si>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</si>
  <si>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</si>
  <si>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</si>
  <si>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</si>
  <si>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</si>
  <si>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</si>
  <si>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</si>
  <si>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</si>
  <si>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</si>
  <si>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</si>
  <si>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</si>
  <si>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</si>
  <si>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</si>
  <si>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</si>
  <si>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</si>
  <si>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</si>
  <si>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</si>
  <si>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</si>
  <si>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</si>
  <si>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</si>
  <si>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</si>
  <si>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</si>
  <si>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</si>
  <si>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</si>
  <si>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</si>
  <si>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</si>
  <si>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</si>
  <si>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</si>
  <si>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</si>
  <si>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</si>
  <si>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</si>
  <si>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</si>
  <si>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</si>
  <si>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</si>
  <si>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</si>
  <si>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</si>
  <si>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</si>
  <si>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</si>
  <si>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</si>
  <si>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</si>
  <si>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</si>
  <si>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</si>
  <si>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</si>
  <si>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</si>
  <si>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</si>
  <si>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</si>
  <si>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</si>
  <si>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</si>
  <si>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</si>
  <si>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</si>
  <si>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</si>
  <si>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</si>
  <si>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</si>
  <si>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</si>
  <si>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</si>
  <si>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</si>
  <si>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</si>
  <si>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</si>
  <si>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</si>
  <si>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</si>
  <si>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</si>
  <si>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</si>
  <si>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</si>
  <si>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</si>
  <si>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</si>
  <si>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</si>
  <si>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</si>
  <si>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</si>
  <si>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</si>
  <si>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</si>
  <si>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</si>
  <si>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</si>
  <si>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</si>
  <si>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</si>
  <si>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</si>
  <si>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</si>
  <si>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</si>
  <si>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</si>
  <si>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</si>
  <si>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</si>
  <si>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</si>
  <si>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</si>
  <si>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</si>
  <si>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</si>
  <si>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</si>
  <si>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</si>
  <si>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</si>
  <si>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</si>
  <si>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</si>
  <si>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</si>
  <si>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</si>
  <si>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</si>
  <si>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</si>
  <si>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</si>
  <si>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</si>
  <si>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</si>
  <si>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</si>
  <si>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</si>
  <si>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</si>
  <si>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</si>
  <si>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</si>
  <si>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</si>
  <si>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</si>
  <si>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</si>
  <si>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</si>
  <si>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</si>
  <si>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</si>
  <si>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</si>
  <si>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</si>
  <si>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</si>
  <si>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</si>
  <si>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</si>
  <si>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</si>
  <si>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</si>
  <si>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</si>
  <si>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</si>
  <si>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</si>
  <si>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</si>
  <si>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</si>
  <si>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</si>
  <si>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</si>
  <si>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</si>
  <si>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</si>
  <si>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</si>
  <si>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</si>
  <si>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</si>
  <si>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</si>
  <si>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</si>
  <si>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</si>
  <si>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</si>
  <si>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</si>
  <si>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</si>
  <si>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</si>
  <si>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</si>
  <si>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</si>
  <si>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</si>
  <si>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</si>
  <si>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</si>
  <si>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</si>
  <si>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</si>
  <si>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</si>
  <si>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</si>
  <si>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</si>
  <si>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</si>
  <si>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</si>
  <si>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</si>
  <si>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</si>
  <si>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</si>
  <si>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</si>
  <si>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</si>
  <si>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</si>
  <si>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</si>
  <si>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</si>
  <si>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</si>
  <si>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</si>
  <si>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</si>
  <si>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</si>
  <si>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</si>
  <si>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</si>
  <si>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</si>
  <si>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</si>
  <si>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</si>
  <si>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</si>
  <si>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</si>
  <si>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</si>
  <si>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</si>
  <si>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</si>
  <si>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</si>
  <si>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</si>
  <si>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</si>
  <si>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</si>
  <si>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</si>
  <si>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</si>
  <si>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</si>
  <si>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</si>
  <si>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</si>
  <si>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</si>
  <si>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</si>
  <si>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</si>
  <si>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</si>
  <si>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</si>
  <si>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</si>
  <si>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</si>
  <si>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</si>
  <si>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</si>
  <si>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</si>
  <si>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</si>
  <si>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</si>
  <si>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</si>
  <si>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</si>
  <si>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</si>
  <si>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</si>
  <si>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</si>
  <si>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</si>
  <si>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</si>
  <si>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</si>
  <si>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</si>
  <si>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</si>
  <si>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</si>
  <si>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</si>
  <si>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</si>
  <si>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</si>
  <si>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</si>
  <si>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</si>
  <si>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</si>
  <si>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</si>
  <si>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</si>
  <si>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</si>
  <si>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</si>
  <si>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</si>
  <si>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</si>
  <si>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</si>
  <si>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</si>
  <si>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</si>
  <si>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</si>
  <si>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</si>
  <si>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</si>
  <si>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</si>
  <si>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</si>
  <si>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</si>
  <si>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</si>
  <si>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</si>
  <si>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</si>
  <si>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</si>
  <si>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</si>
  <si>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</si>
  <si>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</si>
  <si>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</si>
  <si>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</si>
  <si>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</si>
  <si>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</si>
  <si>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</si>
  <si>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</si>
  <si>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</si>
  <si>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</si>
  <si>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</si>
  <si>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</si>
  <si>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</si>
  <si>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</si>
  <si>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</si>
  <si>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</si>
  <si>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</si>
  <si>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</si>
  <si>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</si>
  <si>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</si>
  <si>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</si>
  <si>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</si>
  <si>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</si>
  <si>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</si>
  <si>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</si>
  <si>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</si>
  <si>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</si>
  <si>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</si>
  <si>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</si>
  <si>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</si>
  <si>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</si>
  <si>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</si>
  <si>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</si>
  <si>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</si>
  <si>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</si>
  <si>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</si>
  <si>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</si>
  <si>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</si>
  <si>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</si>
  <si>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</si>
  <si>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</si>
  <si>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</si>
  <si>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</si>
  <si>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</si>
  <si>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</si>
  <si>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</si>
  <si>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</si>
  <si>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</si>
  <si>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</si>
  <si>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</si>
  <si>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</si>
  <si>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</si>
  <si>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</si>
  <si>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</si>
  <si>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</si>
  <si>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</si>
  <si>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</si>
  <si>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</si>
  <si>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Wermer, Rogers, Doran &amp; Ruzon, LLC</t>
  </si>
  <si>
    <t>755 Essington Road</t>
  </si>
  <si>
    <t>Joliet</t>
  </si>
  <si>
    <t>IL</t>
  </si>
  <si>
    <t>(815)730-6250</t>
  </si>
  <si>
    <t>(815)730-6257</t>
  </si>
  <si>
    <t>066-004133</t>
  </si>
  <si>
    <t>dmm@wrdr.com</t>
  </si>
  <si>
    <t>20. Internal control matters were noted in a separately issued management letter.</t>
  </si>
  <si>
    <t>Page</t>
  </si>
  <si>
    <t>Account</t>
  </si>
  <si>
    <t>Column</t>
  </si>
  <si>
    <t>Line #</t>
  </si>
  <si>
    <t>David M. Meyer</t>
  </si>
  <si>
    <t>SCHEDULE OF EXPENDITURES OF FEDERAL AWARDS (SEFA)</t>
  </si>
  <si>
    <t>Expenditure/Disbursements</t>
  </si>
  <si>
    <t>Federal Grantor/Pass-Through Grantor/</t>
  </si>
  <si>
    <t>Final</t>
  </si>
  <si>
    <t>Number</t>
  </si>
  <si>
    <t>or Contract #</t>
  </si>
  <si>
    <t>U.S. Department of Agriculture:</t>
  </si>
  <si>
    <t>Flow-Through from the Illinois State Board of Education:</t>
  </si>
  <si>
    <t>Child Nutrition Cluster:</t>
  </si>
  <si>
    <t>n/a</t>
  </si>
  <si>
    <t>Total CFDA 10.555</t>
  </si>
  <si>
    <t>2018-4220</t>
  </si>
  <si>
    <t>Total CFDA 10.553</t>
  </si>
  <si>
    <t>U.S. Department of Education:</t>
  </si>
  <si>
    <t>84.010A</t>
  </si>
  <si>
    <t>2018-4300</t>
  </si>
  <si>
    <t>Total CFDA 84.010A</t>
  </si>
  <si>
    <t>84.365A</t>
  </si>
  <si>
    <t>2018-4909</t>
  </si>
  <si>
    <t>Total CFDA 84.365A</t>
  </si>
  <si>
    <t>84.367A</t>
  </si>
  <si>
    <t>2018-4932</t>
  </si>
  <si>
    <t>Total CFDA 84.367A</t>
  </si>
  <si>
    <t>Special Education Cluster:</t>
  </si>
  <si>
    <t>84.027A</t>
  </si>
  <si>
    <t>2018-4620</t>
  </si>
  <si>
    <t>Total CFDA 84.027A</t>
  </si>
  <si>
    <t>Total U.S. Department of Education</t>
  </si>
  <si>
    <t>U.S. Department of Health and Human Services:</t>
  </si>
  <si>
    <t>2018-4991</t>
  </si>
  <si>
    <t>Total U.S. Department of Health and Human Services</t>
  </si>
  <si>
    <t>TOTAL FEDERAL AWARDS</t>
  </si>
  <si>
    <t xml:space="preserve"> (M) - Program was audited as a major program as defined by the Uniform Guidance.</t>
  </si>
  <si>
    <t>See Accompanying Notes to the Schedule of Expenditures of Federal Awards</t>
  </si>
  <si>
    <t>Year Ended June 30, 2019</t>
  </si>
  <si>
    <t>Of the federal expenditures presented in the schedule, the District provided federal awards to subrecipients as follows:</t>
  </si>
  <si>
    <t>1.  FINDING NUMBER:</t>
  </si>
  <si>
    <t>5. Context</t>
  </si>
  <si>
    <t>9.  Management's response</t>
  </si>
  <si>
    <t>1. FINDING NUMBER:</t>
  </si>
  <si>
    <t>9. Condition</t>
  </si>
  <si>
    <t>10. Questioned Costs</t>
  </si>
  <si>
    <t>11. Context</t>
  </si>
  <si>
    <t>SUMMARY SCHEDULE OF PRIOR AUDIT FINDINGS</t>
  </si>
  <si>
    <t>Current Status</t>
  </si>
  <si>
    <t>x</t>
  </si>
  <si>
    <t>2008 Bonds</t>
  </si>
  <si>
    <t>2010B Bonds</t>
  </si>
  <si>
    <t>2011A Bonds</t>
  </si>
  <si>
    <t>2012A Bonds</t>
  </si>
  <si>
    <t>2013A Bonds</t>
  </si>
  <si>
    <t>2014 Bonds</t>
  </si>
  <si>
    <t>2015 Bonds</t>
  </si>
  <si>
    <t>2017A Bonds</t>
  </si>
  <si>
    <t>2017B Bonds</t>
  </si>
  <si>
    <t>Capital Lease</t>
  </si>
  <si>
    <t>1,4</t>
  </si>
  <si>
    <t>1,6</t>
  </si>
  <si>
    <t>1,3</t>
  </si>
  <si>
    <t>Will</t>
  </si>
  <si>
    <t>300 Caterpillar Drive</t>
  </si>
  <si>
    <t>Dr. Mike Hanson</t>
  </si>
  <si>
    <t>mhanson@jths.org</t>
  </si>
  <si>
    <t>815-727-6970</t>
  </si>
  <si>
    <t>815-727-1277</t>
  </si>
  <si>
    <t>School Employees Loss Fund and Educational School Insurance Cooperative</t>
  </si>
  <si>
    <t xml:space="preserve">Illinois School District Liquid Asset Fund Plus </t>
  </si>
  <si>
    <t>Various Law Firms</t>
  </si>
  <si>
    <t>Three Rivers Education for Employment System</t>
  </si>
  <si>
    <t>Page R9-14</t>
  </si>
  <si>
    <t>C</t>
  </si>
  <si>
    <t>Payments in lieu of taxes</t>
  </si>
  <si>
    <t>E-Rate Reimbursements; Other local revenue</t>
  </si>
  <si>
    <t>Regular Tuition - Orphans</t>
  </si>
  <si>
    <t>Other Restricted Revenue - State; A/P Grant &amp; Other</t>
  </si>
  <si>
    <t>CTE Perkins II</t>
  </si>
  <si>
    <t>Page E15-22</t>
  </si>
  <si>
    <t>D</t>
  </si>
  <si>
    <t>E</t>
  </si>
  <si>
    <t>F</t>
  </si>
  <si>
    <t>J</t>
  </si>
  <si>
    <t>Other support services - salaries</t>
  </si>
  <si>
    <t>Other support services - employee benefits</t>
  </si>
  <si>
    <t>Other support services - purchased services</t>
  </si>
  <si>
    <t>Other support services - supplies and materials</t>
  </si>
  <si>
    <t>Post Employment Termination Benefits</t>
  </si>
  <si>
    <t>Bond Paying Agent Fees</t>
  </si>
  <si>
    <t>2019-4220</t>
  </si>
  <si>
    <t>2018-4210</t>
  </si>
  <si>
    <t>2019-4210</t>
  </si>
  <si>
    <t>Title IV - Student Support</t>
  </si>
  <si>
    <t>84.424A</t>
  </si>
  <si>
    <t>Total CFDA 84.424A</t>
  </si>
  <si>
    <t>Title III - IEP</t>
  </si>
  <si>
    <t>Title III - Language Instructional Program - Limited English</t>
  </si>
  <si>
    <t>Total Flow-Through from the Illinois State Board of Education</t>
  </si>
  <si>
    <t>Flow Through from Three Rivers Education For Employment Systems:</t>
  </si>
  <si>
    <t xml:space="preserve">Perkins IIC Grant </t>
  </si>
  <si>
    <t>Total Flow-Through from Three Rivers Education For Employment Systems</t>
  </si>
  <si>
    <t>Flowthrough from the Illinois Department of Human Services:</t>
  </si>
  <si>
    <t>Vocational Rehabilitation Grant</t>
  </si>
  <si>
    <t>Total Flow-Through from the Illinois Department of Human Services</t>
  </si>
  <si>
    <t>Child Care and Development Block Grant</t>
  </si>
  <si>
    <t>Total Flowthrough from the Illinois Department of Human Services</t>
  </si>
  <si>
    <t>Flowthrough from the Illinois Department of Healthcare and Family Services:</t>
  </si>
  <si>
    <t>Medicaid Matching</t>
  </si>
  <si>
    <t>Total Flow-Through from the Illinois Department of Healthcare and Family Services</t>
  </si>
  <si>
    <t>I.D.E.A. - Flow Through/Low Incidence (M)</t>
  </si>
  <si>
    <t>IDEA Room &amp; Board (M)</t>
  </si>
  <si>
    <t>84.048A</t>
  </si>
  <si>
    <t>2018-4400</t>
  </si>
  <si>
    <t>2019-4400</t>
  </si>
  <si>
    <t>2019-4905</t>
  </si>
  <si>
    <t>2019-4909</t>
  </si>
  <si>
    <t>2019-4932</t>
  </si>
  <si>
    <t>2019-4300</t>
  </si>
  <si>
    <t>2019-4306</t>
  </si>
  <si>
    <t>Title I - Low Income - Delinquent Priv</t>
  </si>
  <si>
    <t>2019-4620</t>
  </si>
  <si>
    <t>2018-4745</t>
  </si>
  <si>
    <t>2019-4745</t>
  </si>
  <si>
    <t>Data Processing Services-Rentals</t>
  </si>
  <si>
    <t>Health Services-Other Professional Services</t>
  </si>
  <si>
    <t>Data Processing Services-Other Professional Services</t>
  </si>
  <si>
    <t>10-2660-300</t>
  </si>
  <si>
    <t>Lenovo Financial</t>
  </si>
  <si>
    <t>KS State Bank</t>
  </si>
  <si>
    <t>CSI Leasing</t>
  </si>
  <si>
    <t>Hillmann Pediatrict Therapy</t>
  </si>
  <si>
    <t>Hanover Research Council</t>
  </si>
  <si>
    <t>Interim Healthcare Services</t>
  </si>
  <si>
    <t>ATC Healthcare</t>
  </si>
  <si>
    <t>Build America Bond Rebate is not included on the SEFA</t>
  </si>
  <si>
    <t>Reserve Officers' Training Corps is not included on the SEFA</t>
  </si>
  <si>
    <t>Commodities are included on the GAAP-basis</t>
  </si>
  <si>
    <t>Unmodified</t>
  </si>
  <si>
    <t>Special Education Cluster</t>
  </si>
  <si>
    <t>None</t>
  </si>
  <si>
    <t xml:space="preserve">    Department of Agriculture - Food Distribution</t>
  </si>
  <si>
    <t xml:space="preserve">    Department of Defense - Fresh Fruits and Vegetables</t>
  </si>
  <si>
    <t>Total U.S. Department of Agriculture</t>
  </si>
  <si>
    <t xml:space="preserve">Title I - Low Income </t>
  </si>
  <si>
    <t>I.D.E.A. - Flow Through/Low Incidence</t>
  </si>
  <si>
    <t>946CXF00153</t>
  </si>
  <si>
    <t xml:space="preserve">	846CWF00153</t>
  </si>
  <si>
    <t>2018-4625-XC</t>
  </si>
  <si>
    <t>The accompanying Schedule of Expenditures of Federal Awards includes the federal grant activity of the District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</si>
  <si>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 following amounts were expended in the form of non-cash assistance by the District and should be included in the Schedule of Expenditures of Federal Awards:</t>
  </si>
  <si>
    <t>10-2100-300</t>
  </si>
  <si>
    <t>ROTC Grant; Child Care &amp; Dev. Block Grant; Commodities</t>
  </si>
  <si>
    <t>See pdf on attachment page</t>
  </si>
  <si>
    <t>Joliet Twp HSD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</si>
</sst>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quot;$&quot;* ???,??0\);_(&quot;$&quot;* &quot;-&quot;????_);_(@_)"/>
    <numFmt numFmtId="183" formatCode="_(* ???,??0_);\(* ???,??0\);_(* &quot;-&quot;????_);_(@_)"/>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 ;\(#,##0\);\-\ \ \ \ \ "/>
    <numFmt numFmtId="195" formatCode="#,##0.00_);\(#,##0.00\);&quot;–       &quot;"/>
    <numFmt numFmtId="196" formatCode="#,###,_);\(#,###,\);&quot;–   &quot;"/>
    <numFmt numFmtId="197" formatCode="#,##0_);\(#,##0\);&quot;—      &quot;"/>
    <numFmt numFmtId="198" formatCode="#,###,_);\(#,###,\);&quot;–  &quot;\ \ \ \ \ "/>
    <numFmt numFmtId="199" formatCode="m/d/yy;@"/>
    <numFmt numFmtId="200" formatCode="_(* #,##0.00%_);[Red]_(* \(#,##0.00%\);_(0.00%_);@"/>
    <numFmt numFmtId="201" formatCode="mm/dd/yyyy"/>
    <numFmt numFmtId="202" formatCode="#,##0.0"/>
  </numFmts>
  <fonts count="218">
    <font>
      <sz val="10"/>
      <name val="Arial"/>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u val="singleAccounting"/>
      <sz val="10"/>
      <name val="Arial"/>
      <family val="2"/>
    </font>
    <font>
      <b/>
      <sz val="12"/>
      <name val="Arial"/>
      <family val="2"/>
    </font>
    <font>
      <b/>
      <sz val="11"/>
      <name val="Arial"/>
      <family val="2"/>
    </font>
    <font>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57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2"/>
      <name val="Arial"/>
      <family val="2"/>
    </font>
    <font>
      <u/>
      <sz val="10"/>
      <color indexed="12"/>
      <name val="Arial"/>
      <family val="2"/>
    </font>
    <font>
      <b/>
      <sz val="10"/>
      <color indexed="8"/>
      <name val="Arial"/>
      <family val="2"/>
    </font>
    <font>
      <sz val="12"/>
      <name val="Tms Rmn"/>
    </font>
    <font>
      <sz val="11"/>
      <color indexed="8"/>
      <name val="Calibri"/>
      <family val="2"/>
    </font>
    <font>
      <sz val="11"/>
      <color indexed="9"/>
      <name val="Calibri"/>
      <family val="2"/>
    </font>
    <font>
      <sz val="11"/>
      <color indexed="20"/>
      <name val="Calibri"/>
      <family val="2"/>
    </font>
    <font>
      <sz val="11"/>
      <name val="Times New Roman"/>
      <family val="1"/>
    </font>
    <font>
      <b/>
      <sz val="11"/>
      <color indexed="52"/>
      <name val="Calibri"/>
      <family val="2"/>
    </font>
    <font>
      <b/>
      <sz val="11"/>
      <color indexed="9"/>
      <name val="Calibri"/>
      <family val="2"/>
    </font>
    <font>
      <b/>
      <sz val="11"/>
      <name val="Times New Roman"/>
      <family val="1"/>
    </font>
    <font>
      <i/>
      <sz val="11"/>
      <color indexed="23"/>
      <name val="Calibri"/>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sz val="11"/>
      <color indexed="17"/>
      <name val="Calibri"/>
      <family val="2"/>
    </font>
    <font>
      <b/>
      <sz val="15"/>
      <color indexed="62"/>
      <name val="Calibri"/>
      <family val="2"/>
    </font>
    <font>
      <b/>
      <sz val="13"/>
      <color indexed="62"/>
      <name val="Calibri"/>
      <family val="2"/>
    </font>
    <font>
      <b/>
      <sz val="11"/>
      <color indexed="62"/>
      <name val="Calibri"/>
      <family val="2"/>
    </font>
    <font>
      <b/>
      <sz val="18"/>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u/>
      <sz val="11"/>
      <name val="Times New Roman"/>
      <family val="1"/>
    </font>
    <font>
      <sz val="10"/>
      <color indexed="8"/>
      <name val="Arial"/>
      <family val="2"/>
    </font>
    <font>
      <b/>
      <sz val="10"/>
      <color indexed="8"/>
      <name val="Times New Roman"/>
      <family val="1"/>
    </font>
    <font>
      <b/>
      <sz val="18"/>
      <color indexed="62"/>
      <name val="Cambria"/>
      <family val="2"/>
    </font>
    <font>
      <b/>
      <sz val="11"/>
      <color indexed="8"/>
      <name val="Calibri"/>
      <family val="2"/>
    </font>
    <font>
      <sz val="11"/>
      <color indexed="10"/>
      <name val="Calibri"/>
      <family val="2"/>
    </font>
    <font>
      <sz val="10"/>
      <color rgb="FF000000"/>
      <name val="Arial"/>
      <family val="2"/>
    </font>
    <font>
      <sz val="10"/>
      <color rgb="FF9C6500"/>
      <name val="Arial"/>
      <family val="2"/>
    </font>
    <font>
      <b/>
      <sz val="18"/>
      <color theme="3"/>
      <name val="Cambria"/>
      <family val="2"/>
      <scheme val="major"/>
    </font>
    <font>
      <sz val="10"/>
      <name val="Courier"/>
    </font>
    <font>
      <sz val="10"/>
      <name val="Courier"/>
      <family val="3"/>
    </font>
    <font>
      <b/>
      <sz val="10"/>
      <name val="MS Sans Serif"/>
      <family val="2"/>
    </font>
    <font>
      <b/>
      <sz val="10"/>
      <color indexed="9"/>
      <name val="Arial"/>
      <family val="2"/>
    </font>
    <font>
      <sz val="10"/>
      <color indexed="63"/>
      <name val="Arial"/>
      <family val="2"/>
    </font>
    <font>
      <b/>
      <i/>
      <sz val="10"/>
      <color indexed="63"/>
      <name val="Arial"/>
      <family val="2"/>
    </font>
    <font>
      <b/>
      <sz val="10"/>
      <color indexed="12"/>
      <name val="Arial"/>
      <family val="2"/>
    </font>
    <font>
      <b/>
      <sz val="9"/>
      <color indexed="18"/>
      <name val="Arial"/>
      <family val="2"/>
    </font>
    <font>
      <b/>
      <sz val="9"/>
      <color indexed="9"/>
      <name val="Arial"/>
      <family val="2"/>
    </font>
    <font>
      <sz val="11"/>
      <color rgb="FF9C0006"/>
      <name val="Calibri"/>
      <family val="2"/>
      <scheme val="minor"/>
    </font>
    <font>
      <b/>
      <sz val="11"/>
      <color rgb="FFFA7D00"/>
      <name val="Calibri"/>
      <family val="2"/>
      <scheme val="minor"/>
    </font>
    <font>
      <b/>
      <sz val="11"/>
      <color theme="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sz val="12"/>
      <name val="Letter Gothic"/>
      <family val="3"/>
    </font>
    <font>
      <b/>
      <i/>
      <sz val="10"/>
      <name val="Arial"/>
      <family val="2"/>
    </font>
    <font>
      <i/>
      <sz val="10"/>
      <name val="Arial"/>
      <family val="2"/>
    </font>
  </fonts>
  <fills count="90">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14"/>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8"/>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4"/>
        <bgColor indexed="64"/>
      </patternFill>
    </fill>
    <fill>
      <patternFill patternType="mediumGray">
        <fgColor indexed="22"/>
      </patternFill>
    </fill>
    <fill>
      <patternFill patternType="solid">
        <fgColor rgb="FF99CCFF"/>
        <bgColor indexed="64"/>
      </patternFill>
    </fill>
    <fill>
      <patternFill patternType="solid">
        <fgColor theme="1" tint="0.24994659260841701"/>
        <bgColor indexed="64"/>
      </patternFill>
    </fill>
  </fills>
  <borders count="18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49"/>
      </top>
      <bottom style="double">
        <color indexed="49"/>
      </bottom>
      <diagonal/>
    </border>
    <border>
      <left/>
      <right/>
      <top style="thin">
        <color indexed="64"/>
      </top>
      <bottom style="double">
        <color indexed="64"/>
      </bottom>
      <diagonal/>
    </border>
    <border>
      <left/>
      <right/>
      <top style="thin">
        <color indexed="8"/>
      </top>
      <bottom style="double">
        <color indexed="8"/>
      </bottom>
      <diagonal/>
    </border>
  </borders>
  <cellStyleXfs count="1629">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188" fontId="161" fillId="0" borderId="0" applyFont="0" applyFill="0" applyBorder="0" applyAlignment="0" applyProtection="0">
      <alignment horizontal="right"/>
    </xf>
    <xf numFmtId="0" fontId="3" fillId="46" borderId="0" applyNumberFormat="0" applyBorder="0" applyAlignment="0" applyProtection="0"/>
    <xf numFmtId="0" fontId="162" fillId="59" borderId="0" applyNumberFormat="0" applyBorder="0" applyAlignment="0" applyProtection="0"/>
    <xf numFmtId="186" fontId="161" fillId="0" borderId="0" applyFont="0" applyFill="0" applyBorder="0" applyAlignment="0" applyProtection="0"/>
    <xf numFmtId="0" fontId="162" fillId="58" borderId="0" applyNumberFormat="0" applyBorder="0" applyAlignment="0" applyProtection="0"/>
    <xf numFmtId="0" fontId="3" fillId="54" borderId="0" applyNumberFormat="0" applyBorder="0" applyAlignment="0" applyProtection="0"/>
    <xf numFmtId="185" fontId="161" fillId="0" borderId="0" applyFont="0" applyFill="0" applyBorder="0" applyAlignment="0" applyProtection="0"/>
    <xf numFmtId="0" fontId="162" fillId="61" borderId="0" applyNumberFormat="0" applyBorder="0" applyAlignment="0" applyProtection="0"/>
    <xf numFmtId="0" fontId="5" fillId="0" borderId="0"/>
    <xf numFmtId="0" fontId="5" fillId="0" borderId="0"/>
    <xf numFmtId="0" fontId="162" fillId="58" borderId="0" applyNumberFormat="0" applyBorder="0" applyAlignment="0" applyProtection="0"/>
    <xf numFmtId="0" fontId="162" fillId="60" borderId="0" applyNumberFormat="0" applyBorder="0" applyAlignment="0" applyProtection="0"/>
    <xf numFmtId="0" fontId="3" fillId="42" borderId="0" applyNumberFormat="0" applyBorder="0" applyAlignment="0" applyProtection="0"/>
    <xf numFmtId="0" fontId="162" fillId="59"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84" fontId="161" fillId="0" borderId="0" applyFont="0" applyFill="0" applyBorder="0" applyAlignment="0" applyProtection="0"/>
    <xf numFmtId="0" fontId="162" fillId="62" borderId="0" applyNumberFormat="0" applyBorder="0" applyAlignment="0" applyProtection="0"/>
    <xf numFmtId="187" fontId="161" fillId="0" borderId="0" applyFont="0" applyFill="0" applyBorder="0" applyAlignment="0" applyProtection="0"/>
    <xf numFmtId="0" fontId="3" fillId="50" borderId="0" applyNumberFormat="0" applyBorder="0" applyAlignment="0" applyProtection="0"/>
    <xf numFmtId="0" fontId="3" fillId="35" borderId="0" applyNumberFormat="0" applyBorder="0" applyAlignment="0" applyProtection="0"/>
    <xf numFmtId="0" fontId="162" fillId="63" borderId="0" applyNumberFormat="0" applyBorder="0" applyAlignment="0" applyProtection="0"/>
    <xf numFmtId="0" fontId="3" fillId="39" borderId="0" applyNumberFormat="0" applyBorder="0" applyAlignment="0" applyProtection="0"/>
    <xf numFmtId="0" fontId="162" fillId="60" borderId="0" applyNumberFormat="0" applyBorder="0" applyAlignment="0" applyProtection="0"/>
    <xf numFmtId="0" fontId="3" fillId="43" borderId="0" applyNumberFormat="0" applyBorder="0" applyAlignment="0" applyProtection="0"/>
    <xf numFmtId="0" fontId="162" fillId="62" borderId="0" applyNumberFormat="0" applyBorder="0" applyAlignment="0" applyProtection="0"/>
    <xf numFmtId="0" fontId="3" fillId="47" borderId="0" applyNumberFormat="0" applyBorder="0" applyAlignment="0" applyProtection="0"/>
    <xf numFmtId="0" fontId="162" fillId="64" borderId="0" applyNumberFormat="0" applyBorder="0" applyAlignment="0" applyProtection="0"/>
    <xf numFmtId="0" fontId="3" fillId="51" borderId="0" applyNumberFormat="0" applyBorder="0" applyAlignment="0" applyProtection="0"/>
    <xf numFmtId="0" fontId="162" fillId="59" borderId="0" applyNumberFormat="0" applyBorder="0" applyAlignment="0" applyProtection="0"/>
    <xf numFmtId="0" fontId="3" fillId="55" borderId="0" applyNumberFormat="0" applyBorder="0" applyAlignment="0" applyProtection="0"/>
    <xf numFmtId="189" fontId="161" fillId="0" borderId="0" applyFont="0" applyFill="0" applyBorder="0" applyAlignment="0" applyProtection="0"/>
    <xf numFmtId="190" fontId="161" fillId="0" borderId="0" applyFont="0" applyFill="0" applyBorder="0" applyAlignment="0" applyProtection="0">
      <alignment horizontal="right"/>
    </xf>
    <xf numFmtId="0" fontId="163" fillId="65" borderId="0" applyNumberFormat="0" applyBorder="0" applyAlignment="0" applyProtection="0"/>
    <xf numFmtId="0" fontId="157" fillId="36" borderId="0" applyNumberFormat="0" applyBorder="0" applyAlignment="0" applyProtection="0"/>
    <xf numFmtId="0" fontId="163" fillId="63" borderId="0" applyNumberFormat="0" applyBorder="0" applyAlignment="0" applyProtection="0"/>
    <xf numFmtId="0" fontId="157" fillId="40" borderId="0" applyNumberFormat="0" applyBorder="0" applyAlignment="0" applyProtection="0"/>
    <xf numFmtId="0" fontId="163" fillId="60" borderId="0" applyNumberFormat="0" applyBorder="0" applyAlignment="0" applyProtection="0"/>
    <xf numFmtId="0" fontId="157" fillId="44" borderId="0" applyNumberFormat="0" applyBorder="0" applyAlignment="0" applyProtection="0"/>
    <xf numFmtId="0" fontId="163" fillId="62" borderId="0" applyNumberFormat="0" applyBorder="0" applyAlignment="0" applyProtection="0"/>
    <xf numFmtId="0" fontId="157" fillId="48" borderId="0" applyNumberFormat="0" applyBorder="0" applyAlignment="0" applyProtection="0"/>
    <xf numFmtId="0" fontId="163" fillId="65" borderId="0" applyNumberFormat="0" applyBorder="0" applyAlignment="0" applyProtection="0"/>
    <xf numFmtId="0" fontId="157" fillId="52" borderId="0" applyNumberFormat="0" applyBorder="0" applyAlignment="0" applyProtection="0"/>
    <xf numFmtId="0" fontId="163" fillId="63" borderId="0" applyNumberFormat="0" applyBorder="0" applyAlignment="0" applyProtection="0"/>
    <xf numFmtId="0" fontId="157" fillId="56" borderId="0" applyNumberFormat="0" applyBorder="0" applyAlignment="0" applyProtection="0"/>
    <xf numFmtId="191" fontId="161" fillId="0" borderId="0" applyFont="0" applyFill="0" applyBorder="0" applyAlignment="0" applyProtection="0">
      <alignment horizontal="right"/>
    </xf>
    <xf numFmtId="192" fontId="161" fillId="0" borderId="0" applyFont="0" applyFill="0" applyBorder="0" applyAlignment="0" applyProtection="0">
      <alignment horizontal="right"/>
    </xf>
    <xf numFmtId="193" fontId="161" fillId="0" borderId="0" applyFont="0" applyFill="0" applyBorder="0" applyAlignment="0" applyProtection="0"/>
    <xf numFmtId="0" fontId="163" fillId="65" borderId="0" applyNumberFormat="0" applyBorder="0" applyAlignment="0" applyProtection="0"/>
    <xf numFmtId="0" fontId="157" fillId="33" borderId="0" applyNumberFormat="0" applyBorder="0" applyAlignment="0" applyProtection="0"/>
    <xf numFmtId="0" fontId="163" fillId="66" borderId="0" applyNumberFormat="0" applyBorder="0" applyAlignment="0" applyProtection="0"/>
    <xf numFmtId="0" fontId="157" fillId="37" borderId="0" applyNumberFormat="0" applyBorder="0" applyAlignment="0" applyProtection="0"/>
    <xf numFmtId="0" fontId="163" fillId="67" borderId="0" applyNumberFormat="0" applyBorder="0" applyAlignment="0" applyProtection="0"/>
    <xf numFmtId="0" fontId="157" fillId="41" borderId="0" applyNumberFormat="0" applyBorder="0" applyAlignment="0" applyProtection="0"/>
    <xf numFmtId="0" fontId="163" fillId="68" borderId="0" applyNumberFormat="0" applyBorder="0" applyAlignment="0" applyProtection="0"/>
    <xf numFmtId="0" fontId="157" fillId="45" borderId="0" applyNumberFormat="0" applyBorder="0" applyAlignment="0" applyProtection="0"/>
    <xf numFmtId="0" fontId="163" fillId="65" borderId="0" applyNumberFormat="0" applyBorder="0" applyAlignment="0" applyProtection="0"/>
    <xf numFmtId="0" fontId="157" fillId="49" borderId="0" applyNumberFormat="0" applyBorder="0" applyAlignment="0" applyProtection="0"/>
    <xf numFmtId="0" fontId="163" fillId="69" borderId="0" applyNumberFormat="0" applyBorder="0" applyAlignment="0" applyProtection="0"/>
    <xf numFmtId="0" fontId="157" fillId="53" borderId="0" applyNumberFormat="0" applyBorder="0" applyAlignment="0" applyProtection="0"/>
    <xf numFmtId="0" fontId="164" fillId="70" borderId="0" applyNumberFormat="0" applyBorder="0" applyAlignment="0" applyProtection="0"/>
    <xf numFmtId="0" fontId="147" fillId="27" borderId="0" applyNumberFormat="0" applyBorder="0" applyAlignment="0" applyProtection="0"/>
    <xf numFmtId="0" fontId="161" fillId="0" borderId="169" applyNumberFormat="0" applyFill="0" applyAlignment="0" applyProtection="0"/>
    <xf numFmtId="194" fontId="165" fillId="0" borderId="169" applyNumberFormat="0" applyFill="0" applyAlignment="0" applyProtection="0">
      <alignment horizontal="center"/>
    </xf>
    <xf numFmtId="194" fontId="165" fillId="0" borderId="74" applyFill="0" applyAlignment="0" applyProtection="0">
      <alignment horizontal="center"/>
    </xf>
    <xf numFmtId="0" fontId="166" fillId="71" borderId="1" applyNumberFormat="0" applyAlignment="0" applyProtection="0"/>
    <xf numFmtId="0" fontId="151" fillId="30" borderId="163" applyNumberFormat="0" applyAlignment="0" applyProtection="0"/>
    <xf numFmtId="0" fontId="167" fillId="72" borderId="170" applyNumberFormat="0" applyAlignment="0" applyProtection="0"/>
    <xf numFmtId="0" fontId="153" fillId="31" borderId="166" applyNumberFormat="0" applyAlignment="0" applyProtection="0"/>
    <xf numFmtId="0" fontId="168" fillId="0" borderId="0" applyProtection="0"/>
    <xf numFmtId="194" fontId="165"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91" fillId="0" borderId="0" applyFont="0" applyFill="0" applyBorder="0" applyAlignment="0" applyProtection="0"/>
    <xf numFmtId="3" fontId="12" fillId="0" borderId="0" applyFont="0" applyFill="0" applyBorder="0" applyAlignment="0" applyProtection="0"/>
    <xf numFmtId="5" fontId="12" fillId="0" borderId="0" applyFont="0" applyFill="0" applyBorder="0" applyAlignment="0" applyProtection="0"/>
    <xf numFmtId="0" fontId="158" fillId="0" borderId="0" applyProtection="0"/>
    <xf numFmtId="195" fontId="161" fillId="0" borderId="0" applyFont="0" applyFill="0" applyBorder="0" applyAlignment="0" applyProtection="0"/>
    <xf numFmtId="194" fontId="165" fillId="0" borderId="171" applyNumberFormat="0" applyFill="0" applyAlignment="0" applyProtection="0"/>
    <xf numFmtId="0" fontId="161" fillId="0" borderId="171" applyNumberFormat="0" applyFill="0" applyAlignment="0" applyProtection="0"/>
    <xf numFmtId="0" fontId="169" fillId="0" borderId="0" applyNumberFormat="0" applyFill="0" applyBorder="0" applyAlignment="0" applyProtection="0"/>
    <xf numFmtId="0" fontId="155" fillId="0" borderId="0" applyNumberFormat="0" applyFill="0" applyBorder="0" applyAlignment="0" applyProtection="0"/>
    <xf numFmtId="0" fontId="170" fillId="0" borderId="0" applyProtection="0"/>
    <xf numFmtId="0" fontId="13" fillId="0" borderId="0" applyProtection="0"/>
    <xf numFmtId="0" fontId="171" fillId="0" borderId="0" applyProtection="0"/>
    <xf numFmtId="0" fontId="172" fillId="0" borderId="0" applyProtection="0"/>
    <xf numFmtId="0" fontId="173" fillId="0" borderId="0" applyProtection="0"/>
    <xf numFmtId="0" fontId="174" fillId="0" borderId="0" applyProtection="0"/>
    <xf numFmtId="0" fontId="175" fillId="0" borderId="0" applyProtection="0"/>
    <xf numFmtId="2" fontId="158" fillId="0" borderId="0" applyProtection="0"/>
    <xf numFmtId="0" fontId="176" fillId="73" borderId="0" applyNumberFormat="0" applyBorder="0" applyAlignment="0" applyProtection="0"/>
    <xf numFmtId="0" fontId="146" fillId="26" borderId="0" applyNumberFormat="0" applyBorder="0" applyAlignment="0" applyProtection="0"/>
    <xf numFmtId="0" fontId="177" fillId="0" borderId="172" applyNumberFormat="0" applyFill="0" applyAlignment="0" applyProtection="0"/>
    <xf numFmtId="0" fontId="143" fillId="0" borderId="160" applyNumberFormat="0" applyFill="0" applyAlignment="0" applyProtection="0"/>
    <xf numFmtId="0" fontId="178" fillId="0" borderId="173" applyNumberFormat="0" applyFill="0" applyAlignment="0" applyProtection="0"/>
    <xf numFmtId="0" fontId="144" fillId="0" borderId="161" applyNumberFormat="0" applyFill="0" applyAlignment="0" applyProtection="0"/>
    <xf numFmtId="0" fontId="179" fillId="0" borderId="174" applyNumberFormat="0" applyFill="0" applyAlignment="0" applyProtection="0"/>
    <xf numFmtId="0" fontId="145" fillId="0" borderId="162" applyNumberFormat="0" applyFill="0" applyAlignment="0" applyProtection="0"/>
    <xf numFmtId="0" fontId="179" fillId="0" borderId="0" applyNumberFormat="0" applyFill="0" applyBorder="0" applyAlignment="0" applyProtection="0"/>
    <xf numFmtId="0" fontId="145" fillId="0" borderId="0" applyNumberFormat="0" applyFill="0" applyBorder="0" applyAlignment="0" applyProtection="0"/>
    <xf numFmtId="0" fontId="180" fillId="0" borderId="0" applyProtection="0"/>
    <xf numFmtId="0" fontId="140" fillId="0" borderId="0" applyProtection="0"/>
    <xf numFmtId="196" fontId="161" fillId="0" borderId="0" applyFont="0" applyFill="0" applyBorder="0" applyAlignment="0" applyProtection="0"/>
    <xf numFmtId="0" fontId="181" fillId="59" borderId="1" applyNumberFormat="0" applyAlignment="0" applyProtection="0"/>
    <xf numFmtId="0" fontId="149" fillId="29" borderId="163" applyNumberFormat="0" applyAlignment="0" applyProtection="0"/>
    <xf numFmtId="0" fontId="182" fillId="0" borderId="175" applyNumberFormat="0" applyFill="0" applyAlignment="0" applyProtection="0"/>
    <xf numFmtId="0" fontId="152" fillId="0" borderId="165" applyNumberFormat="0" applyFill="0" applyAlignment="0" applyProtection="0"/>
    <xf numFmtId="0" fontId="183" fillId="59" borderId="0" applyNumberFormat="0" applyBorder="0" applyAlignment="0" applyProtection="0"/>
    <xf numFmtId="0" fontId="192" fillId="28" borderId="0" applyNumberFormat="0" applyBorder="0" applyAlignment="0" applyProtection="0"/>
    <xf numFmtId="0" fontId="165" fillId="0" borderId="0" applyNumberFormat="0" applyFill="0" applyAlignment="0" applyProtection="0"/>
    <xf numFmtId="0" fontId="12" fillId="60" borderId="2" applyNumberFormat="0" applyFont="0" applyAlignment="0" applyProtection="0"/>
    <xf numFmtId="0" fontId="3" fillId="32" borderId="167" applyNumberFormat="0" applyFont="0" applyAlignment="0" applyProtection="0"/>
    <xf numFmtId="197" fontId="165" fillId="0" borderId="0" applyFill="0" applyBorder="0" applyProtection="0">
      <alignment horizontal="right"/>
    </xf>
    <xf numFmtId="0" fontId="184" fillId="71" borderId="176" applyNumberFormat="0" applyAlignment="0" applyProtection="0"/>
    <xf numFmtId="0" fontId="150" fillId="30" borderId="164" applyNumberFormat="0" applyAlignment="0" applyProtection="0"/>
    <xf numFmtId="198" fontId="165" fillId="0" borderId="0" applyProtection="0"/>
    <xf numFmtId="0" fontId="165" fillId="0" borderId="74" applyNumberFormat="0" applyFill="0" applyAlignment="0" applyProtection="0"/>
    <xf numFmtId="8" fontId="185" fillId="0" borderId="0" applyNumberFormat="0" applyFill="0" applyBorder="0" applyAlignment="0" applyProtection="0"/>
    <xf numFmtId="0" fontId="186" fillId="0" borderId="0" applyNumberFormat="0" applyBorder="0" applyAlignment="0"/>
    <xf numFmtId="0" fontId="187" fillId="0" borderId="0" applyNumberFormat="0" applyBorder="0" applyAlignment="0"/>
    <xf numFmtId="0" fontId="188" fillId="0" borderId="0" applyNumberFormat="0" applyFill="0" applyBorder="0" applyAlignment="0" applyProtection="0"/>
    <xf numFmtId="0" fontId="193" fillId="0" borderId="0" applyNumberFormat="0" applyFill="0" applyBorder="0" applyAlignment="0" applyProtection="0"/>
    <xf numFmtId="0" fontId="161" fillId="0" borderId="177" applyNumberFormat="0" applyFont="0" applyFill="0" applyAlignment="0" applyProtection="0"/>
    <xf numFmtId="0" fontId="161" fillId="0" borderId="178" applyNumberFormat="0" applyFont="0" applyFill="0" applyAlignment="0" applyProtection="0"/>
    <xf numFmtId="0" fontId="161" fillId="0" borderId="135" applyNumberFormat="0" applyFont="0" applyFill="0" applyAlignment="0" applyProtection="0"/>
    <xf numFmtId="0" fontId="189" fillId="0" borderId="179" applyNumberFormat="0" applyFill="0" applyAlignment="0" applyProtection="0"/>
    <xf numFmtId="0" fontId="156" fillId="0" borderId="168" applyNumberFormat="0" applyFill="0" applyAlignment="0" applyProtection="0"/>
    <xf numFmtId="0" fontId="190" fillId="0" borderId="0" applyNumberFormat="0" applyFill="0" applyBorder="0" applyAlignment="0" applyProtection="0"/>
    <xf numFmtId="0" fontId="154" fillId="0" borderId="0" applyNumberFormat="0" applyFill="0" applyBorder="0" applyAlignment="0" applyProtection="0"/>
    <xf numFmtId="39" fontId="194" fillId="0" borderId="0"/>
    <xf numFmtId="0" fontId="3" fillId="55" borderId="0" applyNumberFormat="0" applyBorder="0" applyAlignment="0" applyProtection="0"/>
    <xf numFmtId="0" fontId="162" fillId="64" borderId="0" applyNumberFormat="0" applyBorder="0" applyAlignment="0" applyProtection="0"/>
    <xf numFmtId="0" fontId="3" fillId="51" borderId="0" applyNumberFormat="0" applyBorder="0" applyAlignment="0" applyProtection="0"/>
    <xf numFmtId="0" fontId="162" fillId="62" borderId="0" applyNumberFormat="0" applyBorder="0" applyAlignment="0" applyProtection="0"/>
    <xf numFmtId="0" fontId="3" fillId="47" borderId="0" applyNumberFormat="0" applyBorder="0" applyAlignment="0" applyProtection="0"/>
    <xf numFmtId="0" fontId="162" fillId="60" borderId="0" applyNumberFormat="0" applyBorder="0" applyAlignment="0" applyProtection="0"/>
    <xf numFmtId="0" fontId="3" fillId="43" borderId="0" applyNumberFormat="0" applyBorder="0" applyAlignment="0" applyProtection="0"/>
    <xf numFmtId="0" fontId="162" fillId="74" borderId="0" applyNumberFormat="0" applyBorder="0" applyAlignment="0" applyProtection="0"/>
    <xf numFmtId="0" fontId="162" fillId="74" borderId="0" applyNumberFormat="0" applyBorder="0" applyAlignment="0" applyProtection="0"/>
    <xf numFmtId="0" fontId="163" fillId="75"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35" fillId="33" borderId="0" applyNumberFormat="0" applyBorder="0" applyAlignment="0" applyProtection="0"/>
    <xf numFmtId="0" fontId="162" fillId="76" borderId="0" applyNumberFormat="0" applyBorder="0" applyAlignment="0" applyProtection="0"/>
    <xf numFmtId="0" fontId="162" fillId="77" borderId="0" applyNumberFormat="0" applyBorder="0" applyAlignment="0" applyProtection="0"/>
    <xf numFmtId="0" fontId="163" fillId="78"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35" fillId="37" borderId="0" applyNumberFormat="0" applyBorder="0" applyAlignment="0" applyProtection="0"/>
    <xf numFmtId="0" fontId="162" fillId="76" borderId="0" applyNumberFormat="0" applyBorder="0" applyAlignment="0" applyProtection="0"/>
    <xf numFmtId="0" fontId="162" fillId="79" borderId="0" applyNumberFormat="0" applyBorder="0" applyAlignment="0" applyProtection="0"/>
    <xf numFmtId="0" fontId="163" fillId="77"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35" fillId="41" borderId="0" applyNumberFormat="0" applyBorder="0" applyAlignment="0" applyProtection="0"/>
    <xf numFmtId="0" fontId="162" fillId="74" borderId="0" applyNumberFormat="0" applyBorder="0" applyAlignment="0" applyProtection="0"/>
    <xf numFmtId="0" fontId="162" fillId="77" borderId="0" applyNumberFormat="0" applyBorder="0" applyAlignment="0" applyProtection="0"/>
    <xf numFmtId="0" fontId="163" fillId="77"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35" fillId="45" borderId="0" applyNumberFormat="0" applyBorder="0" applyAlignment="0" applyProtection="0"/>
    <xf numFmtId="0" fontId="162" fillId="80" borderId="0" applyNumberFormat="0" applyBorder="0" applyAlignment="0" applyProtection="0"/>
    <xf numFmtId="0" fontId="162" fillId="74" borderId="0" applyNumberFormat="0" applyBorder="0" applyAlignment="0" applyProtection="0"/>
    <xf numFmtId="0" fontId="163" fillId="75"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35" fillId="49" borderId="0" applyNumberFormat="0" applyBorder="0" applyAlignment="0" applyProtection="0"/>
    <xf numFmtId="0" fontId="162" fillId="76" borderId="0" applyNumberFormat="0" applyBorder="0" applyAlignment="0" applyProtection="0"/>
    <xf numFmtId="0" fontId="162" fillId="81" borderId="0" applyNumberFormat="0" applyBorder="0" applyAlignment="0" applyProtection="0"/>
    <xf numFmtId="0" fontId="163" fillId="81"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0" fontId="135" fillId="53" borderId="0" applyNumberFormat="0" applyBorder="0" applyAlignment="0" applyProtection="0"/>
    <xf numFmtId="40" fontId="15" fillId="0" borderId="74">
      <alignment horizontal="right"/>
    </xf>
    <xf numFmtId="0" fontId="200" fillId="0" borderId="0">
      <alignment horizontal="left"/>
    </xf>
    <xf numFmtId="40" fontId="12" fillId="0" borderId="0"/>
    <xf numFmtId="0" fontId="200" fillId="0" borderId="0">
      <alignment horizontal="left"/>
    </xf>
    <xf numFmtId="200" fontId="15" fillId="0" borderId="74">
      <alignment horizontal="right"/>
    </xf>
    <xf numFmtId="40" fontId="15" fillId="0" borderId="0">
      <alignment horizontal="right"/>
    </xf>
    <xf numFmtId="40" fontId="12" fillId="0" borderId="0">
      <alignment horizontal="right"/>
    </xf>
    <xf numFmtId="40" fontId="12" fillId="0" borderId="0">
      <alignment horizontal="left"/>
    </xf>
    <xf numFmtId="40" fontId="12" fillId="0" borderId="0"/>
    <xf numFmtId="40" fontId="12" fillId="0" borderId="0">
      <alignment horizontal="left"/>
    </xf>
    <xf numFmtId="200" fontId="12" fillId="0" borderId="0">
      <alignment horizontal="right"/>
    </xf>
    <xf numFmtId="40" fontId="12" fillId="0" borderId="0"/>
    <xf numFmtId="40" fontId="197" fillId="82" borderId="0">
      <alignment horizontal="right" vertical="center"/>
    </xf>
    <xf numFmtId="40" fontId="197" fillId="82" borderId="0">
      <alignment horizontal="left" vertical="center"/>
    </xf>
    <xf numFmtId="40" fontId="197" fillId="82" borderId="0">
      <alignment horizontal="center" vertical="center"/>
    </xf>
    <xf numFmtId="40" fontId="197" fillId="82" borderId="0">
      <alignment horizontal="center" vertical="center"/>
    </xf>
    <xf numFmtId="40" fontId="197" fillId="82" borderId="0">
      <alignment horizontal="right" vertical="center"/>
    </xf>
    <xf numFmtId="40" fontId="197" fillId="82" borderId="0">
      <alignment horizontal="right"/>
    </xf>
    <xf numFmtId="40" fontId="197" fillId="82" borderId="0">
      <alignment horizontal="center" vertical="center"/>
    </xf>
    <xf numFmtId="40" fontId="12" fillId="0" borderId="0"/>
    <xf numFmtId="0" fontId="12" fillId="0" borderId="0">
      <alignment horizontal="left"/>
    </xf>
    <xf numFmtId="40" fontId="12" fillId="0" borderId="0"/>
    <xf numFmtId="0" fontId="12" fillId="0" borderId="0">
      <alignment horizontal="center" vertical="center"/>
    </xf>
    <xf numFmtId="200" fontId="12" fillId="0" borderId="0">
      <alignment horizontal="right"/>
    </xf>
    <xf numFmtId="40" fontId="12" fillId="0" borderId="0"/>
    <xf numFmtId="40" fontId="197" fillId="82" borderId="0">
      <alignment horizontal="center" vertical="center"/>
    </xf>
    <xf numFmtId="40" fontId="197" fillId="82" borderId="0">
      <alignment horizontal="center" vertical="center"/>
    </xf>
    <xf numFmtId="200" fontId="197" fillId="82" borderId="0">
      <alignment horizontal="center" vertical="center"/>
    </xf>
    <xf numFmtId="40" fontId="197" fillId="82" borderId="0">
      <alignment horizontal="right"/>
    </xf>
    <xf numFmtId="40" fontId="15" fillId="0" borderId="171">
      <alignment horizontal="right"/>
    </xf>
    <xf numFmtId="0" fontId="200" fillId="0" borderId="0">
      <alignment horizontal="left"/>
    </xf>
    <xf numFmtId="40" fontId="12" fillId="0" borderId="0"/>
    <xf numFmtId="0" fontId="200" fillId="0" borderId="0">
      <alignment horizontal="left"/>
    </xf>
    <xf numFmtId="200" fontId="15" fillId="0" borderId="171">
      <alignment horizontal="right"/>
    </xf>
    <xf numFmtId="40" fontId="15" fillId="0" borderId="0">
      <alignment horizontal="right"/>
    </xf>
    <xf numFmtId="0" fontId="203" fillId="27" borderId="0" applyNumberFormat="0" applyBorder="0" applyAlignment="0" applyProtection="0"/>
    <xf numFmtId="40" fontId="12" fillId="0" borderId="0"/>
    <xf numFmtId="40" fontId="12" fillId="0" borderId="0"/>
    <xf numFmtId="0" fontId="162" fillId="63" borderId="0" applyNumberFormat="0" applyBorder="0" applyAlignment="0" applyProtection="0"/>
    <xf numFmtId="0" fontId="3" fillId="39" borderId="0" applyNumberFormat="0" applyBorder="0" applyAlignment="0" applyProtection="0"/>
    <xf numFmtId="0" fontId="204" fillId="30" borderId="163" applyNumberFormat="0" applyAlignment="0" applyProtection="0"/>
    <xf numFmtId="0" fontId="205" fillId="31" borderId="166" applyNumberFormat="0" applyAlignment="0" applyProtection="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0" fontId="162" fillId="62" borderId="0" applyNumberFormat="0" applyBorder="0" applyAlignment="0" applyProtection="0"/>
    <xf numFmtId="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97" fillId="82" borderId="0">
      <alignment horizontal="center" vertical="center"/>
    </xf>
    <xf numFmtId="40" fontId="12" fillId="0" borderId="0"/>
    <xf numFmtId="40" fontId="12" fillId="0" borderId="0"/>
    <xf numFmtId="40" fontId="12" fillId="0" borderId="0"/>
    <xf numFmtId="40" fontId="12" fillId="0" borderId="0"/>
    <xf numFmtId="40" fontId="12" fillId="0" borderId="0"/>
    <xf numFmtId="40" fontId="12" fillId="0" borderId="0"/>
    <xf numFmtId="40" fontId="20" fillId="0" borderId="0" applyFont="0" applyFill="0" applyBorder="0" applyAlignment="0" applyProtection="0"/>
    <xf numFmtId="0" fontId="3" fillId="35" borderId="0" applyNumberFormat="0" applyBorder="0" applyAlignment="0" applyProtection="0"/>
    <xf numFmtId="43" fontId="5" fillId="0" borderId="0" applyFont="0" applyFill="0" applyBorder="0" applyAlignment="0" applyProtection="0"/>
    <xf numFmtId="3" fontId="12" fillId="0" borderId="0" applyFont="0" applyFill="0" applyBorder="0" applyAlignment="0" applyProtection="0"/>
    <xf numFmtId="44" fontId="5" fillId="0" borderId="0" applyFont="0" applyFill="0" applyBorder="0" applyAlignment="0" applyProtection="0"/>
    <xf numFmtId="0" fontId="162" fillId="59" borderId="0" applyNumberFormat="0" applyBorder="0" applyAlignment="0" applyProtection="0"/>
    <xf numFmtId="5" fontId="12" fillId="0" borderId="0" applyFont="0" applyFill="0" applyBorder="0" applyAlignment="0" applyProtection="0"/>
    <xf numFmtId="0" fontId="12" fillId="0" borderId="0" applyFont="0" applyFill="0" applyBorder="0" applyAlignment="0" applyProtection="0"/>
    <xf numFmtId="0" fontId="3" fillId="54" borderId="0" applyNumberFormat="0" applyBorder="0" applyAlignment="0" applyProtection="0"/>
    <xf numFmtId="0" fontId="162" fillId="61" borderId="0" applyNumberFormat="0" applyBorder="0" applyAlignment="0" applyProtection="0"/>
    <xf numFmtId="0" fontId="189" fillId="83" borderId="0" applyNumberFormat="0" applyBorder="0" applyAlignment="0" applyProtection="0"/>
    <xf numFmtId="0" fontId="189" fillId="84" borderId="0" applyNumberFormat="0" applyBorder="0" applyAlignment="0" applyProtection="0"/>
    <xf numFmtId="0" fontId="189" fillId="85" borderId="0" applyNumberFormat="0" applyBorder="0" applyAlignment="0" applyProtection="0"/>
    <xf numFmtId="0" fontId="3" fillId="50" borderId="0" applyNumberFormat="0" applyBorder="0" applyAlignment="0" applyProtection="0"/>
    <xf numFmtId="0" fontId="162" fillId="58" borderId="0" applyNumberFormat="0" applyBorder="0" applyAlignment="0" applyProtection="0"/>
    <xf numFmtId="0" fontId="3" fillId="46" borderId="0" applyNumberFormat="0" applyBorder="0" applyAlignment="0" applyProtection="0"/>
    <xf numFmtId="0" fontId="162" fillId="60" borderId="0" applyNumberFormat="0" applyBorder="0" applyAlignment="0" applyProtection="0"/>
    <xf numFmtId="0" fontId="3" fillId="42" borderId="0" applyNumberFormat="0" applyBorder="0" applyAlignment="0" applyProtection="0"/>
    <xf numFmtId="2" fontId="12" fillId="0" borderId="0" applyFont="0" applyFill="0" applyBorder="0" applyAlignment="0" applyProtection="0"/>
    <xf numFmtId="0" fontId="15" fillId="88" borderId="0">
      <alignment horizontal="center" vertical="center"/>
    </xf>
    <xf numFmtId="40" fontId="12" fillId="88" borderId="0">
      <alignment horizontal="left" vertical="center"/>
    </xf>
    <xf numFmtId="40" fontId="15" fillId="88" borderId="0">
      <alignment horizontal="center" vertical="center"/>
    </xf>
    <xf numFmtId="0" fontId="15" fillId="88" borderId="0">
      <alignment horizontal="left" vertical="center"/>
    </xf>
    <xf numFmtId="0" fontId="15" fillId="86" borderId="0">
      <alignment horizontal="left"/>
    </xf>
    <xf numFmtId="40" fontId="12" fillId="0" borderId="0"/>
    <xf numFmtId="0" fontId="15" fillId="86" borderId="0">
      <alignment horizontal="left"/>
    </xf>
    <xf numFmtId="0" fontId="206" fillId="26" borderId="0" applyNumberFormat="0" applyBorder="0" applyAlignment="0" applyProtection="0"/>
    <xf numFmtId="40" fontId="15" fillId="0" borderId="0">
      <alignment horizontal="right"/>
    </xf>
    <xf numFmtId="40" fontId="197" fillId="82" borderId="0"/>
    <xf numFmtId="40" fontId="197" fillId="82" borderId="0"/>
    <xf numFmtId="40" fontId="12" fillId="0" borderId="0"/>
    <xf numFmtId="0" fontId="207" fillId="0" borderId="160" applyNumberFormat="0" applyFill="0" applyAlignment="0" applyProtection="0"/>
    <xf numFmtId="0" fontId="208" fillId="0" borderId="161" applyNumberFormat="0" applyFill="0" applyAlignment="0" applyProtection="0"/>
    <xf numFmtId="0" fontId="209" fillId="0" borderId="162" applyNumberFormat="0" applyFill="0" applyAlignment="0" applyProtection="0"/>
    <xf numFmtId="0" fontId="209" fillId="0" borderId="0" applyNumberFormat="0" applyFill="0" applyBorder="0" applyAlignment="0" applyProtection="0"/>
    <xf numFmtId="0" fontId="162" fillId="59" borderId="0" applyNumberFormat="0" applyBorder="0" applyAlignment="0" applyProtection="0"/>
    <xf numFmtId="0" fontId="3" fillId="38" borderId="0" applyNumberFormat="0" applyBorder="0" applyAlignment="0" applyProtection="0"/>
    <xf numFmtId="0" fontId="210" fillId="29" borderId="163" applyNumberFormat="0" applyAlignment="0" applyProtection="0"/>
    <xf numFmtId="0" fontId="18" fillId="57" borderId="0" applyFont="0" applyFill="0">
      <alignment horizontal="left" vertical="top" wrapText="1"/>
    </xf>
    <xf numFmtId="40" fontId="18" fillId="0" borderId="0"/>
    <xf numFmtId="40" fontId="18" fillId="0" borderId="0"/>
    <xf numFmtId="0" fontId="18" fillId="0" borderId="0">
      <alignment horizontal="left"/>
    </xf>
    <xf numFmtId="0" fontId="18" fillId="0" borderId="0">
      <alignment horizontal="center"/>
    </xf>
    <xf numFmtId="0" fontId="201" fillId="0" borderId="0">
      <alignment horizontal="center"/>
    </xf>
    <xf numFmtId="0" fontId="202" fillId="82" borderId="0">
      <alignment horizontal="left"/>
    </xf>
    <xf numFmtId="0" fontId="202" fillId="82" borderId="0">
      <alignment horizontal="left"/>
    </xf>
    <xf numFmtId="0" fontId="201" fillId="0" borderId="0">
      <alignment horizontal="center"/>
    </xf>
    <xf numFmtId="40" fontId="22" fillId="0" borderId="180"/>
    <xf numFmtId="40" fontId="22" fillId="0" borderId="180"/>
    <xf numFmtId="0" fontId="22" fillId="0" borderId="0"/>
    <xf numFmtId="0" fontId="22" fillId="0" borderId="0"/>
    <xf numFmtId="0" fontId="201" fillId="0" borderId="0">
      <alignment horizontal="center"/>
    </xf>
    <xf numFmtId="0" fontId="153" fillId="89" borderId="0">
      <alignment horizontal="left"/>
    </xf>
    <xf numFmtId="0" fontId="153" fillId="89" borderId="0">
      <alignment horizontal="left"/>
    </xf>
    <xf numFmtId="0" fontId="211" fillId="0" borderId="165" applyNumberFormat="0" applyFill="0" applyAlignment="0" applyProtection="0"/>
    <xf numFmtId="40" fontId="15" fillId="0" borderId="0">
      <alignment horizontal="right"/>
    </xf>
    <xf numFmtId="0" fontId="200" fillId="0" borderId="0">
      <alignment horizontal="left"/>
    </xf>
    <xf numFmtId="40" fontId="12" fillId="0" borderId="0"/>
    <xf numFmtId="0" fontId="200" fillId="0" borderId="0">
      <alignment horizontal="left"/>
    </xf>
    <xf numFmtId="200" fontId="15" fillId="0" borderId="0">
      <alignment horizontal="right"/>
    </xf>
    <xf numFmtId="40" fontId="15" fillId="0" borderId="0" applyBorder="0">
      <alignment horizontal="right"/>
    </xf>
    <xf numFmtId="0" fontId="212" fillId="28" borderId="0" applyNumberFormat="0" applyBorder="0" applyAlignment="0" applyProtection="0"/>
    <xf numFmtId="0" fontId="12" fillId="0" borderId="0">
      <alignment vertical="top"/>
    </xf>
    <xf numFmtId="0" fontId="12" fillId="0" borderId="0">
      <alignment vertical="top"/>
    </xf>
    <xf numFmtId="0" fontId="12" fillId="0" borderId="0"/>
    <xf numFmtId="0" fontId="20" fillId="0" borderId="0"/>
    <xf numFmtId="0" fontId="20" fillId="0" borderId="0"/>
    <xf numFmtId="0" fontId="12" fillId="0" borderId="0"/>
    <xf numFmtId="39" fontId="195" fillId="0" borderId="0"/>
    <xf numFmtId="0" fontId="3" fillId="0" borderId="0"/>
    <xf numFmtId="0" fontId="5" fillId="32" borderId="167" applyNumberFormat="0" applyFont="0" applyAlignment="0" applyProtection="0"/>
    <xf numFmtId="0" fontId="162" fillId="58" borderId="0" applyNumberFormat="0" applyBorder="0" applyAlignment="0" applyProtection="0"/>
    <xf numFmtId="0" fontId="213" fillId="30" borderId="164" applyNumberFormat="0" applyAlignment="0" applyProtection="0"/>
    <xf numFmtId="9" fontId="20" fillId="0" borderId="0" applyFont="0" applyFill="0" applyBorder="0" applyAlignment="0" applyProtection="0"/>
    <xf numFmtId="0" fontId="20" fillId="0" borderId="0" applyNumberFormat="0" applyFont="0" applyFill="0" applyBorder="0" applyAlignment="0" applyProtection="0">
      <alignment horizontal="left"/>
    </xf>
    <xf numFmtId="15" fontId="20" fillId="0" borderId="0" applyFont="0" applyFill="0" applyBorder="0" applyAlignment="0" applyProtection="0"/>
    <xf numFmtId="4" fontId="20" fillId="0" borderId="0" applyFont="0" applyFill="0" applyBorder="0" applyAlignment="0" applyProtection="0"/>
    <xf numFmtId="0" fontId="196" fillId="0" borderId="169">
      <alignment horizontal="center"/>
    </xf>
    <xf numFmtId="3" fontId="20" fillId="0" borderId="0" applyFont="0" applyFill="0" applyBorder="0" applyAlignment="0" applyProtection="0"/>
    <xf numFmtId="0" fontId="20" fillId="87" borderId="0" applyNumberFormat="0" applyFont="0" applyBorder="0" applyAlignment="0" applyProtection="0"/>
    <xf numFmtId="40" fontId="198" fillId="57" borderId="0">
      <alignment horizontal="left"/>
    </xf>
    <xf numFmtId="40" fontId="198" fillId="57" borderId="0">
      <alignment horizontal="left"/>
    </xf>
    <xf numFmtId="40" fontId="198" fillId="57" borderId="0">
      <alignment horizontal="left"/>
    </xf>
    <xf numFmtId="40" fontId="198" fillId="57" borderId="0">
      <alignment horizontal="left"/>
    </xf>
    <xf numFmtId="0" fontId="199" fillId="57" borderId="0">
      <alignment horizontal="left"/>
    </xf>
    <xf numFmtId="0" fontId="199" fillId="57" borderId="0">
      <alignment horizontal="left"/>
    </xf>
    <xf numFmtId="199" fontId="199" fillId="57" borderId="0">
      <alignment horizontal="left"/>
    </xf>
    <xf numFmtId="199" fontId="199" fillId="57" borderId="0">
      <alignment horizontal="left"/>
    </xf>
    <xf numFmtId="0" fontId="3" fillId="34" borderId="0" applyNumberFormat="0" applyBorder="0" applyAlignment="0" applyProtection="0"/>
    <xf numFmtId="0" fontId="188" fillId="0" borderId="0" applyNumberFormat="0" applyFill="0" applyBorder="0" applyAlignment="0" applyProtection="0"/>
    <xf numFmtId="40" fontId="15" fillId="0" borderId="0">
      <alignment horizontal="right"/>
    </xf>
    <xf numFmtId="40" fontId="160" fillId="57" borderId="0">
      <alignment horizontal="left"/>
    </xf>
    <xf numFmtId="40" fontId="160" fillId="57" borderId="0">
      <alignment horizontal="left"/>
    </xf>
    <xf numFmtId="40" fontId="12" fillId="0" borderId="0"/>
    <xf numFmtId="40" fontId="15" fillId="0" borderId="72">
      <alignment horizontal="right"/>
    </xf>
    <xf numFmtId="40" fontId="15" fillId="0" borderId="0">
      <alignment horizontal="left"/>
    </xf>
    <xf numFmtId="40" fontId="12" fillId="0" borderId="0"/>
    <xf numFmtId="40" fontId="15" fillId="0" borderId="0">
      <alignment horizontal="left"/>
    </xf>
    <xf numFmtId="200" fontId="15" fillId="0" borderId="72">
      <alignment horizontal="right"/>
    </xf>
    <xf numFmtId="40" fontId="15" fillId="0" borderId="0">
      <alignment horizontal="right"/>
    </xf>
    <xf numFmtId="40" fontId="15" fillId="0" borderId="72">
      <alignment horizontal="right"/>
    </xf>
    <xf numFmtId="0" fontId="15" fillId="86" borderId="0">
      <alignment horizontal="left"/>
    </xf>
    <xf numFmtId="40" fontId="12" fillId="0" borderId="0"/>
    <xf numFmtId="0" fontId="15" fillId="86" borderId="0">
      <alignment horizontal="left"/>
    </xf>
    <xf numFmtId="200" fontId="15" fillId="0" borderId="72">
      <alignment horizontal="right"/>
    </xf>
    <xf numFmtId="40" fontId="15" fillId="0" borderId="0">
      <alignment horizontal="right"/>
    </xf>
    <xf numFmtId="0" fontId="126" fillId="0" borderId="168" applyNumberFormat="0" applyFill="0" applyAlignment="0" applyProtection="0"/>
    <xf numFmtId="0" fontId="22" fillId="0" borderId="0"/>
    <xf numFmtId="40" fontId="18" fillId="0" borderId="180"/>
    <xf numFmtId="40" fontId="18" fillId="0" borderId="180"/>
    <xf numFmtId="0" fontId="18" fillId="0" borderId="0"/>
    <xf numFmtId="0" fontId="18" fillId="0" borderId="0"/>
    <xf numFmtId="40" fontId="18" fillId="0" borderId="0"/>
    <xf numFmtId="201" fontId="18" fillId="0" borderId="0"/>
    <xf numFmtId="40" fontId="18" fillId="0" borderId="0"/>
    <xf numFmtId="0" fontId="18" fillId="0" borderId="0"/>
    <xf numFmtId="0" fontId="18" fillId="0" borderId="0"/>
    <xf numFmtId="40" fontId="15" fillId="0" borderId="180">
      <alignment horizontal="right"/>
    </xf>
    <xf numFmtId="40" fontId="15" fillId="0" borderId="0">
      <alignment horizontal="left"/>
    </xf>
    <xf numFmtId="40" fontId="12" fillId="0" borderId="0"/>
    <xf numFmtId="40" fontId="15" fillId="0" borderId="0">
      <alignment horizontal="left"/>
    </xf>
    <xf numFmtId="200" fontId="15" fillId="0" borderId="180">
      <alignment horizontal="right"/>
    </xf>
    <xf numFmtId="40" fontId="15" fillId="0" borderId="0">
      <alignment horizontal="right"/>
    </xf>
    <xf numFmtId="0" fontId="214" fillId="0" borderId="0" applyNumberFormat="0" applyFill="0" applyBorder="0" applyAlignment="0" applyProtection="0"/>
    <xf numFmtId="0" fontId="162" fillId="59" borderId="0" applyNumberFormat="0" applyBorder="0" applyAlignment="0" applyProtection="0"/>
    <xf numFmtId="0" fontId="157" fillId="36" borderId="0" applyNumberFormat="0" applyBorder="0" applyAlignment="0" applyProtection="0"/>
    <xf numFmtId="0" fontId="163" fillId="65" borderId="0" applyNumberFormat="0" applyBorder="0" applyAlignment="0" applyProtection="0"/>
    <xf numFmtId="0" fontId="157" fillId="40" borderId="0" applyNumberFormat="0" applyBorder="0" applyAlignment="0" applyProtection="0"/>
    <xf numFmtId="0" fontId="163" fillId="63" borderId="0" applyNumberFormat="0" applyBorder="0" applyAlignment="0" applyProtection="0"/>
    <xf numFmtId="0" fontId="157" fillId="44" borderId="0" applyNumberFormat="0" applyBorder="0" applyAlignment="0" applyProtection="0"/>
    <xf numFmtId="0" fontId="163" fillId="60" borderId="0" applyNumberFormat="0" applyBorder="0" applyAlignment="0" applyProtection="0"/>
    <xf numFmtId="0" fontId="157" fillId="48" borderId="0" applyNumberFormat="0" applyBorder="0" applyAlignment="0" applyProtection="0"/>
    <xf numFmtId="0" fontId="163" fillId="62" borderId="0" applyNumberFormat="0" applyBorder="0" applyAlignment="0" applyProtection="0"/>
    <xf numFmtId="0" fontId="157" fillId="52" borderId="0" applyNumberFormat="0" applyBorder="0" applyAlignment="0" applyProtection="0"/>
    <xf numFmtId="0" fontId="163" fillId="65" borderId="0" applyNumberFormat="0" applyBorder="0" applyAlignment="0" applyProtection="0"/>
    <xf numFmtId="0" fontId="157" fillId="56" borderId="0" applyNumberFormat="0" applyBorder="0" applyAlignment="0" applyProtection="0"/>
    <xf numFmtId="0" fontId="163" fillId="63" borderId="0" applyNumberFormat="0" applyBorder="0" applyAlignment="0" applyProtection="0"/>
    <xf numFmtId="0" fontId="163" fillId="65" borderId="0" applyNumberFormat="0" applyBorder="0" applyAlignment="0" applyProtection="0"/>
    <xf numFmtId="0" fontId="157" fillId="33" borderId="0" applyNumberFormat="0" applyBorder="0" applyAlignment="0" applyProtection="0"/>
    <xf numFmtId="0" fontId="163" fillId="65" borderId="0" applyNumberFormat="0" applyBorder="0" applyAlignment="0" applyProtection="0"/>
    <xf numFmtId="0" fontId="163" fillId="66" borderId="0" applyNumberFormat="0" applyBorder="0" applyAlignment="0" applyProtection="0"/>
    <xf numFmtId="0" fontId="157" fillId="37" borderId="0" applyNumberFormat="0" applyBorder="0" applyAlignment="0" applyProtection="0"/>
    <xf numFmtId="0" fontId="163" fillId="66" borderId="0" applyNumberFormat="0" applyBorder="0" applyAlignment="0" applyProtection="0"/>
    <xf numFmtId="0" fontId="163" fillId="67" borderId="0" applyNumberFormat="0" applyBorder="0" applyAlignment="0" applyProtection="0"/>
    <xf numFmtId="0" fontId="157" fillId="41" borderId="0" applyNumberFormat="0" applyBorder="0" applyAlignment="0" applyProtection="0"/>
    <xf numFmtId="0" fontId="163" fillId="67" borderId="0" applyNumberFormat="0" applyBorder="0" applyAlignment="0" applyProtection="0"/>
    <xf numFmtId="0" fontId="163" fillId="68" borderId="0" applyNumberFormat="0" applyBorder="0" applyAlignment="0" applyProtection="0"/>
    <xf numFmtId="0" fontId="157" fillId="45" borderId="0" applyNumberFormat="0" applyBorder="0" applyAlignment="0" applyProtection="0"/>
    <xf numFmtId="0" fontId="163" fillId="68" borderId="0" applyNumberFormat="0" applyBorder="0" applyAlignment="0" applyProtection="0"/>
    <xf numFmtId="0" fontId="163" fillId="65" borderId="0" applyNumberFormat="0" applyBorder="0" applyAlignment="0" applyProtection="0"/>
    <xf numFmtId="0" fontId="157" fillId="49" borderId="0" applyNumberFormat="0" applyBorder="0" applyAlignment="0" applyProtection="0"/>
    <xf numFmtId="0" fontId="163" fillId="65" borderId="0" applyNumberFormat="0" applyBorder="0" applyAlignment="0" applyProtection="0"/>
    <xf numFmtId="0" fontId="163" fillId="69" borderId="0" applyNumberFormat="0" applyBorder="0" applyAlignment="0" applyProtection="0"/>
    <xf numFmtId="0" fontId="157" fillId="53" borderId="0" applyNumberFormat="0" applyBorder="0" applyAlignment="0" applyProtection="0"/>
    <xf numFmtId="0" fontId="163" fillId="69" borderId="0" applyNumberFormat="0" applyBorder="0" applyAlignment="0" applyProtection="0"/>
    <xf numFmtId="0" fontId="147" fillId="27" borderId="0" applyNumberFormat="0" applyBorder="0" applyAlignment="0" applyProtection="0"/>
    <xf numFmtId="0" fontId="164" fillId="70" borderId="0" applyNumberFormat="0" applyBorder="0" applyAlignment="0" applyProtection="0"/>
    <xf numFmtId="0" fontId="151" fillId="30" borderId="163" applyNumberFormat="0" applyAlignment="0" applyProtection="0"/>
    <xf numFmtId="0" fontId="166" fillId="71" borderId="1" applyNumberFormat="0" applyAlignment="0" applyProtection="0"/>
    <xf numFmtId="0" fontId="153" fillId="31" borderId="166" applyNumberFormat="0" applyAlignment="0" applyProtection="0"/>
    <xf numFmtId="0" fontId="167" fillId="72" borderId="170" applyNumberFormat="0" applyAlignment="0" applyProtection="0"/>
    <xf numFmtId="0" fontId="12" fillId="0" borderId="0" applyBorder="0" applyAlignment="0"/>
    <xf numFmtId="44" fontId="12" fillId="0" borderId="0" applyFont="0" applyFill="0" applyBorder="0" applyAlignment="0" applyProtection="0"/>
    <xf numFmtId="0" fontId="155" fillId="0" borderId="0" applyNumberFormat="0" applyFill="0" applyBorder="0" applyAlignment="0" applyProtection="0"/>
    <xf numFmtId="0" fontId="169" fillId="0" borderId="0" applyNumberFormat="0" applyFill="0" applyBorder="0" applyAlignment="0" applyProtection="0"/>
    <xf numFmtId="0" fontId="146" fillId="26" borderId="0" applyNumberFormat="0" applyBorder="0" applyAlignment="0" applyProtection="0"/>
    <xf numFmtId="0" fontId="176" fillId="73" borderId="0" applyNumberFormat="0" applyBorder="0" applyAlignment="0" applyProtection="0"/>
    <xf numFmtId="0" fontId="143" fillId="0" borderId="160" applyNumberFormat="0" applyFill="0" applyAlignment="0" applyProtection="0"/>
    <xf numFmtId="0" fontId="177" fillId="0" borderId="172" applyNumberFormat="0" applyFill="0" applyAlignment="0" applyProtection="0"/>
    <xf numFmtId="0" fontId="144" fillId="0" borderId="161" applyNumberFormat="0" applyFill="0" applyAlignment="0" applyProtection="0"/>
    <xf numFmtId="0" fontId="178" fillId="0" borderId="173" applyNumberFormat="0" applyFill="0" applyAlignment="0" applyProtection="0"/>
    <xf numFmtId="0" fontId="145" fillId="0" borderId="162" applyNumberFormat="0" applyFill="0" applyAlignment="0" applyProtection="0"/>
    <xf numFmtId="0" fontId="179" fillId="0" borderId="174" applyNumberFormat="0" applyFill="0" applyAlignment="0" applyProtection="0"/>
    <xf numFmtId="0" fontId="145" fillId="0" borderId="0" applyNumberFormat="0" applyFill="0" applyBorder="0" applyAlignment="0" applyProtection="0"/>
    <xf numFmtId="0" fontId="179" fillId="0" borderId="0" applyNumberFormat="0" applyFill="0" applyBorder="0" applyAlignment="0" applyProtection="0"/>
    <xf numFmtId="0" fontId="149" fillId="29" borderId="163" applyNumberFormat="0" applyAlignment="0" applyProtection="0"/>
    <xf numFmtId="0" fontId="181" fillId="59" borderId="1" applyNumberFormat="0" applyAlignment="0" applyProtection="0"/>
    <xf numFmtId="0" fontId="152" fillId="0" borderId="165" applyNumberFormat="0" applyFill="0" applyAlignment="0" applyProtection="0"/>
    <xf numFmtId="0" fontId="182" fillId="0" borderId="175" applyNumberFormat="0" applyFill="0" applyAlignment="0" applyProtection="0"/>
    <xf numFmtId="0" fontId="192" fillId="28" borderId="0" applyNumberFormat="0" applyBorder="0" applyAlignment="0" applyProtection="0"/>
    <xf numFmtId="0" fontId="183" fillId="59" borderId="0" applyNumberFormat="0" applyBorder="0" applyAlignment="0" applyProtection="0"/>
    <xf numFmtId="0" fontId="3" fillId="0" borderId="0"/>
    <xf numFmtId="0" fontId="3" fillId="32" borderId="167" applyNumberFormat="0" applyFont="0" applyAlignment="0" applyProtection="0"/>
    <xf numFmtId="0" fontId="12" fillId="60" borderId="2" applyNumberFormat="0" applyFont="0" applyAlignment="0" applyProtection="0"/>
    <xf numFmtId="0" fontId="150" fillId="30" borderId="164" applyNumberFormat="0" applyAlignment="0" applyProtection="0"/>
    <xf numFmtId="0" fontId="184" fillId="71" borderId="176" applyNumberFormat="0" applyAlignment="0" applyProtection="0"/>
    <xf numFmtId="0" fontId="35" fillId="0" borderId="0">
      <alignment horizontal="center"/>
    </xf>
    <xf numFmtId="0" fontId="193" fillId="0" borderId="0" applyNumberFormat="0" applyFill="0" applyBorder="0" applyAlignment="0" applyProtection="0"/>
    <xf numFmtId="0" fontId="188" fillId="0" borderId="0" applyNumberFormat="0" applyFill="0" applyBorder="0" applyAlignment="0" applyProtection="0"/>
    <xf numFmtId="0" fontId="156" fillId="0" borderId="168" applyNumberFormat="0" applyFill="0" applyAlignment="0" applyProtection="0"/>
    <xf numFmtId="0" fontId="189" fillId="0" borderId="179" applyNumberFormat="0" applyFill="0" applyAlignment="0" applyProtection="0"/>
    <xf numFmtId="0" fontId="154" fillId="0" borderId="0" applyNumberFormat="0" applyFill="0" applyBorder="0" applyAlignment="0" applyProtection="0"/>
    <xf numFmtId="0" fontId="190" fillId="0" borderId="0" applyNumberFormat="0" applyFill="0" applyBorder="0" applyAlignment="0" applyProtection="0"/>
    <xf numFmtId="0" fontId="163" fillId="65" borderId="0" applyNumberFormat="0" applyBorder="0" applyAlignment="0" applyProtection="0"/>
    <xf numFmtId="0" fontId="163" fillId="69" borderId="0" applyNumberFormat="0" applyBorder="0" applyAlignment="0" applyProtection="0"/>
    <xf numFmtId="0" fontId="163" fillId="66" borderId="0" applyNumberFormat="0" applyBorder="0" applyAlignment="0" applyProtection="0"/>
    <xf numFmtId="0" fontId="163" fillId="67" borderId="0" applyNumberFormat="0" applyBorder="0" applyAlignment="0" applyProtection="0"/>
    <xf numFmtId="0" fontId="163" fillId="65"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5" borderId="0" applyNumberFormat="0" applyBorder="0" applyAlignment="0" applyProtection="0"/>
    <xf numFmtId="0" fontId="163" fillId="69" borderId="0" applyNumberFormat="0" applyBorder="0" applyAlignment="0" applyProtection="0"/>
    <xf numFmtId="0" fontId="163" fillId="67"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2" fillId="60" borderId="2" applyNumberFormat="0" applyFont="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166" fillId="71" borderId="1" applyNumberFormat="0" applyAlignment="0" applyProtection="0"/>
    <xf numFmtId="0" fontId="181" fillId="59" borderId="1" applyNumberFormat="0" applyAlignment="0" applyProtection="0"/>
    <xf numFmtId="0" fontId="159" fillId="0" borderId="0" applyNumberFormat="0" applyFill="0" applyBorder="0" applyAlignment="0" applyProtection="0">
      <alignment vertical="top"/>
      <protection locked="0"/>
    </xf>
    <xf numFmtId="0" fontId="3" fillId="32" borderId="167" applyNumberFormat="0" applyFont="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2" borderId="167" applyNumberFormat="0" applyFont="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180" fillId="0" borderId="0" applyNumberFormat="0" applyFill="0" applyBorder="0" applyAlignment="0" applyProtection="0"/>
    <xf numFmtId="0" fontId="140" fillId="0" borderId="0" applyNumberFormat="0" applyFill="0" applyBorder="0" applyAlignment="0" applyProtection="0"/>
    <xf numFmtId="0" fontId="215" fillId="0" borderId="0"/>
    <xf numFmtId="0" fontId="3" fillId="32" borderId="167" applyNumberFormat="0" applyFont="0" applyAlignment="0" applyProtection="0"/>
    <xf numFmtId="0" fontId="3" fillId="32" borderId="167" applyNumberFormat="0" applyFont="0" applyAlignment="0" applyProtection="0"/>
    <xf numFmtId="0" fontId="158" fillId="0" borderId="181" applyProtection="0"/>
    <xf numFmtId="0" fontId="161" fillId="0" borderId="135" applyNumberFormat="0" applyFont="0" applyFill="0" applyAlignment="0" applyProtection="0"/>
    <xf numFmtId="0" fontId="189" fillId="0" borderId="179" applyNumberFormat="0" applyFill="0" applyAlignment="0" applyProtection="0"/>
    <xf numFmtId="0" fontId="158" fillId="0" borderId="181" applyProtection="0"/>
    <xf numFmtId="43" fontId="12" fillId="0" borderId="0" applyFont="0" applyFill="0" applyBorder="0" applyAlignment="0" applyProtection="0"/>
    <xf numFmtId="43" fontId="12" fillId="0" borderId="0" applyFont="0" applyFill="0" applyBorder="0" applyAlignment="0" applyProtection="0"/>
    <xf numFmtId="0" fontId="3" fillId="34" borderId="0" applyNumberFormat="0" applyBorder="0" applyAlignment="0" applyProtection="0"/>
    <xf numFmtId="0" fontId="162" fillId="58"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162"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162" fillId="60"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162" fillId="58"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162" fillId="6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162" fillId="59"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162" fillId="62"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162" fillId="63"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162" fillId="6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162" fillId="62"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162" fillId="64"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162" fillId="59"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6" borderId="0" applyNumberFormat="0" applyBorder="0" applyAlignment="0" applyProtection="0"/>
    <xf numFmtId="0" fontId="163" fillId="65" borderId="0" applyNumberFormat="0" applyBorder="0" applyAlignment="0" applyProtection="0"/>
    <xf numFmtId="0" fontId="157" fillId="36" borderId="0" applyNumberFormat="0" applyBorder="0" applyAlignment="0" applyProtection="0"/>
    <xf numFmtId="0" fontId="3" fillId="40" borderId="0" applyNumberFormat="0" applyBorder="0" applyAlignment="0" applyProtection="0"/>
    <xf numFmtId="0" fontId="163" fillId="63" borderId="0" applyNumberFormat="0" applyBorder="0" applyAlignment="0" applyProtection="0"/>
    <xf numFmtId="0" fontId="157" fillId="40" borderId="0" applyNumberFormat="0" applyBorder="0" applyAlignment="0" applyProtection="0"/>
    <xf numFmtId="0" fontId="3" fillId="44" borderId="0" applyNumberFormat="0" applyBorder="0" applyAlignment="0" applyProtection="0"/>
    <xf numFmtId="0" fontId="163" fillId="60" borderId="0" applyNumberFormat="0" applyBorder="0" applyAlignment="0" applyProtection="0"/>
    <xf numFmtId="0" fontId="157" fillId="44" borderId="0" applyNumberFormat="0" applyBorder="0" applyAlignment="0" applyProtection="0"/>
    <xf numFmtId="0" fontId="3" fillId="48" borderId="0" applyNumberFormat="0" applyBorder="0" applyAlignment="0" applyProtection="0"/>
    <xf numFmtId="0" fontId="163" fillId="62" borderId="0" applyNumberFormat="0" applyBorder="0" applyAlignment="0" applyProtection="0"/>
    <xf numFmtId="0" fontId="157" fillId="48" borderId="0" applyNumberFormat="0" applyBorder="0" applyAlignment="0" applyProtection="0"/>
    <xf numFmtId="0" fontId="3" fillId="52" borderId="0" applyNumberFormat="0" applyBorder="0" applyAlignment="0" applyProtection="0"/>
    <xf numFmtId="0" fontId="163" fillId="65" borderId="0" applyNumberFormat="0" applyBorder="0" applyAlignment="0" applyProtection="0"/>
    <xf numFmtId="0" fontId="157" fillId="52" borderId="0" applyNumberFormat="0" applyBorder="0" applyAlignment="0" applyProtection="0"/>
    <xf numFmtId="0" fontId="3" fillId="56" borderId="0" applyNumberFormat="0" applyBorder="0" applyAlignment="0" applyProtection="0"/>
    <xf numFmtId="0" fontId="163" fillId="63" borderId="0" applyNumberFormat="0" applyBorder="0" applyAlignment="0" applyProtection="0"/>
    <xf numFmtId="0" fontId="157" fillId="56"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35" fillId="33" borderId="0" applyNumberFormat="0" applyBorder="0" applyAlignment="0" applyProtection="0"/>
    <xf numFmtId="0" fontId="163" fillId="65" borderId="0" applyNumberFormat="0" applyBorder="0" applyAlignment="0" applyProtection="0"/>
    <xf numFmtId="0" fontId="157" fillId="33" borderId="0" applyNumberFormat="0" applyBorder="0" applyAlignment="0" applyProtection="0"/>
    <xf numFmtId="0" fontId="135" fillId="33" borderId="0" applyNumberFormat="0" applyBorder="0" applyAlignment="0" applyProtection="0"/>
    <xf numFmtId="0" fontId="157" fillId="33" borderId="0" applyNumberFormat="0" applyBorder="0" applyAlignment="0" applyProtection="0"/>
    <xf numFmtId="0" fontId="157" fillId="33" borderId="0" applyNumberFormat="0" applyBorder="0" applyAlignment="0" applyProtection="0"/>
    <xf numFmtId="0" fontId="163" fillId="66" borderId="0" applyNumberFormat="0" applyBorder="0" applyAlignment="0" applyProtection="0"/>
    <xf numFmtId="0" fontId="163" fillId="66" borderId="0" applyNumberFormat="0" applyBorder="0" applyAlignment="0" applyProtection="0"/>
    <xf numFmtId="0" fontId="135" fillId="37" borderId="0" applyNumberFormat="0" applyBorder="0" applyAlignment="0" applyProtection="0"/>
    <xf numFmtId="0" fontId="163" fillId="66" borderId="0" applyNumberFormat="0" applyBorder="0" applyAlignment="0" applyProtection="0"/>
    <xf numFmtId="0" fontId="157" fillId="37" borderId="0" applyNumberFormat="0" applyBorder="0" applyAlignment="0" applyProtection="0"/>
    <xf numFmtId="0" fontId="135"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63" fillId="67"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7" borderId="0" applyNumberFormat="0" applyBorder="0" applyAlignment="0" applyProtection="0"/>
    <xf numFmtId="0" fontId="135" fillId="41" borderId="0" applyNumberFormat="0" applyBorder="0" applyAlignment="0" applyProtection="0"/>
    <xf numFmtId="0" fontId="163" fillId="67" borderId="0" applyNumberFormat="0" applyBorder="0" applyAlignment="0" applyProtection="0"/>
    <xf numFmtId="0" fontId="163" fillId="69" borderId="0" applyNumberFormat="0" applyBorder="0" applyAlignment="0" applyProtection="0"/>
    <xf numFmtId="0" fontId="157" fillId="41" borderId="0" applyNumberFormat="0" applyBorder="0" applyAlignment="0" applyProtection="0"/>
    <xf numFmtId="0" fontId="135" fillId="41" borderId="0" applyNumberFormat="0" applyBorder="0" applyAlignment="0" applyProtection="0"/>
    <xf numFmtId="0" fontId="157" fillId="41" borderId="0" applyNumberFormat="0" applyBorder="0" applyAlignment="0" applyProtection="0"/>
    <xf numFmtId="0" fontId="157" fillId="41" borderId="0" applyNumberFormat="0" applyBorder="0" applyAlignment="0" applyProtection="0"/>
    <xf numFmtId="0" fontId="163" fillId="68" borderId="0" applyNumberFormat="0" applyBorder="0" applyAlignment="0" applyProtection="0"/>
    <xf numFmtId="0" fontId="163" fillId="69" borderId="0" applyNumberFormat="0" applyBorder="0" applyAlignment="0" applyProtection="0"/>
    <xf numFmtId="0" fontId="163" fillId="68" borderId="0" applyNumberFormat="0" applyBorder="0" applyAlignment="0" applyProtection="0"/>
    <xf numFmtId="0" fontId="135" fillId="45" borderId="0" applyNumberFormat="0" applyBorder="0" applyAlignment="0" applyProtection="0"/>
    <xf numFmtId="0" fontId="163" fillId="68" borderId="0" applyNumberFormat="0" applyBorder="0" applyAlignment="0" applyProtection="0"/>
    <xf numFmtId="0" fontId="157" fillId="45" borderId="0" applyNumberFormat="0" applyBorder="0" applyAlignment="0" applyProtection="0"/>
    <xf numFmtId="0" fontId="135" fillId="45" borderId="0" applyNumberFormat="0" applyBorder="0" applyAlignment="0" applyProtection="0"/>
    <xf numFmtId="0" fontId="157" fillId="45" borderId="0" applyNumberFormat="0" applyBorder="0" applyAlignment="0" applyProtection="0"/>
    <xf numFmtId="0" fontId="157" fillId="4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35" fillId="49" borderId="0" applyNumberFormat="0" applyBorder="0" applyAlignment="0" applyProtection="0"/>
    <xf numFmtId="0" fontId="163" fillId="65" borderId="0" applyNumberFormat="0" applyBorder="0" applyAlignment="0" applyProtection="0"/>
    <xf numFmtId="0" fontId="157" fillId="49" borderId="0" applyNumberFormat="0" applyBorder="0" applyAlignment="0" applyProtection="0"/>
    <xf numFmtId="0" fontId="135" fillId="49" borderId="0" applyNumberFormat="0" applyBorder="0" applyAlignment="0" applyProtection="0"/>
    <xf numFmtId="0" fontId="157" fillId="49" borderId="0" applyNumberFormat="0" applyBorder="0" applyAlignment="0" applyProtection="0"/>
    <xf numFmtId="0" fontId="157" fillId="49" borderId="0" applyNumberFormat="0" applyBorder="0" applyAlignment="0" applyProtection="0"/>
    <xf numFmtId="0" fontId="163" fillId="69"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9" borderId="0" applyNumberFormat="0" applyBorder="0" applyAlignment="0" applyProtection="0"/>
    <xf numFmtId="0" fontId="135" fillId="53" borderId="0" applyNumberFormat="0" applyBorder="0" applyAlignment="0" applyProtection="0"/>
    <xf numFmtId="0" fontId="163" fillId="69" borderId="0" applyNumberFormat="0" applyBorder="0" applyAlignment="0" applyProtection="0"/>
    <xf numFmtId="0" fontId="163" fillId="65" borderId="0" applyNumberFormat="0" applyBorder="0" applyAlignment="0" applyProtection="0"/>
    <xf numFmtId="0" fontId="157" fillId="53" borderId="0" applyNumberFormat="0" applyBorder="0" applyAlignment="0" applyProtection="0"/>
    <xf numFmtId="0" fontId="135"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7" borderId="0" applyNumberFormat="0" applyBorder="0" applyAlignment="0" applyProtection="0"/>
    <xf numFmtId="0" fontId="163"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6" borderId="0" applyNumberFormat="0" applyBorder="0" applyAlignment="0" applyProtection="0"/>
    <xf numFmtId="0" fontId="163" fillId="67" borderId="0" applyNumberFormat="0" applyBorder="0" applyAlignment="0" applyProtection="0"/>
    <xf numFmtId="0" fontId="164" fillId="70" borderId="0" applyNumberFormat="0" applyBorder="0" applyAlignment="0" applyProtection="0"/>
    <xf numFmtId="0" fontId="203" fillId="27" borderId="0" applyNumberFormat="0" applyBorder="0" applyAlignment="0" applyProtection="0"/>
    <xf numFmtId="0" fontId="164" fillId="70" borderId="0" applyNumberFormat="0" applyBorder="0" applyAlignment="0" applyProtection="0"/>
    <xf numFmtId="0" fontId="163" fillId="66" borderId="0" applyNumberFormat="0" applyBorder="0" applyAlignment="0" applyProtection="0"/>
    <xf numFmtId="0" fontId="147" fillId="27" borderId="0" applyNumberFormat="0" applyBorder="0" applyAlignment="0" applyProtection="0"/>
    <xf numFmtId="0" fontId="163" fillId="67" borderId="0" applyNumberFormat="0" applyBorder="0" applyAlignment="0" applyProtection="0"/>
    <xf numFmtId="0" fontId="163" fillId="66" borderId="0" applyNumberFormat="0" applyBorder="0" applyAlignment="0" applyProtection="0"/>
    <xf numFmtId="0" fontId="166" fillId="71" borderId="1" applyNumberFormat="0" applyAlignment="0" applyProtection="0"/>
    <xf numFmtId="0" fontId="166" fillId="71" borderId="1" applyNumberFormat="0" applyAlignment="0" applyProtection="0"/>
    <xf numFmtId="0" fontId="204" fillId="30" borderId="163" applyNumberFormat="0" applyAlignment="0" applyProtection="0"/>
    <xf numFmtId="0" fontId="166" fillId="71" borderId="1" applyNumberFormat="0" applyAlignment="0" applyProtection="0"/>
    <xf numFmtId="0" fontId="163" fillId="65" borderId="0" applyNumberFormat="0" applyBorder="0" applyAlignment="0" applyProtection="0"/>
    <xf numFmtId="0" fontId="151" fillId="30" borderId="163" applyNumberFormat="0" applyAlignment="0" applyProtection="0"/>
    <xf numFmtId="0" fontId="167" fillId="72" borderId="170" applyNumberFormat="0" applyAlignment="0" applyProtection="0"/>
    <xf numFmtId="0" fontId="205" fillId="31" borderId="166" applyNumberFormat="0" applyAlignment="0" applyProtection="0"/>
    <xf numFmtId="0" fontId="167" fillId="72" borderId="170" applyNumberFormat="0" applyAlignment="0" applyProtection="0"/>
    <xf numFmtId="0" fontId="163" fillId="66" borderId="0" applyNumberFormat="0" applyBorder="0" applyAlignment="0" applyProtection="0"/>
    <xf numFmtId="0" fontId="153" fillId="31" borderId="166" applyNumberFormat="0" applyAlignment="0" applyProtection="0"/>
    <xf numFmtId="0" fontId="12" fillId="0" borderId="0" applyBorder="0" applyAlignment="0"/>
    <xf numFmtId="0" fontId="163" fillId="65"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163" fillId="6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0" fontId="158" fillId="0" borderId="0" applyProtection="0"/>
    <xf numFmtId="0" fontId="169" fillId="0" borderId="0" applyNumberFormat="0" applyFill="0" applyBorder="0" applyAlignment="0" applyProtection="0"/>
    <xf numFmtId="0" fontId="155" fillId="0" borderId="0" applyNumberFormat="0" applyFill="0" applyBorder="0" applyAlignment="0" applyProtection="0"/>
    <xf numFmtId="0" fontId="170" fillId="0" borderId="0" applyProtection="0"/>
    <xf numFmtId="0" fontId="13" fillId="0" borderId="0" applyProtection="0"/>
    <xf numFmtId="0" fontId="171" fillId="0" borderId="0" applyProtection="0"/>
    <xf numFmtId="0" fontId="172" fillId="0" borderId="0" applyProtection="0"/>
    <xf numFmtId="0" fontId="173" fillId="0" borderId="0" applyProtection="0"/>
    <xf numFmtId="0" fontId="174" fillId="0" borderId="0" applyProtection="0"/>
    <xf numFmtId="0" fontId="175" fillId="0" borderId="0" applyProtection="0"/>
    <xf numFmtId="2" fontId="158" fillId="0" borderId="0" applyProtection="0"/>
    <xf numFmtId="0" fontId="176" fillId="73" borderId="0" applyNumberFormat="0" applyBorder="0" applyAlignment="0" applyProtection="0"/>
    <xf numFmtId="0" fontId="206" fillId="26" borderId="0" applyNumberFormat="0" applyBorder="0" applyAlignment="0" applyProtection="0"/>
    <xf numFmtId="0" fontId="176" fillId="73" borderId="0" applyNumberFormat="0" applyBorder="0" applyAlignment="0" applyProtection="0"/>
    <xf numFmtId="0" fontId="146" fillId="26" borderId="0" applyNumberFormat="0" applyBorder="0" applyAlignment="0" applyProtection="0"/>
    <xf numFmtId="0" fontId="177" fillId="0" borderId="172" applyNumberFormat="0" applyFill="0" applyAlignment="0" applyProtection="0"/>
    <xf numFmtId="0" fontId="180" fillId="0" borderId="0" applyNumberFormat="0" applyFill="0" applyBorder="0" applyAlignment="0" applyProtection="0"/>
    <xf numFmtId="0" fontId="207" fillId="0" borderId="160" applyNumberFormat="0" applyFill="0" applyAlignment="0" applyProtection="0"/>
    <xf numFmtId="0" fontId="177" fillId="0" borderId="172" applyNumberFormat="0" applyFill="0" applyAlignment="0" applyProtection="0"/>
    <xf numFmtId="0" fontId="143" fillId="0" borderId="160"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78" fillId="0" borderId="173" applyNumberFormat="0" applyFill="0" applyAlignment="0" applyProtection="0"/>
    <xf numFmtId="0" fontId="140" fillId="0" borderId="0" applyNumberFormat="0" applyFill="0" applyBorder="0" applyAlignment="0" applyProtection="0"/>
    <xf numFmtId="0" fontId="208" fillId="0" borderId="161" applyNumberFormat="0" applyFill="0" applyAlignment="0" applyProtection="0"/>
    <xf numFmtId="0" fontId="178" fillId="0" borderId="173" applyNumberFormat="0" applyFill="0" applyAlignment="0" applyProtection="0"/>
    <xf numFmtId="0" fontId="144" fillId="0" borderId="161" applyNumberFormat="0" applyFill="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79" fillId="0" borderId="174" applyNumberFormat="0" applyFill="0" applyAlignment="0" applyProtection="0"/>
    <xf numFmtId="0" fontId="209" fillId="0" borderId="162" applyNumberFormat="0" applyFill="0" applyAlignment="0" applyProtection="0"/>
    <xf numFmtId="0" fontId="179" fillId="0" borderId="174" applyNumberFormat="0" applyFill="0" applyAlignment="0" applyProtection="0"/>
    <xf numFmtId="0" fontId="145" fillId="0" borderId="162" applyNumberFormat="0" applyFill="0" applyAlignment="0" applyProtection="0"/>
    <xf numFmtId="0" fontId="179" fillId="0" borderId="0" applyNumberFormat="0" applyFill="0" applyBorder="0" applyAlignment="0" applyProtection="0"/>
    <xf numFmtId="0" fontId="209" fillId="0" borderId="0" applyNumberFormat="0" applyFill="0" applyBorder="0" applyAlignment="0" applyProtection="0"/>
    <xf numFmtId="0" fontId="179" fillId="0" borderId="0" applyNumberFormat="0" applyFill="0" applyBorder="0" applyAlignment="0" applyProtection="0"/>
    <xf numFmtId="0" fontId="145" fillId="0" borderId="0" applyNumberFormat="0" applyFill="0" applyBorder="0" applyAlignment="0" applyProtection="0"/>
    <xf numFmtId="0" fontId="180" fillId="0" borderId="0" applyProtection="0"/>
    <xf numFmtId="0" fontId="140" fillId="0" borderId="0" applyProtection="0"/>
    <xf numFmtId="0" fontId="54" fillId="0" borderId="0" applyNumberFormat="0" applyFill="0" applyBorder="0" applyAlignment="0" applyProtection="0"/>
    <xf numFmtId="0" fontId="159" fillId="0" borderId="0" applyNumberFormat="0" applyFill="0" applyBorder="0" applyAlignment="0" applyProtection="0">
      <alignment vertical="top"/>
      <protection locked="0"/>
    </xf>
    <xf numFmtId="0" fontId="181" fillId="59" borderId="1" applyNumberFormat="0" applyAlignment="0" applyProtection="0"/>
    <xf numFmtId="0" fontId="181" fillId="59" borderId="1" applyNumberFormat="0" applyAlignment="0" applyProtection="0"/>
    <xf numFmtId="0" fontId="210" fillId="29" borderId="163" applyNumberFormat="0" applyAlignment="0" applyProtection="0"/>
    <xf numFmtId="0" fontId="181" fillId="59" borderId="1" applyNumberFormat="0" applyAlignment="0" applyProtection="0"/>
    <xf numFmtId="0" fontId="149" fillId="29" borderId="163" applyNumberFormat="0" applyAlignment="0" applyProtection="0"/>
    <xf numFmtId="0" fontId="182" fillId="0" borderId="175" applyNumberFormat="0" applyFill="0" applyAlignment="0" applyProtection="0"/>
    <xf numFmtId="0" fontId="211" fillId="0" borderId="165" applyNumberFormat="0" applyFill="0" applyAlignment="0" applyProtection="0"/>
    <xf numFmtId="0" fontId="182" fillId="0" borderId="175" applyNumberFormat="0" applyFill="0" applyAlignment="0" applyProtection="0"/>
    <xf numFmtId="0" fontId="152" fillId="0" borderId="165" applyNumberFormat="0" applyFill="0" applyAlignment="0" applyProtection="0"/>
    <xf numFmtId="0" fontId="183" fillId="59" borderId="0" applyNumberFormat="0" applyBorder="0" applyAlignment="0" applyProtection="0"/>
    <xf numFmtId="0" fontId="148" fillId="28" borderId="0" applyNumberFormat="0" applyBorder="0" applyAlignment="0" applyProtection="0"/>
    <xf numFmtId="0" fontId="212" fillId="28" borderId="0" applyNumberFormat="0" applyBorder="0" applyAlignment="0" applyProtection="0"/>
    <xf numFmtId="0" fontId="183" fillId="59" borderId="0" applyNumberFormat="0" applyBorder="0" applyAlignment="0" applyProtection="0"/>
    <xf numFmtId="0" fontId="192" fillId="28" borderId="0" applyNumberFormat="0" applyBorder="0" applyAlignment="0" applyProtection="0"/>
    <xf numFmtId="0" fontId="3" fillId="0" borderId="0"/>
    <xf numFmtId="0" fontId="5" fillId="0" borderId="0"/>
    <xf numFmtId="0" fontId="5" fillId="0" borderId="0"/>
    <xf numFmtId="0" fontId="12" fillId="0" borderId="0"/>
    <xf numFmtId="0" fontId="3" fillId="0" borderId="0"/>
    <xf numFmtId="0" fontId="12" fillId="0" borderId="0"/>
    <xf numFmtId="0" fontId="3" fillId="0" borderId="0"/>
    <xf numFmtId="0" fontId="3" fillId="32" borderId="167" applyNumberFormat="0" applyFont="0" applyAlignment="0" applyProtection="0"/>
    <xf numFmtId="0" fontId="12" fillId="60" borderId="2" applyNumberFormat="0" applyFont="0" applyAlignment="0" applyProtection="0"/>
    <xf numFmtId="0" fontId="12" fillId="60" borderId="2" applyNumberFormat="0" applyFont="0" applyAlignment="0" applyProtection="0"/>
    <xf numFmtId="0" fontId="5" fillId="32" borderId="167" applyNumberFormat="0" applyFont="0" applyAlignment="0" applyProtection="0"/>
    <xf numFmtId="0" fontId="12" fillId="60" borderId="2"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3" fillId="32" borderId="167" applyNumberFormat="0" applyFont="0" applyAlignment="0" applyProtection="0"/>
    <xf numFmtId="0" fontId="12" fillId="60" borderId="2" applyNumberFormat="0" applyFont="0" applyAlignment="0" applyProtection="0"/>
    <xf numFmtId="0" fontId="184" fillId="71" borderId="176" applyNumberFormat="0" applyAlignment="0" applyProtection="0"/>
    <xf numFmtId="0" fontId="213" fillId="30" borderId="164" applyNumberFormat="0" applyAlignment="0" applyProtection="0"/>
    <xf numFmtId="0" fontId="184" fillId="71" borderId="176" applyNumberFormat="0" applyAlignment="0" applyProtection="0"/>
    <xf numFmtId="0" fontId="150" fillId="30" borderId="164"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86" fillId="0" borderId="0" applyNumberFormat="0" applyBorder="0" applyAlignment="0"/>
    <xf numFmtId="0" fontId="142" fillId="0" borderId="0" applyNumberFormat="0" applyFill="0" applyBorder="0" applyAlignment="0" applyProtection="0"/>
    <xf numFmtId="0" fontId="188" fillId="0" borderId="0" applyNumberFormat="0" applyFill="0" applyBorder="0" applyAlignment="0" applyProtection="0"/>
    <xf numFmtId="0" fontId="193" fillId="0" borderId="0" applyNumberFormat="0" applyFill="0" applyBorder="0" applyAlignment="0" applyProtection="0"/>
    <xf numFmtId="0" fontId="189" fillId="0" borderId="179" applyNumberFormat="0" applyFill="0" applyAlignment="0" applyProtection="0"/>
    <xf numFmtId="0" fontId="158" fillId="0" borderId="181" applyProtection="0"/>
    <xf numFmtId="0" fontId="126" fillId="0" borderId="168" applyNumberFormat="0" applyFill="0" applyAlignment="0" applyProtection="0"/>
    <xf numFmtId="0" fontId="189" fillId="0" borderId="179" applyNumberFormat="0" applyFill="0" applyAlignment="0" applyProtection="0"/>
    <xf numFmtId="0" fontId="156" fillId="0" borderId="168" applyNumberFormat="0" applyFill="0" applyAlignment="0" applyProtection="0"/>
    <xf numFmtId="0" fontId="158" fillId="0" borderId="181" applyProtection="0"/>
    <xf numFmtId="0" fontId="158" fillId="0" borderId="181" applyProtection="0"/>
    <xf numFmtId="0" fontId="190" fillId="0" borderId="0" applyNumberFormat="0" applyFill="0" applyBorder="0" applyAlignment="0" applyProtection="0"/>
    <xf numFmtId="0" fontId="214" fillId="0" borderId="0" applyNumberFormat="0" applyFill="0" applyBorder="0" applyAlignment="0" applyProtection="0"/>
    <xf numFmtId="0" fontId="190" fillId="0" borderId="0" applyNumberFormat="0" applyFill="0" applyBorder="0" applyAlignment="0" applyProtection="0"/>
    <xf numFmtId="0" fontId="154" fillId="0" borderId="0" applyNumberFormat="0" applyFill="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9"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8"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7" borderId="0" applyNumberFormat="0" applyBorder="0" applyAlignment="0" applyProtection="0"/>
    <xf numFmtId="0" fontId="163" fillId="66" borderId="0" applyNumberFormat="0" applyBorder="0" applyAlignment="0" applyProtection="0"/>
    <xf numFmtId="0" fontId="163" fillId="67" borderId="0" applyNumberFormat="0" applyBorder="0" applyAlignment="0" applyProtection="0"/>
    <xf numFmtId="0" fontId="163" fillId="66"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63" fillId="66"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163" fillId="65"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2" borderId="167" applyNumberFormat="0" applyFont="0" applyAlignment="0" applyProtection="0"/>
    <xf numFmtId="0" fontId="3" fillId="55" borderId="0" applyNumberFormat="0" applyBorder="0" applyAlignment="0" applyProtection="0"/>
    <xf numFmtId="0" fontId="3" fillId="51" borderId="0" applyNumberFormat="0" applyBorder="0" applyAlignment="0" applyProtection="0"/>
    <xf numFmtId="0" fontId="3" fillId="47" borderId="0" applyNumberFormat="0" applyBorder="0" applyAlignment="0" applyProtection="0"/>
    <xf numFmtId="0" fontId="3" fillId="43" borderId="0" applyNumberFormat="0" applyBorder="0" applyAlignment="0" applyProtection="0"/>
    <xf numFmtId="0" fontId="3" fillId="39" borderId="0" applyNumberFormat="0" applyBorder="0" applyAlignment="0" applyProtection="0"/>
    <xf numFmtId="0" fontId="3" fillId="35" borderId="0" applyNumberFormat="0" applyBorder="0" applyAlignment="0" applyProtection="0"/>
    <xf numFmtId="0" fontId="3" fillId="54" borderId="0" applyNumberFormat="0" applyBorder="0" applyAlignment="0" applyProtection="0"/>
    <xf numFmtId="0" fontId="3" fillId="50" borderId="0" applyNumberFormat="0" applyBorder="0" applyAlignment="0" applyProtection="0"/>
    <xf numFmtId="0" fontId="3" fillId="46" borderId="0" applyNumberFormat="0" applyBorder="0" applyAlignment="0" applyProtection="0"/>
    <xf numFmtId="0" fontId="3" fillId="42" borderId="0" applyNumberFormat="0" applyBorder="0" applyAlignment="0" applyProtection="0"/>
    <xf numFmtId="0" fontId="3" fillId="38" borderId="0" applyNumberFormat="0" applyBorder="0" applyAlignment="0" applyProtection="0"/>
    <xf numFmtId="0" fontId="3" fillId="0" borderId="0"/>
    <xf numFmtId="0" fontId="3" fillId="34" borderId="0" applyNumberFormat="0" applyBorder="0" applyAlignment="0" applyProtection="0"/>
    <xf numFmtId="0" fontId="3" fillId="0" borderId="0"/>
    <xf numFmtId="0" fontId="3" fillId="32" borderId="167" applyNumberFormat="0" applyFont="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2" borderId="167" applyNumberFormat="0" applyFont="0" applyAlignment="0" applyProtection="0"/>
    <xf numFmtId="0" fontId="3" fillId="34"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32" borderId="167" applyNumberFormat="0" applyFont="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32" borderId="167" applyNumberFormat="0" applyFont="0" applyAlignment="0" applyProtection="0"/>
    <xf numFmtId="0" fontId="3" fillId="32" borderId="167" applyNumberFormat="0" applyFont="0" applyAlignment="0" applyProtection="0"/>
    <xf numFmtId="0" fontId="2" fillId="46" borderId="0" applyNumberFormat="0" applyBorder="0" applyAlignment="0" applyProtection="0"/>
    <xf numFmtId="0" fontId="2" fillId="54" borderId="0" applyNumberFormat="0" applyBorder="0" applyAlignment="0" applyProtection="0"/>
    <xf numFmtId="0" fontId="2" fillId="42"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0"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2" borderId="0" applyNumberFormat="0" applyBorder="0" applyAlignment="0" applyProtection="0"/>
    <xf numFmtId="0" fontId="2" fillId="38" borderId="0" applyNumberFormat="0" applyBorder="0" applyAlignment="0" applyProtection="0"/>
    <xf numFmtId="0" fontId="2" fillId="0" borderId="0"/>
    <xf numFmtId="0" fontId="2" fillId="34" borderId="0" applyNumberFormat="0" applyBorder="0" applyAlignment="0" applyProtection="0"/>
    <xf numFmtId="0" fontId="2" fillId="0" borderId="0"/>
    <xf numFmtId="0" fontId="2" fillId="32" borderId="167"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2" borderId="167" applyNumberFormat="0" applyFont="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0" fontId="2" fillId="32" borderId="167"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2" fillId="54" borderId="0" applyNumberFormat="0" applyBorder="0" applyAlignment="0" applyProtection="0"/>
    <xf numFmtId="0" fontId="2" fillId="50" borderId="0" applyNumberFormat="0" applyBorder="0" applyAlignment="0" applyProtection="0"/>
    <xf numFmtId="0" fontId="2" fillId="46" borderId="0" applyNumberFormat="0" applyBorder="0" applyAlignment="0" applyProtection="0"/>
    <xf numFmtId="0" fontId="2" fillId="42" borderId="0" applyNumberFormat="0" applyBorder="0" applyAlignment="0" applyProtection="0"/>
    <xf numFmtId="0" fontId="2" fillId="38" borderId="0" applyNumberFormat="0" applyBorder="0" applyAlignment="0" applyProtection="0"/>
    <xf numFmtId="0" fontId="2" fillId="0" borderId="0"/>
    <xf numFmtId="0" fontId="2" fillId="34" borderId="0" applyNumberFormat="0" applyBorder="0" applyAlignment="0" applyProtection="0"/>
    <xf numFmtId="0" fontId="2" fillId="0" borderId="0"/>
    <xf numFmtId="0" fontId="2" fillId="32" borderId="167"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32" borderId="167" applyNumberFormat="0" applyFont="0" applyAlignment="0" applyProtection="0"/>
    <xf numFmtId="0" fontId="2" fillId="32" borderId="167" applyNumberFormat="0" applyFont="0" applyAlignment="0" applyProtection="0"/>
    <xf numFmtId="0" fontId="1" fillId="46" borderId="0" applyNumberFormat="0" applyBorder="0" applyAlignment="0" applyProtection="0"/>
    <xf numFmtId="0" fontId="1" fillId="54"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55"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0" borderId="0"/>
    <xf numFmtId="0" fontId="1" fillId="34" borderId="0" applyNumberFormat="0" applyBorder="0" applyAlignment="0" applyProtection="0"/>
    <xf numFmtId="0" fontId="1" fillId="0" borderId="0"/>
    <xf numFmtId="0" fontId="1" fillId="32" borderId="16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2" borderId="16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0" fontId="1" fillId="32" borderId="16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55" borderId="0" applyNumberFormat="0" applyBorder="0" applyAlignment="0" applyProtection="0"/>
    <xf numFmtId="0" fontId="1" fillId="51" borderId="0" applyNumberFormat="0" applyBorder="0" applyAlignment="0" applyProtection="0"/>
    <xf numFmtId="0" fontId="1" fillId="47"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0" borderId="0" applyNumberFormat="0" applyBorder="0" applyAlignment="0" applyProtection="0"/>
    <xf numFmtId="0" fontId="1" fillId="46" borderId="0" applyNumberFormat="0" applyBorder="0" applyAlignment="0" applyProtection="0"/>
    <xf numFmtId="0" fontId="1" fillId="42" borderId="0" applyNumberFormat="0" applyBorder="0" applyAlignment="0" applyProtection="0"/>
    <xf numFmtId="0" fontId="1" fillId="38" borderId="0" applyNumberFormat="0" applyBorder="0" applyAlignment="0" applyProtection="0"/>
    <xf numFmtId="0" fontId="1" fillId="0" borderId="0"/>
    <xf numFmtId="0" fontId="1" fillId="34" borderId="0" applyNumberFormat="0" applyBorder="0" applyAlignment="0" applyProtection="0"/>
    <xf numFmtId="0" fontId="1" fillId="0" borderId="0"/>
    <xf numFmtId="0" fontId="1" fillId="32" borderId="16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32" borderId="167" applyNumberFormat="0" applyFont="0" applyAlignment="0" applyProtection="0"/>
    <xf numFmtId="0" fontId="1" fillId="32" borderId="167" applyNumberFormat="0" applyFont="0" applyAlignment="0" applyProtection="0"/>
  </cellStyleXfs>
  <cellXfs count="252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19" xfId="12" applyNumberFormat="1" applyFont="1" applyBorder="1" applyAlignment="1" applyProtection="1">
      <alignment horizontal="right" vertical="center"/>
    </xf>
    <xf numFmtId="0" fontId="13" fillId="0" borderId="119" xfId="12" applyFont="1" applyBorder="1" applyAlignment="1" applyProtection="1">
      <alignment vertical="center"/>
    </xf>
    <xf numFmtId="0" fontId="16" fillId="0" borderId="122" xfId="12" applyFont="1" applyBorder="1" applyAlignment="1" applyProtection="1">
      <alignment vertical="center"/>
    </xf>
    <xf numFmtId="0" fontId="16" fillId="0" borderId="120" xfId="12" applyFont="1" applyBorder="1" applyAlignment="1" applyProtection="1">
      <alignment vertical="center"/>
    </xf>
    <xf numFmtId="1" fontId="12" fillId="0" borderId="0" xfId="0" applyNumberFormat="1" applyFont="1" applyAlignment="1">
      <alignment horizontal="center" vertical="center"/>
    </xf>
    <xf numFmtId="0" fontId="13" fillId="0" borderId="129"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4"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96"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97" xfId="0" applyFont="1" applyFill="1" applyBorder="1" applyAlignment="1">
      <alignment horizontal="center" vertical="center"/>
    </xf>
    <xf numFmtId="0" fontId="78" fillId="9" borderId="98" xfId="0" applyFont="1" applyFill="1" applyBorder="1" applyAlignment="1">
      <alignment horizontal="center" vertical="center"/>
    </xf>
    <xf numFmtId="0" fontId="56" fillId="17" borderId="116" xfId="0" applyFont="1" applyFill="1" applyBorder="1" applyAlignment="1" applyProtection="1">
      <alignment horizontal="left" vertical="center"/>
    </xf>
    <xf numFmtId="164" fontId="56" fillId="17" borderId="116" xfId="0" applyNumberFormat="1" applyFont="1" applyFill="1" applyBorder="1" applyAlignment="1" applyProtection="1">
      <alignment horizontal="center" vertical="center"/>
    </xf>
    <xf numFmtId="164" fontId="66" fillId="17" borderId="116" xfId="0" applyNumberFormat="1" applyFont="1" applyFill="1" applyBorder="1" applyAlignment="1" applyProtection="1">
      <alignment vertical="center"/>
    </xf>
    <xf numFmtId="0" fontId="79" fillId="10" borderId="117" xfId="0" applyFont="1" applyFill="1" applyBorder="1" applyAlignment="1">
      <alignment horizontal="left" vertical="center"/>
    </xf>
    <xf numFmtId="38" fontId="51" fillId="10" borderId="99" xfId="0" applyNumberFormat="1" applyFont="1" applyFill="1" applyBorder="1" applyAlignment="1">
      <alignment horizontal="right"/>
    </xf>
    <xf numFmtId="38" fontId="51" fillId="10" borderId="106" xfId="0" applyNumberFormat="1" applyFont="1" applyFill="1" applyBorder="1" applyAlignment="1">
      <alignment horizontal="right"/>
    </xf>
    <xf numFmtId="0" fontId="80" fillId="11" borderId="99" xfId="0" applyFont="1" applyFill="1" applyBorder="1" applyAlignment="1">
      <alignment vertical="center"/>
    </xf>
    <xf numFmtId="164" fontId="56" fillId="13" borderId="112" xfId="0" applyNumberFormat="1" applyFont="1" applyFill="1" applyBorder="1" applyAlignment="1" applyProtection="1">
      <alignment horizontal="center" vertical="center"/>
    </xf>
    <xf numFmtId="164" fontId="66" fillId="13" borderId="106" xfId="0" applyNumberFormat="1" applyFont="1" applyFill="1" applyBorder="1" applyAlignment="1" applyProtection="1">
      <alignment vertical="center"/>
    </xf>
    <xf numFmtId="0" fontId="59" fillId="13" borderId="99" xfId="0" applyFont="1" applyFill="1" applyBorder="1" applyAlignment="1" applyProtection="1">
      <alignment vertical="center"/>
    </xf>
    <xf numFmtId="38" fontId="51" fillId="11" borderId="115" xfId="0" applyNumberFormat="1" applyFont="1" applyFill="1" applyBorder="1" applyAlignment="1" applyProtection="1">
      <alignment horizontal="right"/>
      <protection locked="0"/>
    </xf>
    <xf numFmtId="38" fontId="51" fillId="11" borderId="99" xfId="0" applyNumberFormat="1" applyFont="1" applyFill="1" applyBorder="1" applyAlignment="1" applyProtection="1">
      <alignment horizontal="right"/>
      <protection locked="0"/>
    </xf>
    <xf numFmtId="38" fontId="51" fillId="11" borderId="106" xfId="0" applyNumberFormat="1" applyFont="1" applyFill="1" applyBorder="1" applyAlignment="1" applyProtection="1">
      <alignment horizontal="right"/>
      <protection locked="0"/>
    </xf>
    <xf numFmtId="0" fontId="56" fillId="17" borderId="106" xfId="0" applyFont="1" applyFill="1" applyBorder="1" applyAlignment="1" applyProtection="1">
      <alignment horizontal="center" vertical="center"/>
    </xf>
    <xf numFmtId="164" fontId="56" fillId="17" borderId="106" xfId="0" applyNumberFormat="1" applyFont="1" applyFill="1" applyBorder="1" applyAlignment="1" applyProtection="1">
      <alignment horizontal="center" vertical="center"/>
    </xf>
    <xf numFmtId="164" fontId="66" fillId="17" borderId="106" xfId="0" applyNumberFormat="1" applyFont="1" applyFill="1" applyBorder="1" applyAlignment="1" applyProtection="1">
      <alignment vertical="center"/>
    </xf>
    <xf numFmtId="0" fontId="79" fillId="10" borderId="99"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2" xfId="0" applyFont="1" applyFill="1" applyBorder="1" applyAlignment="1" applyProtection="1">
      <alignment horizontal="left" vertical="center"/>
    </xf>
    <xf numFmtId="164" fontId="56" fillId="13" borderId="106" xfId="0" applyNumberFormat="1" applyFont="1" applyFill="1" applyBorder="1" applyAlignment="1" applyProtection="1">
      <alignment horizontal="center" vertical="center"/>
    </xf>
    <xf numFmtId="164" fontId="64" fillId="13" borderId="106" xfId="0" applyNumberFormat="1" applyFont="1" applyFill="1" applyBorder="1" applyAlignment="1" applyProtection="1">
      <alignment vertical="center"/>
    </xf>
    <xf numFmtId="0" fontId="80" fillId="11" borderId="99" xfId="0" applyFont="1" applyFill="1" applyBorder="1" applyAlignment="1">
      <alignment horizontal="left" vertical="center"/>
    </xf>
    <xf numFmtId="0" fontId="56" fillId="13" borderId="113" xfId="0" applyFont="1" applyFill="1" applyBorder="1" applyAlignment="1" applyProtection="1">
      <alignment horizontal="center" vertical="center"/>
    </xf>
    <xf numFmtId="164" fontId="56" fillId="13" borderId="114" xfId="0" applyNumberFormat="1" applyFont="1" applyFill="1" applyBorder="1" applyAlignment="1" applyProtection="1">
      <alignment horizontal="center" vertical="center"/>
    </xf>
    <xf numFmtId="164" fontId="66" fillId="13" borderId="114" xfId="0" applyNumberFormat="1" applyFont="1" applyFill="1" applyBorder="1" applyAlignment="1" applyProtection="1">
      <alignment vertical="center"/>
    </xf>
    <xf numFmtId="38" fontId="51" fillId="11" borderId="106" xfId="0" applyNumberFormat="1" applyFont="1" applyFill="1" applyBorder="1" applyAlignment="1">
      <alignment horizontal="right"/>
    </xf>
    <xf numFmtId="0" fontId="79" fillId="10" borderId="100" xfId="0" applyFont="1" applyFill="1" applyBorder="1" applyAlignment="1">
      <alignment horizontal="left" vertical="center"/>
    </xf>
    <xf numFmtId="38" fontId="51" fillId="10" borderId="100"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1" xfId="0" applyNumberFormat="1" applyFont="1" applyBorder="1" applyAlignment="1" applyProtection="1">
      <alignment horizontal="center" vertical="center"/>
    </xf>
    <xf numFmtId="38" fontId="57" fillId="3" borderId="121"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0" fontId="64" fillId="0" borderId="26" xfId="0" applyFont="1" applyBorder="1" applyAlignment="1" applyProtection="1">
      <alignment horizontal="center" vertical="center"/>
    </xf>
    <xf numFmtId="0" fontId="64" fillId="0" borderId="124" xfId="0" applyFont="1" applyFill="1" applyBorder="1" applyAlignment="1" applyProtection="1">
      <alignment horizontal="center" vertical="center"/>
    </xf>
    <xf numFmtId="0" fontId="64" fillId="0" borderId="96"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1"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1"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19"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1"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19"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0" xfId="0" applyNumberFormat="1" applyFont="1" applyFill="1" applyBorder="1" applyAlignment="1">
      <alignment horizontal="center" vertical="center"/>
    </xf>
    <xf numFmtId="49" fontId="64" fillId="0" borderId="121"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1"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19"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27" xfId="3" applyNumberFormat="1" applyFont="1" applyBorder="1" applyAlignment="1">
      <alignment horizontal="center" vertical="center"/>
    </xf>
    <xf numFmtId="0" fontId="59" fillId="0" borderId="127"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27"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46" xfId="0" applyFont="1" applyBorder="1"/>
    <xf numFmtId="0" fontId="57" fillId="0" borderId="13" xfId="0" applyFont="1" applyBorder="1"/>
    <xf numFmtId="0" fontId="57" fillId="0" borderId="119" xfId="0" applyFont="1" applyBorder="1" applyAlignment="1">
      <alignment horizontal="left" vertical="top"/>
    </xf>
    <xf numFmtId="164" fontId="115" fillId="0" borderId="122" xfId="0" applyNumberFormat="1" applyFont="1" applyBorder="1" applyAlignment="1">
      <alignment horizontal="right" vertical="top"/>
    </xf>
    <xf numFmtId="0" fontId="57" fillId="0" borderId="122" xfId="0" applyNumberFormat="1" applyFont="1" applyBorder="1" applyAlignment="1">
      <alignment horizontal="left" vertical="center" wrapText="1" indent="1"/>
    </xf>
    <xf numFmtId="0" fontId="87" fillId="0" borderId="121" xfId="0" applyFont="1" applyBorder="1" applyAlignment="1">
      <alignment horizontal="left" vertical="center" wrapText="1"/>
    </xf>
    <xf numFmtId="0" fontId="57" fillId="0" borderId="122" xfId="0" applyFont="1" applyBorder="1" applyAlignment="1">
      <alignment horizontal="left" vertical="top"/>
    </xf>
    <xf numFmtId="0" fontId="57" fillId="0" borderId="0" xfId="0" applyFont="1" applyBorder="1" applyAlignment="1">
      <alignment vertical="top"/>
    </xf>
    <xf numFmtId="0" fontId="117" fillId="0" borderId="122" xfId="0" applyNumberFormat="1" applyFont="1" applyBorder="1" applyAlignment="1">
      <alignment horizontal="left" vertical="center"/>
    </xf>
    <xf numFmtId="0" fontId="115" fillId="0" borderId="122" xfId="0" applyFont="1" applyBorder="1" applyAlignment="1">
      <alignment vertical="top"/>
    </xf>
    <xf numFmtId="0" fontId="115" fillId="0" borderId="122" xfId="0" applyFont="1" applyBorder="1" applyAlignment="1">
      <alignment horizontal="left" vertical="top"/>
    </xf>
    <xf numFmtId="0" fontId="57" fillId="0" borderId="119" xfId="0" applyFont="1" applyBorder="1" applyAlignment="1"/>
    <xf numFmtId="164" fontId="115" fillId="0" borderId="122" xfId="0" applyNumberFormat="1" applyFont="1" applyBorder="1" applyAlignment="1"/>
    <xf numFmtId="0" fontId="57" fillId="0" borderId="122" xfId="0" applyFont="1" applyBorder="1" applyAlignment="1"/>
    <xf numFmtId="0" fontId="64" fillId="0" borderId="120"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48"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19" xfId="0" applyFont="1" applyFill="1" applyBorder="1" applyAlignment="1"/>
    <xf numFmtId="0" fontId="56" fillId="0" borderId="122" xfId="0" applyFont="1" applyFill="1" applyBorder="1" applyAlignment="1">
      <alignment horizontal="left" vertical="top"/>
    </xf>
    <xf numFmtId="0" fontId="56" fillId="0" borderId="120"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0"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37" xfId="3" quotePrefix="1" applyNumberFormat="1" applyFont="1" applyBorder="1" applyAlignment="1" applyProtection="1">
      <alignment horizontal="left"/>
    </xf>
    <xf numFmtId="0" fontId="64" fillId="0" borderId="138" xfId="3" applyNumberFormat="1" applyFont="1" applyBorder="1" applyAlignment="1" applyProtection="1">
      <alignment horizontal="center"/>
    </xf>
    <xf numFmtId="0" fontId="64" fillId="0" borderId="138" xfId="3" applyNumberFormat="1" applyFont="1" applyBorder="1" applyProtection="1"/>
    <xf numFmtId="0" fontId="57" fillId="0" borderId="137" xfId="3" applyNumberFormat="1" applyFont="1" applyBorder="1" applyAlignment="1" applyProtection="1"/>
    <xf numFmtId="0" fontId="64" fillId="0" borderId="139" xfId="3" applyNumberFormat="1" applyFont="1" applyBorder="1" applyAlignment="1" applyProtection="1">
      <alignment horizontal="centerContinuous"/>
    </xf>
    <xf numFmtId="0" fontId="57" fillId="0" borderId="137" xfId="3" applyNumberFormat="1" applyFont="1" applyBorder="1" applyAlignment="1" applyProtection="1">
      <alignment horizontal="left"/>
    </xf>
    <xf numFmtId="0" fontId="64" fillId="0" borderId="139" xfId="3" applyNumberFormat="1" applyFont="1" applyBorder="1" applyProtection="1"/>
    <xf numFmtId="0" fontId="64" fillId="0" borderId="138"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37"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1"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38"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2"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0" xfId="3" applyFont="1" applyBorder="1" applyProtection="1"/>
    <xf numFmtId="0" fontId="57" fillId="0" borderId="141" xfId="3" applyFont="1" applyBorder="1" applyProtection="1">
      <protection locked="0"/>
    </xf>
    <xf numFmtId="0" fontId="57" fillId="0" borderId="140"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4" xfId="3" applyNumberFormat="1" applyFont="1" applyBorder="1" applyAlignment="1" applyProtection="1">
      <protection locked="0"/>
    </xf>
    <xf numFmtId="5" fontId="57" fillId="0" borderId="72"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4" xfId="3" applyNumberFormat="1" applyFont="1" applyBorder="1" applyAlignment="1" applyProtection="1">
      <alignment horizontal="center"/>
      <protection locked="0"/>
    </xf>
    <xf numFmtId="5" fontId="57" fillId="0" borderId="72"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4" xfId="3" applyFont="1" applyBorder="1" applyAlignment="1" applyProtection="1">
      <alignment vertical="top"/>
    </xf>
    <xf numFmtId="0" fontId="59" fillId="0" borderId="74"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4"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38" xfId="3" applyFont="1" applyBorder="1" applyProtection="1"/>
    <xf numFmtId="0" fontId="59" fillId="0" borderId="138" xfId="3" applyFont="1" applyBorder="1" applyProtection="1"/>
    <xf numFmtId="0" fontId="59" fillId="0" borderId="138"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38" xfId="3" quotePrefix="1" applyFont="1" applyBorder="1" applyAlignment="1" applyProtection="1">
      <alignment horizontal="left"/>
    </xf>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38" xfId="3" applyFont="1" applyBorder="1" applyProtection="1"/>
    <xf numFmtId="0" fontId="59" fillId="0" borderId="0" xfId="3" applyFont="1" applyBorder="1" applyAlignment="1" applyProtection="1">
      <alignment horizontal="left"/>
    </xf>
    <xf numFmtId="0" fontId="66" fillId="0" borderId="138" xfId="3" applyFont="1" applyBorder="1" applyAlignment="1" applyProtection="1">
      <alignment horizontal="left"/>
    </xf>
    <xf numFmtId="0" fontId="59" fillId="0" borderId="74" xfId="3" applyFont="1" applyFill="1" applyBorder="1" applyProtection="1"/>
    <xf numFmtId="0" fontId="59" fillId="0" borderId="74"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38"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3" xfId="3" applyNumberFormat="1" applyFont="1" applyBorder="1" applyAlignment="1" applyProtection="1">
      <alignment horizontal="center"/>
    </xf>
    <xf numFmtId="169" fontId="64" fillId="0" borderId="73" xfId="3" applyNumberFormat="1" applyFont="1" applyBorder="1" applyAlignment="1" applyProtection="1">
      <alignment horizontal="center"/>
      <protection locked="0"/>
    </xf>
    <xf numFmtId="169" fontId="124" fillId="0" borderId="0" xfId="3" applyNumberFormat="1" applyFont="1" applyProtection="1"/>
    <xf numFmtId="6" fontId="120" fillId="0" borderId="72" xfId="3" applyNumberFormat="1" applyFont="1" applyBorder="1" applyProtection="1"/>
    <xf numFmtId="6" fontId="120" fillId="0" borderId="0" xfId="3" applyNumberFormat="1" applyFont="1" applyBorder="1" applyProtection="1"/>
    <xf numFmtId="10" fontId="66" fillId="0" borderId="73"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4" xfId="3" applyNumberFormat="1" applyFont="1" applyBorder="1" applyProtection="1"/>
    <xf numFmtId="0" fontId="77" fillId="0" borderId="74" xfId="3" applyFont="1" applyBorder="1" applyAlignment="1" applyProtection="1">
      <alignment horizontal="center"/>
    </xf>
    <xf numFmtId="0" fontId="77" fillId="0" borderId="74"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0"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0"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5" xfId="3" applyFont="1" applyBorder="1" applyAlignment="1" applyProtection="1">
      <alignment horizontal="left"/>
    </xf>
    <xf numFmtId="0" fontId="59" fillId="0" borderId="145" xfId="3" applyFont="1" applyBorder="1" applyProtection="1"/>
    <xf numFmtId="0" fontId="59" fillId="0" borderId="145"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4" xfId="3" applyNumberFormat="1" applyFont="1" applyBorder="1" applyAlignment="1" applyProtection="1">
      <protection locked="0"/>
    </xf>
    <xf numFmtId="0" fontId="59" fillId="0" borderId="74"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2"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3" xfId="0" applyFont="1" applyFill="1" applyBorder="1" applyAlignment="1" applyProtection="1">
      <alignment horizontal="left" vertical="center" indent="1"/>
    </xf>
    <xf numFmtId="0" fontId="64" fillId="0" borderId="96"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1" xfId="0" applyNumberFormat="1" applyFont="1" applyBorder="1" applyAlignment="1">
      <alignment horizontal="left" vertical="center" wrapText="1" indent="1"/>
    </xf>
    <xf numFmtId="3" fontId="64" fillId="0" borderId="119"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1"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1" xfId="0" applyNumberFormat="1" applyFont="1" applyFill="1" applyBorder="1" applyAlignment="1" applyProtection="1">
      <alignment horizontal="right" vertical="center"/>
      <protection locked="0"/>
    </xf>
    <xf numFmtId="38" fontId="56" fillId="6" borderId="149" xfId="0" applyNumberFormat="1" applyFont="1" applyFill="1" applyBorder="1" applyAlignment="1">
      <alignment horizontal="center" vertical="center" wrapText="1"/>
    </xf>
    <xf numFmtId="38" fontId="56" fillId="6" borderId="149" xfId="0" applyNumberFormat="1" applyFont="1" applyFill="1" applyBorder="1" applyAlignment="1">
      <alignment horizontal="center" vertical="top" wrapText="1"/>
    </xf>
    <xf numFmtId="38" fontId="66" fillId="6" borderId="149"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34" xfId="17" applyFont="1" applyBorder="1" applyAlignment="1">
      <alignment horizontal="left" vertical="top"/>
    </xf>
    <xf numFmtId="0" fontId="127" fillId="0" borderId="135" xfId="17" applyFont="1" applyBorder="1" applyAlignment="1">
      <alignment horizontal="center" vertical="top"/>
    </xf>
    <xf numFmtId="0" fontId="127" fillId="0" borderId="136" xfId="17" applyFont="1" applyBorder="1" applyAlignment="1">
      <alignment horizontal="center" vertical="top"/>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38" fontId="9" fillId="21" borderId="151" xfId="17" applyNumberFormat="1" applyFill="1" applyBorder="1" applyAlignment="1">
      <alignment horizontal="right" vertical="top"/>
    </xf>
    <xf numFmtId="38" fontId="9" fillId="21" borderId="152"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6" fillId="22" borderId="150" xfId="17" applyFont="1" applyFill="1" applyBorder="1" applyAlignment="1">
      <alignment horizontal="center" vertical="center" wrapText="1"/>
    </xf>
    <xf numFmtId="38" fontId="126" fillId="22" borderId="150" xfId="17" applyNumberFormat="1" applyFont="1" applyFill="1" applyBorder="1" applyAlignment="1">
      <alignment horizontal="center" vertical="center" wrapText="1"/>
    </xf>
    <xf numFmtId="3" fontId="57" fillId="22" borderId="125" xfId="0" applyNumberFormat="1" applyFont="1" applyFill="1" applyBorder="1" applyAlignment="1">
      <alignment horizontal="center"/>
    </xf>
    <xf numFmtId="3" fontId="57" fillId="22" borderId="125" xfId="0" applyNumberFormat="1" applyFont="1" applyFill="1" applyBorder="1" applyAlignment="1">
      <alignment horizontal="right"/>
    </xf>
    <xf numFmtId="3" fontId="57" fillId="22" borderId="126" xfId="0" applyNumberFormat="1" applyFont="1" applyFill="1" applyBorder="1" applyAlignment="1">
      <alignment horizontal="center"/>
    </xf>
    <xf numFmtId="38" fontId="57" fillId="22" borderId="19" xfId="0" applyNumberFormat="1" applyFont="1" applyFill="1" applyBorder="1" applyAlignment="1">
      <alignment horizontal="right"/>
    </xf>
    <xf numFmtId="38" fontId="57" fillId="22" borderId="20" xfId="0" applyNumberFormat="1" applyFont="1" applyFill="1" applyBorder="1" applyAlignment="1">
      <alignment horizontal="right"/>
    </xf>
    <xf numFmtId="38" fontId="57" fillId="22" borderId="11" xfId="0" applyNumberFormat="1" applyFont="1" applyFill="1" applyBorder="1" applyAlignment="1">
      <alignment horizontal="right"/>
    </xf>
    <xf numFmtId="3" fontId="67" fillId="22" borderId="119"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7" fillId="22" borderId="13" xfId="0" applyNumberFormat="1" applyFont="1" applyFill="1" applyBorder="1" applyAlignment="1">
      <alignment horizontal="right"/>
    </xf>
    <xf numFmtId="38" fontId="57" fillId="22" borderId="21" xfId="0" applyNumberFormat="1" applyFont="1" applyFill="1" applyBorder="1" applyAlignment="1">
      <alignment horizontal="right"/>
    </xf>
    <xf numFmtId="38" fontId="57" fillId="22" borderId="14" xfId="0" applyNumberFormat="1" applyFont="1" applyFill="1" applyBorder="1" applyAlignment="1">
      <alignment horizontal="right"/>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38" fontId="57" fillId="22" borderId="19" xfId="0" applyNumberFormat="1" applyFont="1" applyFill="1" applyBorder="1" applyAlignment="1" applyProtection="1">
      <alignment horizontal="right"/>
    </xf>
    <xf numFmtId="38" fontId="57" fillId="22" borderId="20"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11" xfId="0" applyNumberFormat="1" applyFont="1" applyFill="1" applyBorder="1" applyAlignment="1" applyProtection="1">
      <alignment horizontal="right"/>
    </xf>
    <xf numFmtId="38" fontId="57" fillId="22" borderId="49" xfId="0" applyNumberFormat="1" applyFont="1" applyFill="1" applyBorder="1" applyAlignment="1" applyProtection="1">
      <alignment horizontal="right"/>
    </xf>
    <xf numFmtId="38" fontId="57" fillId="22" borderId="34" xfId="0" applyNumberFormat="1" applyFont="1" applyFill="1" applyBorder="1" applyAlignment="1" applyProtection="1">
      <alignment horizontal="right"/>
    </xf>
    <xf numFmtId="38" fontId="57" fillId="22" borderId="31" xfId="0" applyNumberFormat="1" applyFont="1" applyFill="1" applyBorder="1" applyAlignment="1" applyProtection="1">
      <alignment horizontal="right"/>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1"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19" xfId="0" applyNumberFormat="1" applyFont="1" applyFill="1" applyBorder="1" applyAlignment="1">
      <alignment horizontal="left" vertical="center" wrapText="1"/>
    </xf>
    <xf numFmtId="49" fontId="66" fillId="17" borderId="121"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19"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1" xfId="0" applyFont="1" applyFill="1" applyBorder="1" applyAlignment="1">
      <alignment horizontal="left" vertical="center" wrapText="1"/>
    </xf>
    <xf numFmtId="3" fontId="66" fillId="17" borderId="121" xfId="0" applyNumberFormat="1" applyFont="1" applyFill="1" applyBorder="1" applyAlignment="1">
      <alignment horizontal="left" vertical="center" wrapText="1"/>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3" xfId="0" applyFont="1" applyBorder="1" applyAlignment="1">
      <alignment horizontal="centerContinuous" vertical="center"/>
    </xf>
    <xf numFmtId="0" fontId="57" fillId="0" borderId="154" xfId="0" applyFont="1" applyBorder="1" applyAlignment="1">
      <alignment horizontal="centerContinuous" vertical="center"/>
    </xf>
    <xf numFmtId="0" fontId="59" fillId="0" borderId="154" xfId="0" applyFont="1" applyBorder="1" applyAlignment="1">
      <alignment horizontal="centerContinuous" vertical="center"/>
    </xf>
    <xf numFmtId="0" fontId="66" fillId="0" borderId="101"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59" fillId="22" borderId="19" xfId="3" applyNumberFormat="1" applyFont="1" applyFill="1" applyBorder="1" applyAlignment="1">
      <alignment vertical="center"/>
    </xf>
    <xf numFmtId="0" fontId="59" fillId="22" borderId="20" xfId="3" applyNumberFormat="1" applyFont="1" applyFill="1" applyBorder="1" applyAlignment="1">
      <alignment vertical="center"/>
    </xf>
    <xf numFmtId="0" fontId="59" fillId="22" borderId="11" xfId="3" applyNumberFormat="1" applyFont="1" applyFill="1" applyBorder="1" applyAlignment="1">
      <alignment vertical="center"/>
    </xf>
    <xf numFmtId="0" fontId="8" fillId="0" borderId="0" xfId="17" quotePrefix="1" applyNumberFormat="1" applyFont="1"/>
    <xf numFmtId="0" fontId="128" fillId="20" borderId="151" xfId="17" applyFont="1" applyFill="1" applyBorder="1" applyAlignment="1" applyProtection="1">
      <alignment horizontal="left" vertical="top" wrapText="1"/>
    </xf>
    <xf numFmtId="49" fontId="128" fillId="20" borderId="151" xfId="17" applyNumberFormat="1" applyFont="1" applyFill="1" applyBorder="1" applyAlignment="1" applyProtection="1">
      <alignment horizontal="center" vertical="top"/>
    </xf>
    <xf numFmtId="0" fontId="128" fillId="20" borderId="151" xfId="17" applyFont="1" applyFill="1" applyBorder="1" applyAlignment="1" applyProtection="1">
      <alignment vertical="top"/>
    </xf>
    <xf numFmtId="38" fontId="128" fillId="20" borderId="151" xfId="17" applyNumberFormat="1" applyFont="1" applyFill="1" applyBorder="1" applyAlignment="1" applyProtection="1">
      <alignment horizontal="right" vertical="top"/>
    </xf>
    <xf numFmtId="38" fontId="128" fillId="20" borderId="151" xfId="17" applyNumberFormat="1" applyFont="1" applyFill="1" applyBorder="1" applyAlignment="1" applyProtection="1">
      <alignment vertical="top"/>
    </xf>
    <xf numFmtId="0" fontId="9" fillId="0" borderId="151" xfId="17" applyBorder="1" applyAlignment="1" applyProtection="1">
      <alignment horizontal="left" vertical="top" wrapText="1"/>
      <protection locked="0"/>
    </xf>
    <xf numFmtId="0" fontId="9" fillId="0" borderId="151" xfId="17" applyBorder="1" applyAlignment="1" applyProtection="1">
      <alignment vertical="top"/>
      <protection locked="0"/>
    </xf>
    <xf numFmtId="0" fontId="8" fillId="0" borderId="151"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8" fillId="0" borderId="94" xfId="17" applyFont="1" applyBorder="1" applyAlignment="1">
      <alignment horizontal="left" vertical="top"/>
    </xf>
    <xf numFmtId="0" fontId="128" fillId="0" borderId="74" xfId="17" applyFont="1" applyBorder="1" applyAlignment="1">
      <alignment horizontal="left" vertical="top"/>
    </xf>
    <xf numFmtId="0" fontId="128" fillId="0" borderId="95" xfId="17" applyFont="1" applyBorder="1" applyAlignment="1">
      <alignment horizontal="left" vertical="top"/>
    </xf>
    <xf numFmtId="0" fontId="35" fillId="0" borderId="0" xfId="2" applyNumberFormat="1" applyAlignment="1" applyProtection="1">
      <alignment vertical="center"/>
    </xf>
    <xf numFmtId="49" fontId="9" fillId="0" borderId="151" xfId="17" applyNumberFormat="1" applyBorder="1" applyAlignment="1" applyProtection="1">
      <alignment horizontal="center" vertical="center"/>
      <protection locked="0"/>
    </xf>
    <xf numFmtId="49" fontId="7" fillId="0" borderId="151"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1"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1"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1" xfId="17" applyNumberFormat="1" applyFill="1" applyBorder="1" applyAlignment="1" applyProtection="1">
      <alignment vertical="top"/>
    </xf>
    <xf numFmtId="38" fontId="9" fillId="16" borderId="152" xfId="17" applyNumberFormat="1" applyFill="1" applyBorder="1" applyAlignment="1" applyProtection="1">
      <alignment horizontal="right" vertical="top"/>
    </xf>
    <xf numFmtId="38" fontId="9" fillId="16" borderId="152" xfId="17" applyNumberFormat="1" applyFill="1" applyBorder="1" applyAlignment="1" applyProtection="1">
      <alignment vertical="top"/>
    </xf>
    <xf numFmtId="0" fontId="9" fillId="16" borderId="152" xfId="17" applyFill="1" applyBorder="1" applyAlignment="1" applyProtection="1">
      <alignment horizontal="left" vertical="top" wrapText="1"/>
    </xf>
    <xf numFmtId="49" fontId="9" fillId="16" borderId="152" xfId="17" applyNumberFormat="1" applyFill="1" applyBorder="1" applyAlignment="1" applyProtection="1">
      <alignment vertical="top"/>
    </xf>
    <xf numFmtId="0" fontId="9" fillId="16" borderId="152" xfId="17" applyFill="1" applyBorder="1" applyAlignment="1" applyProtection="1">
      <alignment vertical="top"/>
    </xf>
    <xf numFmtId="0" fontId="57" fillId="16" borderId="120" xfId="0" applyFont="1" applyFill="1" applyBorder="1"/>
    <xf numFmtId="37" fontId="57" fillId="16" borderId="120" xfId="0" applyNumberFormat="1" applyFont="1" applyFill="1" applyBorder="1"/>
    <xf numFmtId="37" fontId="57" fillId="16" borderId="122"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1" xfId="3" applyNumberFormat="1" applyFont="1" applyFill="1" applyBorder="1" applyAlignment="1">
      <alignment horizontal="right" vertical="center"/>
    </xf>
    <xf numFmtId="38" fontId="56" fillId="16" borderId="71"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1"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5"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5"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1"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1"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3" fillId="0" borderId="156" xfId="18" applyFont="1" applyFill="1" applyBorder="1" applyAlignment="1" applyProtection="1">
      <alignment horizontal="center" vertical="center"/>
      <protection locked="0"/>
    </xf>
    <xf numFmtId="0" fontId="105" fillId="0" borderId="0" xfId="18" applyNumberFormat="1" applyFont="1"/>
    <xf numFmtId="0" fontId="80" fillId="0" borderId="103" xfId="18" applyFont="1" applyBorder="1" applyAlignment="1">
      <alignment horizontal="left" vertical="center" wrapText="1"/>
    </xf>
    <xf numFmtId="0" fontId="80"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2" fillId="0" borderId="102" xfId="18" applyFont="1" applyFill="1" applyBorder="1"/>
    <xf numFmtId="0" fontId="106" fillId="0" borderId="153" xfId="18" applyFont="1" applyBorder="1" applyAlignment="1">
      <alignment horizontal="left" vertical="center" wrapText="1"/>
    </xf>
    <xf numFmtId="0" fontId="106" fillId="0" borderId="154" xfId="18" applyFont="1" applyBorder="1" applyAlignment="1">
      <alignment horizontal="left" vertical="center" wrapText="1"/>
    </xf>
    <xf numFmtId="49" fontId="106" fillId="17" borderId="102" xfId="18" applyNumberFormat="1" applyFont="1" applyFill="1" applyBorder="1" applyAlignment="1">
      <alignment horizontal="center" vertical="center"/>
    </xf>
    <xf numFmtId="0" fontId="80" fillId="0" borderId="103" xfId="18" applyFont="1" applyFill="1" applyBorder="1" applyAlignment="1">
      <alignment horizontal="left" vertical="center" wrapText="1"/>
    </xf>
    <xf numFmtId="0" fontId="80" fillId="0" borderId="126" xfId="18" applyFont="1" applyFill="1" applyBorder="1" applyAlignment="1">
      <alignment horizontal="left" vertical="center" wrapText="1"/>
    </xf>
    <xf numFmtId="49" fontId="134" fillId="0" borderId="101" xfId="18" applyNumberFormat="1" applyFont="1" applyBorder="1" applyAlignment="1" applyProtection="1">
      <alignment horizontal="center" vertical="center"/>
      <protection locked="0"/>
    </xf>
    <xf numFmtId="49" fontId="134" fillId="0" borderId="105" xfId="18" applyNumberFormat="1" applyFont="1" applyFill="1" applyBorder="1" applyAlignment="1" applyProtection="1">
      <alignment horizontal="center" vertical="center"/>
      <protection locked="0"/>
    </xf>
    <xf numFmtId="0" fontId="102" fillId="0" borderId="101" xfId="18" applyFont="1" applyBorder="1" applyProtection="1">
      <protection locked="0"/>
    </xf>
    <xf numFmtId="49" fontId="134" fillId="0" borderId="103"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34" xfId="18" applyFont="1" applyBorder="1" applyAlignment="1">
      <alignment vertical="top"/>
    </xf>
    <xf numFmtId="0" fontId="50" fillId="0" borderId="135" xfId="18" applyFont="1" applyBorder="1" applyAlignment="1">
      <alignment vertical="top"/>
    </xf>
    <xf numFmtId="0" fontId="51" fillId="15" borderId="72" xfId="18" applyFont="1" applyFill="1" applyBorder="1" applyAlignment="1">
      <alignment vertical="top"/>
    </xf>
    <xf numFmtId="0" fontId="50" fillId="0" borderId="134" xfId="18" applyFont="1" applyBorder="1" applyAlignment="1">
      <alignment vertical="top" wrapText="1"/>
    </xf>
    <xf numFmtId="0" fontId="50" fillId="0" borderId="135"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5"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2" borderId="0" xfId="18" applyFont="1" applyFill="1" applyAlignment="1">
      <alignment horizontal="centerContinuous" vertical="center"/>
    </xf>
    <xf numFmtId="0" fontId="106" fillId="22" borderId="132" xfId="18" applyFont="1" applyFill="1" applyBorder="1" applyAlignment="1">
      <alignment horizontal="center" vertical="center" wrapText="1"/>
    </xf>
    <xf numFmtId="0" fontId="106" fillId="22" borderId="157" xfId="18" applyFont="1" applyFill="1" applyBorder="1" applyAlignment="1">
      <alignment horizontal="center" vertical="center" wrapText="1"/>
    </xf>
    <xf numFmtId="0" fontId="106" fillId="17" borderId="133" xfId="18" applyFont="1" applyFill="1" applyBorder="1" applyAlignment="1">
      <alignment horizontal="center" vertical="center" wrapText="1"/>
    </xf>
    <xf numFmtId="49" fontId="106" fillId="17" borderId="103" xfId="18" applyNumberFormat="1" applyFont="1" applyFill="1" applyBorder="1" applyAlignment="1">
      <alignment horizontal="center" vertical="center" wrapText="1"/>
    </xf>
    <xf numFmtId="0" fontId="51" fillId="17" borderId="104" xfId="18" applyFont="1" applyFill="1" applyBorder="1" applyAlignment="1">
      <alignment horizontal="center"/>
    </xf>
    <xf numFmtId="0" fontId="104" fillId="0" borderId="133" xfId="18" applyFont="1" applyFill="1" applyBorder="1" applyAlignment="1" applyProtection="1">
      <alignment horizontal="right"/>
    </xf>
    <xf numFmtId="0" fontId="67" fillId="22"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4"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1"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1"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5" fillId="16" borderId="151" xfId="17" applyNumberFormat="1" applyFont="1" applyFill="1" applyBorder="1" applyAlignment="1" applyProtection="1">
      <alignment horizontal="right" vertical="top"/>
    </xf>
    <xf numFmtId="38" fontId="5" fillId="16" borderId="152" xfId="17" applyNumberFormat="1" applyFont="1" applyFill="1" applyBorder="1" applyAlignment="1" applyProtection="1">
      <alignment horizontal="right" vertical="top"/>
    </xf>
    <xf numFmtId="49" fontId="5" fillId="0" borderId="151" xfId="17" applyNumberFormat="1" applyFont="1" applyBorder="1" applyAlignment="1" applyProtection="1">
      <alignment horizontal="center" vertical="top"/>
      <protection locked="0"/>
    </xf>
    <xf numFmtId="0" fontId="59" fillId="0" borderId="73" xfId="3" applyNumberFormat="1" applyFont="1" applyBorder="1" applyAlignment="1" applyProtection="1">
      <alignment horizontal="center"/>
      <protection locked="0"/>
    </xf>
    <xf numFmtId="38" fontId="18" fillId="0" borderId="121" xfId="0" applyNumberFormat="1" applyFont="1" applyBorder="1" applyAlignment="1" applyProtection="1">
      <alignment horizontal="right"/>
      <protection locked="0"/>
    </xf>
    <xf numFmtId="38" fontId="18" fillId="0" borderId="2" xfId="0" applyNumberFormat="1" applyFont="1" applyBorder="1" applyAlignment="1" applyProtection="1">
      <alignment horizontal="right"/>
      <protection locked="0"/>
    </xf>
    <xf numFmtId="38" fontId="18" fillId="0" borderId="0" xfId="0" applyNumberFormat="1" applyFont="1" applyAlignment="1" applyProtection="1">
      <alignment horizontal="right"/>
      <protection locked="0"/>
    </xf>
    <xf numFmtId="38" fontId="18" fillId="3" borderId="18" xfId="0" applyNumberFormat="1" applyFont="1" applyFill="1" applyBorder="1" applyAlignment="1">
      <alignment horizontal="right"/>
    </xf>
    <xf numFmtId="38" fontId="18" fillId="6" borderId="3" xfId="0" applyNumberFormat="1" applyFont="1" applyFill="1" applyBorder="1" applyAlignment="1">
      <alignment horizontal="right"/>
    </xf>
    <xf numFmtId="38" fontId="57" fillId="6" borderId="2" xfId="0" applyNumberFormat="1" applyFont="1" applyFill="1" applyBorder="1" applyAlignment="1">
      <alignment horizontal="right"/>
    </xf>
    <xf numFmtId="38" fontId="57" fillId="3" borderId="18" xfId="0" applyNumberFormat="1" applyFont="1" applyFill="1" applyBorder="1" applyAlignment="1">
      <alignment horizontal="right"/>
    </xf>
    <xf numFmtId="38" fontId="18" fillId="3" borderId="2" xfId="0" applyNumberFormat="1" applyFont="1" applyFill="1" applyBorder="1" applyAlignment="1">
      <alignment horizontal="right"/>
    </xf>
    <xf numFmtId="38" fontId="18" fillId="3" borderId="3" xfId="0" applyNumberFormat="1" applyFont="1" applyFill="1" applyBorder="1" applyAlignment="1">
      <alignment horizontal="right"/>
    </xf>
    <xf numFmtId="38" fontId="18" fillId="3" borderId="26" xfId="0" applyNumberFormat="1" applyFont="1" applyFill="1" applyBorder="1" applyAlignment="1">
      <alignment horizontal="right"/>
    </xf>
    <xf numFmtId="38" fontId="18" fillId="6" borderId="2" xfId="0" applyNumberFormat="1" applyFont="1" applyFill="1" applyBorder="1" applyAlignment="1">
      <alignment horizontal="right"/>
    </xf>
    <xf numFmtId="38" fontId="18" fillId="6" borderId="121" xfId="0" applyNumberFormat="1" applyFont="1" applyFill="1" applyBorder="1" applyAlignment="1">
      <alignment horizontal="right"/>
    </xf>
    <xf numFmtId="38" fontId="18" fillId="3" borderId="0" xfId="0" applyNumberFormat="1" applyFont="1" applyFill="1" applyAlignment="1">
      <alignment horizontal="right"/>
    </xf>
    <xf numFmtId="38" fontId="18" fillId="3" borderId="121" xfId="0" applyNumberFormat="1" applyFont="1" applyFill="1" applyBorder="1" applyAlignment="1">
      <alignment horizontal="right"/>
    </xf>
    <xf numFmtId="38" fontId="18" fillId="6" borderId="26" xfId="0" applyNumberFormat="1" applyFont="1" applyFill="1" applyBorder="1" applyAlignment="1">
      <alignment horizontal="right"/>
    </xf>
    <xf numFmtId="38" fontId="18" fillId="3" borderId="28" xfId="0" applyNumberFormat="1" applyFont="1" applyFill="1" applyBorder="1" applyAlignment="1">
      <alignment horizontal="right"/>
    </xf>
    <xf numFmtId="38" fontId="18" fillId="3" borderId="17" xfId="0" applyNumberFormat="1" applyFont="1" applyFill="1" applyBorder="1" applyAlignment="1">
      <alignment horizontal="right"/>
    </xf>
    <xf numFmtId="38" fontId="18" fillId="6" borderId="2" xfId="0" applyNumberFormat="1" applyFont="1" applyFill="1" applyBorder="1" applyAlignment="1">
      <alignment horizontal="right" vertical="center"/>
    </xf>
    <xf numFmtId="38" fontId="18" fillId="0" borderId="3" xfId="0" applyNumberFormat="1" applyFont="1" applyBorder="1" applyAlignment="1" applyProtection="1">
      <alignment horizontal="right"/>
      <protection locked="0"/>
    </xf>
    <xf numFmtId="38" fontId="18" fillId="0" borderId="118" xfId="0" applyNumberFormat="1" applyFont="1" applyBorder="1" applyAlignment="1" applyProtection="1">
      <alignment horizontal="right"/>
      <protection locked="0"/>
    </xf>
    <xf numFmtId="38" fontId="18" fillId="0" borderId="33" xfId="0" applyNumberFormat="1" applyFont="1" applyBorder="1" applyAlignment="1" applyProtection="1">
      <alignment horizontal="right"/>
      <protection locked="0"/>
    </xf>
    <xf numFmtId="38" fontId="18" fillId="0" borderId="27" xfId="0" applyNumberFormat="1" applyFont="1" applyBorder="1" applyAlignment="1" applyProtection="1">
      <alignment horizontal="right"/>
      <protection locked="0"/>
    </xf>
    <xf numFmtId="38" fontId="18" fillId="0" borderId="32" xfId="0" applyNumberFormat="1" applyFont="1" applyBorder="1" applyAlignment="1" applyProtection="1">
      <alignment horizontal="right"/>
      <protection locked="0"/>
    </xf>
    <xf numFmtId="38" fontId="18" fillId="0" borderId="26" xfId="0" applyNumberFormat="1" applyFont="1" applyBorder="1" applyAlignment="1" applyProtection="1">
      <alignment horizontal="right"/>
      <protection locked="0"/>
    </xf>
    <xf numFmtId="38" fontId="18" fillId="0" borderId="29" xfId="0" applyNumberFormat="1" applyFont="1" applyBorder="1" applyAlignment="1" applyProtection="1">
      <alignment horizontal="right"/>
      <protection locked="0"/>
    </xf>
    <xf numFmtId="38" fontId="18" fillId="0" borderId="2" xfId="6" applyNumberFormat="1" applyFont="1" applyBorder="1" applyProtection="1">
      <protection locked="0"/>
    </xf>
    <xf numFmtId="164" fontId="13" fillId="0" borderId="0" xfId="0" applyNumberFormat="1" applyFont="1"/>
    <xf numFmtId="0" fontId="139" fillId="0" borderId="0" xfId="0" applyFont="1" applyAlignment="1">
      <alignment horizontal="center"/>
    </xf>
    <xf numFmtId="41" fontId="12" fillId="0" borderId="0" xfId="0" applyNumberFormat="1" applyFont="1"/>
    <xf numFmtId="0" fontId="12" fillId="0" borderId="150" xfId="0" applyFont="1" applyBorder="1"/>
    <xf numFmtId="0" fontId="12" fillId="0" borderId="150" xfId="0" applyFont="1" applyBorder="1" applyAlignment="1">
      <alignment horizontal="center"/>
    </xf>
    <xf numFmtId="41" fontId="12" fillId="0" borderId="150" xfId="0" applyNumberFormat="1" applyFont="1" applyBorder="1" applyAlignment="1">
      <alignment horizontal="center"/>
    </xf>
    <xf numFmtId="41" fontId="12" fillId="0" borderId="136" xfId="0" applyNumberFormat="1" applyFont="1" applyBorder="1" applyAlignment="1">
      <alignment horizontal="center"/>
    </xf>
    <xf numFmtId="0" fontId="12" fillId="0" borderId="159" xfId="0" applyFont="1" applyBorder="1"/>
    <xf numFmtId="0" fontId="12" fillId="0" borderId="159" xfId="0" applyFont="1" applyBorder="1" applyAlignment="1">
      <alignment horizontal="center"/>
    </xf>
    <xf numFmtId="41" fontId="12" fillId="0" borderId="92" xfId="0" applyNumberFormat="1" applyFont="1" applyBorder="1" applyAlignment="1">
      <alignment horizontal="center"/>
    </xf>
    <xf numFmtId="41" fontId="12" fillId="0" borderId="0" xfId="0" applyNumberFormat="1" applyFont="1" applyAlignment="1">
      <alignment horizontal="center"/>
    </xf>
    <xf numFmtId="41" fontId="12" fillId="0" borderId="159" xfId="0" applyNumberFormat="1" applyFont="1" applyBorder="1" applyAlignment="1">
      <alignment horizontal="center"/>
    </xf>
    <xf numFmtId="41" fontId="12" fillId="0" borderId="93" xfId="0" applyNumberFormat="1" applyFont="1" applyBorder="1" applyAlignment="1">
      <alignment horizontal="center"/>
    </xf>
    <xf numFmtId="0" fontId="4" fillId="0" borderId="0" xfId="19"/>
    <xf numFmtId="0" fontId="12" fillId="0" borderId="152" xfId="0" applyFont="1" applyBorder="1"/>
    <xf numFmtId="0" fontId="12" fillId="0" borderId="152" xfId="0" applyFont="1" applyBorder="1" applyAlignment="1">
      <alignment horizontal="center"/>
    </xf>
    <xf numFmtId="41" fontId="12" fillId="0" borderId="152" xfId="0" applyNumberFormat="1" applyFont="1" applyBorder="1" applyAlignment="1">
      <alignment horizontal="center"/>
    </xf>
    <xf numFmtId="41" fontId="12" fillId="0" borderId="74" xfId="0" applyNumberFormat="1" applyFont="1" applyBorder="1" applyAlignment="1">
      <alignment horizontal="center"/>
    </xf>
    <xf numFmtId="41" fontId="12" fillId="0" borderId="95" xfId="0" applyNumberFormat="1" applyFont="1" applyBorder="1" applyAlignment="1">
      <alignment horizontal="center"/>
    </xf>
    <xf numFmtId="0" fontId="4" fillId="0" borderId="0" xfId="20"/>
    <xf numFmtId="3" fontId="15" fillId="0" borderId="152" xfId="0" applyNumberFormat="1" applyFont="1" applyBorder="1" applyAlignment="1" applyProtection="1">
      <alignment horizontal="left"/>
      <protection locked="0"/>
    </xf>
    <xf numFmtId="169" fontId="12" fillId="0" borderId="95" xfId="0" applyNumberFormat="1" applyFont="1" applyBorder="1" applyAlignment="1" applyProtection="1">
      <alignment horizontal="center"/>
      <protection locked="0"/>
    </xf>
    <xf numFmtId="1" fontId="12" fillId="0" borderId="95" xfId="0" applyNumberFormat="1" applyFont="1" applyBorder="1" applyAlignment="1" applyProtection="1">
      <alignment horizontal="center"/>
      <protection locked="0"/>
    </xf>
    <xf numFmtId="3" fontId="15" fillId="0" borderId="0" xfId="0" applyNumberFormat="1" applyFont="1" applyAlignment="1" applyProtection="1">
      <alignment horizontal="left"/>
      <protection locked="0"/>
    </xf>
    <xf numFmtId="16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protection locked="0"/>
    </xf>
    <xf numFmtId="0" fontId="12" fillId="0" borderId="0" xfId="0" applyFont="1" applyAlignment="1">
      <alignment horizontal="right"/>
    </xf>
    <xf numFmtId="164" fontId="13" fillId="0" borderId="2" xfId="9" applyNumberFormat="1" applyFont="1" applyFill="1" applyBorder="1" applyAlignment="1" applyProtection="1">
      <alignment horizontal="left" vertical="center"/>
      <protection locked="0"/>
    </xf>
    <xf numFmtId="177" fontId="13" fillId="0" borderId="2" xfId="9" applyNumberFormat="1" applyFont="1" applyFill="1" applyBorder="1" applyAlignment="1" applyProtection="1">
      <alignment horizontal="right"/>
      <protection locked="0"/>
    </xf>
    <xf numFmtId="38" fontId="18" fillId="0" borderId="2" xfId="9" applyNumberFormat="1" applyFont="1" applyFill="1" applyBorder="1" applyAlignment="1" applyProtection="1">
      <alignment horizontal="right"/>
      <protection locked="0"/>
    </xf>
    <xf numFmtId="38" fontId="18" fillId="0" borderId="2" xfId="0" applyNumberFormat="1" applyFont="1" applyFill="1" applyBorder="1" applyAlignment="1" applyProtection="1">
      <alignment horizontal="right"/>
      <protection locked="0"/>
    </xf>
    <xf numFmtId="177" fontId="13" fillId="0" borderId="2" xfId="9" applyNumberFormat="1" applyFont="1" applyFill="1" applyBorder="1" applyAlignment="1" applyProtection="1">
      <alignment horizontal="right"/>
      <protection locked="0"/>
    </xf>
    <xf numFmtId="38" fontId="18" fillId="0" borderId="2" xfId="9" applyNumberFormat="1" applyFont="1" applyFill="1" applyBorder="1" applyAlignment="1" applyProtection="1">
      <alignment horizontal="right"/>
      <protection locked="0"/>
    </xf>
    <xf numFmtId="164" fontId="13" fillId="0" borderId="2" xfId="9" applyNumberFormat="1" applyFont="1" applyFill="1" applyBorder="1" applyAlignment="1" applyProtection="1">
      <alignment horizontal="left" vertical="center"/>
      <protection locked="0"/>
    </xf>
    <xf numFmtId="38" fontId="18" fillId="0" borderId="2" xfId="9" applyNumberFormat="1" applyFont="1" applyFill="1" applyBorder="1" applyAlignment="1" applyProtection="1">
      <alignment horizontal="right" vertical="center"/>
      <protection locked="0"/>
    </xf>
    <xf numFmtId="0" fontId="18" fillId="0" borderId="2" xfId="9" applyFont="1" applyFill="1" applyBorder="1" applyAlignment="1" applyProtection="1">
      <alignment horizontal="right" vertical="top"/>
      <protection locked="0"/>
    </xf>
    <xf numFmtId="3" fontId="18" fillId="0" borderId="2" xfId="9" applyNumberFormat="1" applyFont="1" applyFill="1" applyBorder="1" applyAlignment="1" applyProtection="1">
      <alignment horizontal="right" vertical="center"/>
      <protection locked="0"/>
    </xf>
    <xf numFmtId="0" fontId="18" fillId="0" borderId="2" xfId="0"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vertical="center"/>
      <protection locked="0"/>
    </xf>
    <xf numFmtId="38" fontId="57" fillId="0" borderId="2" xfId="9" applyNumberFormat="1" applyFont="1" applyFill="1" applyBorder="1" applyAlignment="1" applyProtection="1">
      <alignment horizontal="right" vertical="top"/>
      <protection locked="0"/>
    </xf>
    <xf numFmtId="0" fontId="102" fillId="0" borderId="0" xfId="18" applyFont="1" applyFill="1" applyBorder="1" applyProtection="1">
      <protection locked="0"/>
    </xf>
    <xf numFmtId="0" fontId="102" fillId="0" borderId="0" xfId="18" applyFont="1" applyProtection="1">
      <protection locked="0"/>
    </xf>
    <xf numFmtId="0" fontId="22" fillId="0" borderId="2" xfId="12" applyNumberFormat="1" applyFont="1" applyBorder="1" applyAlignment="1" applyProtection="1">
      <alignment horizontal="center" vertical="center"/>
      <protection locked="0"/>
    </xf>
    <xf numFmtId="0" fontId="0" fillId="0" borderId="0" xfId="0"/>
    <xf numFmtId="0" fontId="12" fillId="0" borderId="0" xfId="0" applyFont="1"/>
    <xf numFmtId="0" fontId="2" fillId="0" borderId="101" xfId="25" applyFont="1" applyBorder="1" applyProtection="1">
      <protection locked="0"/>
    </xf>
    <xf numFmtId="0" fontId="12" fillId="0" borderId="0" xfId="3"/>
    <xf numFmtId="0" fontId="12" fillId="0" borderId="0" xfId="3" applyFont="1"/>
    <xf numFmtId="0" fontId="12" fillId="0" borderId="0" xfId="3" applyFont="1" applyAlignment="1">
      <alignment horizontal="center"/>
    </xf>
    <xf numFmtId="0" fontId="12" fillId="0" borderId="0" xfId="3" applyFont="1"/>
    <xf numFmtId="0" fontId="12" fillId="0" borderId="0" xfId="3"/>
    <xf numFmtId="0" fontId="12" fillId="0" borderId="0" xfId="3" applyFont="1"/>
    <xf numFmtId="0" fontId="12" fillId="0" borderId="0" xfId="3" applyFont="1" applyAlignment="1">
      <alignment horizontal="center"/>
    </xf>
    <xf numFmtId="0" fontId="12" fillId="0" borderId="0" xfId="3"/>
    <xf numFmtId="0" fontId="12" fillId="0" borderId="0" xfId="3" applyFont="1"/>
    <xf numFmtId="0" fontId="12" fillId="0" borderId="0" xfId="3" applyFont="1" applyAlignment="1">
      <alignment horizontal="center"/>
    </xf>
    <xf numFmtId="0" fontId="12" fillId="0" borderId="0" xfId="3"/>
    <xf numFmtId="0" fontId="12" fillId="0" borderId="0" xfId="3" applyFont="1"/>
    <xf numFmtId="0" fontId="12" fillId="0" borderId="0" xfId="3" applyFont="1" applyAlignment="1">
      <alignment horizontal="center"/>
    </xf>
    <xf numFmtId="0" fontId="12" fillId="0" borderId="0" xfId="3" applyFont="1"/>
    <xf numFmtId="0" fontId="12" fillId="0" borderId="0" xfId="3"/>
    <xf numFmtId="0" fontId="12" fillId="0" borderId="0" xfId="3" applyFont="1"/>
    <xf numFmtId="0" fontId="12" fillId="0" borderId="0" xfId="3" applyFont="1" applyAlignment="1">
      <alignment horizontal="center"/>
    </xf>
    <xf numFmtId="0" fontId="12" fillId="0" borderId="0" xfId="3" applyFont="1"/>
    <xf numFmtId="0" fontId="12" fillId="0" borderId="0" xfId="3"/>
    <xf numFmtId="0" fontId="12" fillId="0" borderId="0" xfId="3" applyFont="1"/>
    <xf numFmtId="0" fontId="12" fillId="0" borderId="0" xfId="3" applyFont="1" applyAlignment="1">
      <alignment horizontal="center"/>
    </xf>
    <xf numFmtId="0" fontId="12" fillId="0" borderId="0" xfId="3" applyFont="1"/>
    <xf numFmtId="0" fontId="12" fillId="0" borderId="0" xfId="3"/>
    <xf numFmtId="0" fontId="12" fillId="0" borderId="0" xfId="3" applyFont="1"/>
    <xf numFmtId="0" fontId="12" fillId="0" borderId="0" xfId="3" applyFont="1" applyAlignment="1">
      <alignment horizontal="center"/>
    </xf>
    <xf numFmtId="0" fontId="12" fillId="0" borderId="0" xfId="3" applyFont="1"/>
    <xf numFmtId="0" fontId="12" fillId="0" borderId="0" xfId="3"/>
    <xf numFmtId="0" fontId="12" fillId="0" borderId="0" xfId="3" applyFont="1" applyAlignment="1">
      <alignment horizontal="center"/>
    </xf>
    <xf numFmtId="0" fontId="12" fillId="0" borderId="0" xfId="3" applyFont="1"/>
    <xf numFmtId="0" fontId="12" fillId="0" borderId="0" xfId="3"/>
    <xf numFmtId="0" fontId="12" fillId="0" borderId="0" xfId="3" applyFont="1" applyAlignment="1">
      <alignment horizontal="center"/>
    </xf>
    <xf numFmtId="0" fontId="12" fillId="0" borderId="0" xfId="3"/>
    <xf numFmtId="0" fontId="12" fillId="0" borderId="0" xfId="3" applyFont="1"/>
    <xf numFmtId="0" fontId="12" fillId="0" borderId="0" xfId="3" applyFont="1" applyAlignment="1">
      <alignment horizontal="center"/>
    </xf>
    <xf numFmtId="49" fontId="5" fillId="0" borderId="151" xfId="17" applyNumberFormat="1" applyFont="1" applyBorder="1" applyAlignment="1" applyProtection="1">
      <alignment horizontal="left" vertical="top"/>
      <protection locked="0"/>
    </xf>
    <xf numFmtId="38" fontId="9" fillId="0" borderId="151" xfId="17" applyNumberFormat="1" applyBorder="1" applyAlignment="1" applyProtection="1">
      <alignment horizontal="left" vertical="top"/>
      <protection locked="0"/>
    </xf>
    <xf numFmtId="3" fontId="15" fillId="0" borderId="73" xfId="0" applyNumberFormat="1" applyFont="1" applyBorder="1" applyAlignment="1" applyProtection="1">
      <alignment horizontal="left"/>
      <protection locked="0"/>
    </xf>
    <xf numFmtId="3" fontId="216" fillId="0" borderId="73" xfId="0" applyNumberFormat="1" applyFont="1" applyBorder="1" applyAlignment="1" applyProtection="1">
      <alignment horizontal="left" indent="2"/>
      <protection locked="0"/>
    </xf>
    <xf numFmtId="202" fontId="217" fillId="0" borderId="73" xfId="0" applyNumberFormat="1" applyFont="1" applyBorder="1" applyAlignment="1" applyProtection="1">
      <alignment horizontal="left" indent="1"/>
      <protection locked="0"/>
    </xf>
    <xf numFmtId="3" fontId="12" fillId="0" borderId="73" xfId="0" applyNumberFormat="1" applyFont="1" applyBorder="1" applyAlignment="1" applyProtection="1">
      <alignment horizontal="left" indent="2"/>
      <protection locked="0"/>
    </xf>
    <xf numFmtId="3" fontId="12" fillId="0" borderId="73" xfId="0" applyNumberFormat="1" applyFont="1" applyBorder="1" applyAlignment="1" applyProtection="1">
      <alignment horizontal="left" indent="3"/>
      <protection locked="0"/>
    </xf>
    <xf numFmtId="3" fontId="12" fillId="0" borderId="73" xfId="0" applyNumberFormat="1" applyFont="1" applyBorder="1" applyAlignment="1" applyProtection="1">
      <alignment horizontal="left" indent="1"/>
      <protection locked="0"/>
    </xf>
    <xf numFmtId="3" fontId="217" fillId="0" borderId="152" xfId="0" applyNumberFormat="1" applyFont="1" applyBorder="1" applyAlignment="1" applyProtection="1">
      <alignment horizontal="left" indent="1"/>
      <protection locked="0"/>
    </xf>
    <xf numFmtId="182" fontId="12" fillId="0" borderId="73" xfId="0" applyNumberFormat="1" applyFont="1" applyFill="1" applyBorder="1"/>
    <xf numFmtId="41" fontId="12" fillId="0" borderId="95" xfId="0" applyNumberFormat="1" applyFont="1" applyFill="1" applyBorder="1" applyAlignment="1">
      <alignment horizontal="center"/>
    </xf>
    <xf numFmtId="183" fontId="12" fillId="0" borderId="73" xfId="0" applyNumberFormat="1" applyFont="1" applyFill="1" applyBorder="1"/>
    <xf numFmtId="41" fontId="12" fillId="0" borderId="152" xfId="0" applyNumberFormat="1" applyFont="1" applyFill="1" applyBorder="1" applyAlignment="1">
      <alignment horizontal="center"/>
    </xf>
    <xf numFmtId="41" fontId="12" fillId="0" borderId="73" xfId="0" applyNumberFormat="1" applyFont="1" applyFill="1" applyBorder="1" applyAlignment="1">
      <alignment horizontal="center"/>
    </xf>
    <xf numFmtId="42" fontId="12" fillId="0" borderId="0" xfId="0" applyNumberFormat="1" applyFont="1" applyFill="1"/>
    <xf numFmtId="41" fontId="12" fillId="0" borderId="0" xfId="0" applyNumberFormat="1" applyFont="1" applyFill="1" applyAlignment="1">
      <alignment horizontal="center"/>
    </xf>
    <xf numFmtId="0" fontId="5" fillId="0" borderId="151" xfId="17" applyFont="1" applyBorder="1" applyAlignment="1" applyProtection="1">
      <alignment vertical="top"/>
      <protection locked="0"/>
    </xf>
    <xf numFmtId="181" fontId="12" fillId="0" borderId="0" xfId="1" applyNumberFormat="1" applyFont="1" applyAlignment="1">
      <alignment horizontal="center"/>
    </xf>
    <xf numFmtId="181" fontId="12" fillId="0" borderId="0" xfId="1" applyNumberFormat="1" applyFont="1"/>
    <xf numFmtId="0" fontId="2" fillId="0" borderId="101" xfId="25" applyFont="1" applyBorder="1" applyAlignment="1" applyProtection="1">
      <alignment vertical="center" wrapText="1"/>
      <protection locked="0"/>
    </xf>
    <xf numFmtId="0" fontId="2" fillId="0" borderId="101" xfId="25" applyFont="1" applyBorder="1" applyAlignment="1" applyProtection="1">
      <alignment vertical="center"/>
      <protection locked="0"/>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20" xfId="0" applyNumberFormat="1" applyFont="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180" fontId="15" fillId="0" borderId="119" xfId="0" applyNumberFormat="1" applyFont="1" applyBorder="1" applyAlignment="1" applyProtection="1">
      <alignment horizontal="left" vertical="center" indent="1"/>
      <protection locked="0"/>
    </xf>
    <xf numFmtId="180" fontId="15" fillId="0" borderId="122" xfId="0" applyNumberFormat="1" applyFont="1" applyBorder="1" applyAlignment="1" applyProtection="1">
      <alignment horizontal="left" vertical="center" indent="1"/>
      <protection locked="0"/>
    </xf>
    <xf numFmtId="180" fontId="15" fillId="0" borderId="120" xfId="0" applyNumberFormat="1" applyFont="1" applyBorder="1" applyAlignment="1" applyProtection="1">
      <alignment horizontal="left" vertical="center" indent="1"/>
      <protection locked="0"/>
    </xf>
    <xf numFmtId="180" fontId="15" fillId="0" borderId="119" xfId="12" applyNumberFormat="1" applyFont="1" applyBorder="1" applyAlignment="1" applyProtection="1">
      <alignment horizontal="left" vertical="center" indent="1"/>
      <protection locked="0"/>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2" xfId="12" applyFont="1" applyBorder="1" applyAlignment="1" applyProtection="1">
      <alignment horizontal="center" vertical="center" wrapText="1"/>
    </xf>
    <xf numFmtId="0" fontId="136" fillId="0" borderId="120" xfId="12" applyFont="1" applyBorder="1" applyAlignment="1" applyProtection="1">
      <alignment horizontal="center" vertical="center" wrapText="1"/>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19" xfId="12" applyNumberFormat="1" applyFont="1" applyFill="1" applyBorder="1" applyAlignment="1" applyProtection="1">
      <alignment horizontal="left" vertical="center" indent="1"/>
      <protection locked="0"/>
    </xf>
    <xf numFmtId="0" fontId="15" fillId="0" borderId="122" xfId="0" applyFont="1" applyBorder="1" applyAlignment="1" applyProtection="1">
      <alignment horizontal="left" vertical="center" indent="1"/>
      <protection locked="0"/>
    </xf>
    <xf numFmtId="0" fontId="15" fillId="0" borderId="120" xfId="0" applyFont="1" applyBorder="1" applyAlignment="1" applyProtection="1">
      <alignment horizontal="left" vertical="center" indent="1"/>
      <protection locked="0"/>
    </xf>
    <xf numFmtId="0" fontId="15" fillId="0" borderId="119" xfId="12" applyNumberFormat="1" applyFont="1" applyBorder="1" applyAlignment="1" applyProtection="1">
      <alignment horizontal="left" vertical="center" indent="1"/>
      <protection locked="0"/>
    </xf>
    <xf numFmtId="0" fontId="15" fillId="0" borderId="122" xfId="12" applyNumberFormat="1" applyFont="1" applyBorder="1" applyAlignment="1" applyProtection="1">
      <alignment horizontal="left" vertical="center" indent="1"/>
      <protection locked="0"/>
    </xf>
    <xf numFmtId="0" fontId="15" fillId="0" borderId="120" xfId="12" applyNumberFormat="1" applyFont="1" applyBorder="1" applyAlignment="1" applyProtection="1">
      <alignment horizontal="left" vertical="center" indent="1"/>
      <protection locked="0"/>
    </xf>
    <xf numFmtId="0" fontId="15" fillId="0" borderId="122" xfId="0"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0" xfId="12"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19" xfId="12" applyNumberFormat="1" applyFont="1" applyBorder="1" applyAlignment="1" applyProtection="1">
      <alignment horizontal="left" vertical="center" indent="1"/>
      <protection locked="0"/>
    </xf>
    <xf numFmtId="180" fontId="15" fillId="0" borderId="122" xfId="12" applyNumberFormat="1" applyFont="1" applyBorder="1" applyAlignment="1" applyProtection="1">
      <alignment horizontal="left" vertical="center" indent="1"/>
      <protection locked="0"/>
    </xf>
    <xf numFmtId="180" fontId="15" fillId="0" borderId="120" xfId="12" applyNumberFormat="1" applyFont="1" applyBorder="1" applyAlignment="1" applyProtection="1">
      <alignment horizontal="left" vertical="center" indent="1"/>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19" xfId="3" applyFont="1" applyBorder="1" applyAlignment="1" applyProtection="1">
      <alignment horizontal="left" vertical="top"/>
      <protection locked="0"/>
    </xf>
    <xf numFmtId="0" fontId="57" fillId="0" borderId="122" xfId="3" applyFont="1" applyBorder="1" applyAlignment="1" applyProtection="1">
      <alignment horizontal="left" vertical="top"/>
      <protection locked="0"/>
    </xf>
    <xf numFmtId="0" fontId="57" fillId="0" borderId="120" xfId="3" applyFont="1" applyBorder="1" applyAlignment="1" applyProtection="1">
      <alignment horizontal="left" vertical="top"/>
      <protection locked="0"/>
    </xf>
    <xf numFmtId="0" fontId="56" fillId="0" borderId="128"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0"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19" xfId="0" applyFont="1" applyBorder="1" applyAlignment="1" applyProtection="1">
      <alignment horizontal="left" vertical="top" wrapText="1"/>
      <protection locked="0"/>
    </xf>
    <xf numFmtId="0" fontId="57" fillId="0" borderId="122" xfId="0" applyFont="1" applyBorder="1" applyAlignment="1" applyProtection="1">
      <alignment horizontal="left" vertical="top" wrapText="1"/>
      <protection locked="0"/>
    </xf>
    <xf numFmtId="0" fontId="57" fillId="0" borderId="120"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5" xfId="0" applyNumberFormat="1" applyFont="1" applyBorder="1" applyAlignment="1" applyProtection="1">
      <alignment horizontal="left" vertical="top" wrapText="1"/>
      <protection locked="0"/>
    </xf>
    <xf numFmtId="0" fontId="56" fillId="0" borderId="76" xfId="0" applyFont="1" applyBorder="1" applyAlignment="1" applyProtection="1">
      <alignment wrapText="1"/>
      <protection locked="0"/>
    </xf>
    <xf numFmtId="0" fontId="56" fillId="0" borderId="77" xfId="0" applyFont="1" applyBorder="1" applyAlignment="1" applyProtection="1">
      <alignment wrapText="1"/>
      <protection locked="0"/>
    </xf>
    <xf numFmtId="0" fontId="56" fillId="0" borderId="78" xfId="0" applyFont="1" applyBorder="1" applyAlignment="1" applyProtection="1">
      <alignment wrapText="1"/>
      <protection locked="0"/>
    </xf>
    <xf numFmtId="0" fontId="56" fillId="0" borderId="0" xfId="0" applyFont="1" applyAlignment="1" applyProtection="1">
      <alignment wrapText="1"/>
      <protection locked="0"/>
    </xf>
    <xf numFmtId="0" fontId="56" fillId="0" borderId="79" xfId="0" applyFont="1" applyBorder="1" applyAlignment="1" applyProtection="1">
      <alignment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0"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0"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3" xfId="0" applyFont="1" applyFill="1" applyBorder="1" applyAlignment="1">
      <alignment horizontal="center" vertical="center"/>
    </xf>
    <xf numFmtId="0" fontId="59" fillId="22" borderId="125"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0"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1" xfId="0" applyFont="1" applyBorder="1" applyAlignment="1" applyProtection="1">
      <alignment horizontal="left" vertical="center" wrapText="1" indent="1"/>
    </xf>
    <xf numFmtId="0" fontId="64" fillId="0" borderId="142"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3" xfId="0" applyFont="1" applyFill="1" applyBorder="1" applyAlignment="1" applyProtection="1">
      <alignment horizontal="left" vertical="center" wrapText="1"/>
    </xf>
    <xf numFmtId="0" fontId="66" fillId="6" borderId="84" xfId="0" applyFont="1" applyFill="1" applyBorder="1" applyAlignment="1" applyProtection="1">
      <alignment horizontal="left" vertical="center" wrapText="1"/>
    </xf>
    <xf numFmtId="0" fontId="59" fillId="0" borderId="84"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1" xfId="0" applyFont="1" applyFill="1" applyBorder="1" applyAlignment="1" applyProtection="1">
      <alignment horizontal="left" vertical="center" indent="1"/>
    </xf>
    <xf numFmtId="0" fontId="66" fillId="16" borderId="140" xfId="0" applyFont="1" applyFill="1" applyBorder="1" applyAlignment="1" applyProtection="1">
      <alignment horizontal="left" vertical="center" indent="1"/>
    </xf>
    <xf numFmtId="0" fontId="66" fillId="3" borderId="141" xfId="0" applyFont="1" applyFill="1" applyBorder="1" applyAlignment="1" applyProtection="1">
      <alignment horizontal="left" vertical="center"/>
    </xf>
    <xf numFmtId="0" fontId="66" fillId="3" borderId="142"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0" xfId="0" applyFont="1" applyFill="1" applyBorder="1" applyAlignment="1" applyProtection="1">
      <alignment horizontal="left" vertical="center" indent="1"/>
    </xf>
    <xf numFmtId="0" fontId="67" fillId="22" borderId="141" xfId="0" applyFont="1" applyFill="1" applyBorder="1" applyAlignment="1" applyProtection="1">
      <alignment horizontal="left" vertical="center" indent="1"/>
    </xf>
    <xf numFmtId="0" fontId="67" fillId="22" borderId="142" xfId="0" applyFont="1" applyFill="1" applyBorder="1" applyAlignment="1" applyProtection="1">
      <alignment horizontal="left" vertical="center" indent="1"/>
    </xf>
    <xf numFmtId="0" fontId="70" fillId="6" borderId="85" xfId="10" applyFont="1" applyFill="1" applyBorder="1" applyAlignment="1">
      <alignment horizontal="center" vertical="center"/>
    </xf>
    <xf numFmtId="0" fontId="100" fillId="0" borderId="86" xfId="0" applyFont="1" applyBorder="1" applyAlignment="1">
      <alignment horizontal="center" vertical="center"/>
    </xf>
    <xf numFmtId="0" fontId="100" fillId="0" borderId="87" xfId="0" applyFont="1" applyBorder="1" applyAlignment="1">
      <alignment horizontal="center" vertical="center"/>
    </xf>
    <xf numFmtId="0" fontId="67" fillId="22" borderId="88" xfId="10" applyFont="1" applyFill="1" applyBorder="1" applyAlignment="1">
      <alignment horizontal="center" vertical="center" wrapText="1"/>
    </xf>
    <xf numFmtId="0" fontId="67" fillId="22" borderId="25" xfId="0" applyFont="1" applyFill="1" applyBorder="1" applyAlignment="1">
      <alignment horizontal="center" vertical="center" wrapText="1"/>
    </xf>
    <xf numFmtId="0" fontId="67" fillId="22" borderId="89" xfId="0" applyFont="1" applyFill="1" applyBorder="1" applyAlignment="1">
      <alignment horizontal="center" vertical="center" wrapText="1"/>
    </xf>
    <xf numFmtId="0" fontId="131" fillId="22" borderId="90"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1" xfId="0" applyFont="1" applyFill="1" applyBorder="1" applyAlignment="1">
      <alignment horizontal="center" vertical="center"/>
    </xf>
    <xf numFmtId="0" fontId="82" fillId="0" borderId="70" xfId="10" applyFont="1" applyBorder="1" applyAlignment="1">
      <alignment horizontal="center"/>
    </xf>
    <xf numFmtId="0" fontId="59" fillId="0" borderId="70" xfId="0" applyFont="1" applyBorder="1" applyAlignment="1">
      <alignment horizontal="center"/>
    </xf>
    <xf numFmtId="0" fontId="128" fillId="0" borderId="92" xfId="17" applyFont="1" applyBorder="1" applyAlignment="1">
      <alignment horizontal="left" vertical="top" wrapText="1"/>
    </xf>
    <xf numFmtId="0" fontId="128" fillId="0" borderId="0" xfId="17" applyFont="1" applyBorder="1" applyAlignment="1">
      <alignment horizontal="left" vertical="top" wrapText="1"/>
    </xf>
    <xf numFmtId="0" fontId="128" fillId="0" borderId="93" xfId="17" applyFont="1" applyBorder="1" applyAlignment="1">
      <alignment horizontal="left" vertical="top" wrapText="1"/>
    </xf>
    <xf numFmtId="0" fontId="127" fillId="22" borderId="134" xfId="17" applyFont="1" applyFill="1" applyBorder="1" applyAlignment="1">
      <alignment horizontal="center" vertical="center"/>
    </xf>
    <xf numFmtId="0" fontId="127" fillId="22" borderId="135" xfId="17" applyFont="1" applyFill="1" applyBorder="1" applyAlignment="1">
      <alignment horizontal="center" vertical="center"/>
    </xf>
    <xf numFmtId="0" fontId="127" fillId="22" borderId="136" xfId="17" applyFont="1" applyFill="1" applyBorder="1" applyAlignment="1">
      <alignment horizontal="center" vertical="center"/>
    </xf>
    <xf numFmtId="0" fontId="127" fillId="22" borderId="94" xfId="17" applyFont="1" applyFill="1" applyBorder="1" applyAlignment="1">
      <alignment horizontal="center" vertical="center"/>
    </xf>
    <xf numFmtId="0" fontId="127" fillId="22" borderId="74" xfId="17" applyFont="1" applyFill="1" applyBorder="1" applyAlignment="1">
      <alignment horizontal="center" vertical="center"/>
    </xf>
    <xf numFmtId="0" fontId="127" fillId="22" borderId="95" xfId="17" applyFont="1" applyFill="1" applyBorder="1" applyAlignment="1">
      <alignment horizontal="center" vertical="center"/>
    </xf>
    <xf numFmtId="0" fontId="128" fillId="0" borderId="92" xfId="17" applyFont="1" applyBorder="1" applyAlignment="1">
      <alignment vertical="top" wrapText="1"/>
    </xf>
    <xf numFmtId="0" fontId="128" fillId="0" borderId="0" xfId="17" applyFont="1" applyBorder="1" applyAlignment="1">
      <alignment vertical="top" wrapText="1"/>
    </xf>
    <xf numFmtId="0" fontId="128" fillId="0" borderId="93" xfId="17" applyFont="1" applyBorder="1" applyAlignment="1">
      <alignment vertical="top" wrapText="1"/>
    </xf>
    <xf numFmtId="0" fontId="128" fillId="0" borderId="92" xfId="17" applyFont="1" applyBorder="1" applyAlignment="1">
      <alignment vertical="top"/>
    </xf>
    <xf numFmtId="0" fontId="128" fillId="0" borderId="0" xfId="17" applyFont="1" applyBorder="1" applyAlignment="1">
      <alignment vertical="top"/>
    </xf>
    <xf numFmtId="0" fontId="128" fillId="0" borderId="93"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51" fillId="0" borderId="94" xfId="18" applyFont="1" applyBorder="1" applyAlignment="1" applyProtection="1">
      <alignment vertical="top" wrapText="1"/>
      <protection locked="0"/>
    </xf>
    <xf numFmtId="0" fontId="51" fillId="0" borderId="74" xfId="18" applyFont="1" applyBorder="1" applyAlignment="1" applyProtection="1">
      <alignment vertical="top" wrapText="1"/>
      <protection locked="0"/>
    </xf>
    <xf numFmtId="0" fontId="51"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51" fillId="0" borderId="135" xfId="18" applyFont="1" applyBorder="1" applyAlignment="1" applyProtection="1">
      <alignment horizontal="center" vertical="top" wrapText="1"/>
      <protection locked="0"/>
    </xf>
    <xf numFmtId="0" fontId="51" fillId="0" borderId="136" xfId="18" applyFont="1" applyBorder="1" applyAlignment="1" applyProtection="1">
      <alignment horizontal="center" vertical="top" wrapText="1"/>
      <protection locked="0"/>
    </xf>
    <xf numFmtId="0" fontId="51" fillId="0" borderId="92"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3"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1"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2" borderId="1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27" xfId="3" applyFont="1" applyBorder="1" applyAlignment="1">
      <alignment horizontal="center" vertical="center" wrapText="1"/>
    </xf>
    <xf numFmtId="0" fontId="75" fillId="0" borderId="127" xfId="3" applyNumberFormat="1" applyFont="1" applyBorder="1" applyAlignment="1">
      <alignment horizontal="center"/>
    </xf>
    <xf numFmtId="0" fontId="59" fillId="0" borderId="128" xfId="3" applyNumberFormat="1" applyFont="1" applyBorder="1" applyAlignment="1" applyProtection="1">
      <alignment horizontal="center"/>
      <protection locked="0"/>
    </xf>
    <xf numFmtId="171" fontId="59" fillId="0" borderId="128" xfId="3" applyNumberFormat="1" applyFont="1" applyBorder="1" applyAlignment="1" applyProtection="1">
      <alignment horizontal="center"/>
      <protection locked="0"/>
    </xf>
    <xf numFmtId="0" fontId="59" fillId="0" borderId="128"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07"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08" xfId="3" applyFont="1" applyBorder="1" applyAlignment="1">
      <alignment horizontal="center" vertical="center" wrapText="1"/>
    </xf>
    <xf numFmtId="0" fontId="111" fillId="0" borderId="109" xfId="3" applyFont="1" applyBorder="1" applyAlignment="1">
      <alignment horizontal="center" vertical="center" wrapText="1"/>
    </xf>
    <xf numFmtId="0" fontId="111" fillId="0" borderId="110" xfId="3" applyFont="1" applyBorder="1" applyAlignment="1">
      <alignment horizontal="center" vertical="center" wrapText="1"/>
    </xf>
    <xf numFmtId="0" fontId="111" fillId="0" borderId="111"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19" xfId="0" applyFont="1" applyFill="1" applyBorder="1" applyAlignment="1">
      <alignment horizontal="center" vertical="center"/>
    </xf>
    <xf numFmtId="0" fontId="114" fillId="12" borderId="122" xfId="0" applyFont="1" applyFill="1" applyBorder="1" applyAlignment="1">
      <alignment horizontal="center" vertical="center"/>
    </xf>
    <xf numFmtId="0" fontId="114" fillId="12" borderId="147"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19" xfId="0" applyNumberFormat="1" applyFont="1" applyFill="1" applyBorder="1" applyAlignment="1">
      <alignment horizontal="center" vertical="top"/>
    </xf>
    <xf numFmtId="164" fontId="115" fillId="12" borderId="122" xfId="0" applyNumberFormat="1" applyFont="1" applyFill="1" applyBorder="1" applyAlignment="1">
      <alignment horizontal="center" vertical="top"/>
    </xf>
    <xf numFmtId="164" fontId="115" fillId="12" borderId="147"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2" xfId="0" applyNumberFormat="1" applyFont="1" applyBorder="1" applyAlignment="1">
      <alignment horizontal="left" vertical="center" wrapText="1"/>
    </xf>
    <xf numFmtId="0" fontId="59" fillId="0" borderId="120"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right"/>
    </xf>
    <xf numFmtId="0" fontId="67" fillId="0" borderId="0" xfId="3" applyFont="1" applyBorder="1" applyAlignment="1" applyProtection="1">
      <alignment horizontal="right"/>
    </xf>
    <xf numFmtId="0" fontId="67" fillId="0" borderId="40" xfId="3" applyFont="1" applyBorder="1" applyAlignment="1" applyProtection="1">
      <alignment horizontal="right"/>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0" xfId="3" applyNumberFormat="1" applyFont="1" applyBorder="1" applyProtection="1"/>
    <xf numFmtId="0" fontId="57" fillId="0" borderId="141"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1" xfId="3" applyNumberFormat="1" applyFont="1" applyBorder="1" applyAlignment="1" applyProtection="1">
      <alignment horizontal="left" indent="1"/>
      <protection locked="0"/>
    </xf>
    <xf numFmtId="0" fontId="67" fillId="0" borderId="141" xfId="3" applyFont="1" applyBorder="1" applyAlignment="1" applyProtection="1">
      <alignment horizontal="left" indent="1"/>
      <protection locked="0"/>
    </xf>
    <xf numFmtId="0" fontId="67" fillId="0" borderId="142"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wrapText="1" indent="1"/>
    </xf>
    <xf numFmtId="0" fontId="67" fillId="0" borderId="9" xfId="3" applyFont="1" applyBorder="1" applyAlignment="1" applyProtection="1">
      <alignment horizontal="left" wrapText="1" indent="1"/>
    </xf>
    <xf numFmtId="0" fontId="67" fillId="0" borderId="59" xfId="3" applyFont="1" applyBorder="1" applyAlignment="1" applyProtection="1">
      <alignment horizontal="left" wrapText="1"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67" fillId="0" borderId="0" xfId="3" quotePrefix="1" applyFont="1" applyAlignment="1" applyProtection="1">
      <alignment horizontal="center" vertical="center"/>
    </xf>
    <xf numFmtId="0" fontId="12" fillId="0" borderId="69" xfId="3" applyFont="1" applyFill="1" applyBorder="1" applyAlignment="1" applyProtection="1">
      <alignment horizontal="left"/>
      <protection locked="0"/>
    </xf>
    <xf numFmtId="0" fontId="12" fillId="0" borderId="69" xfId="3" applyFill="1" applyBorder="1" applyAlignment="1" applyProtection="1">
      <alignment horizontal="left"/>
      <protection locked="0"/>
    </xf>
    <xf numFmtId="0" fontId="12" fillId="0" borderId="69" xfId="3" applyFont="1" applyFill="1" applyBorder="1" applyAlignment="1" applyProtection="1">
      <protection locked="0"/>
    </xf>
    <xf numFmtId="0" fontId="12" fillId="0" borderId="69" xfId="3" applyFill="1" applyBorder="1" applyAlignment="1" applyProtection="1">
      <protection locked="0"/>
    </xf>
    <xf numFmtId="0" fontId="140" fillId="0" borderId="0" xfId="0" applyFont="1" applyAlignment="1">
      <alignment horizontal="center"/>
    </xf>
    <xf numFmtId="0" fontId="141" fillId="0" borderId="0" xfId="0" applyFont="1" applyAlignment="1">
      <alignment horizontal="center"/>
    </xf>
    <xf numFmtId="41" fontId="12" fillId="0" borderId="134" xfId="0" applyNumberFormat="1" applyFont="1" applyBorder="1" applyAlignment="1">
      <alignment horizontal="center"/>
    </xf>
    <xf numFmtId="41" fontId="12" fillId="0" borderId="136" xfId="0" applyNumberFormat="1" applyFont="1" applyBorder="1" applyAlignment="1">
      <alignment horizontal="center"/>
    </xf>
    <xf numFmtId="41" fontId="12" fillId="0" borderId="135" xfId="0" applyNumberFormat="1" applyFont="1" applyBorder="1" applyAlignment="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3"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4"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3" xfId="3" applyNumberFormat="1" applyFont="1" applyBorder="1" applyAlignment="1" applyProtection="1">
      <protection locked="0"/>
    </xf>
    <xf numFmtId="0" fontId="67" fillId="0" borderId="144" xfId="3" applyFont="1" applyBorder="1" applyAlignment="1" applyProtection="1">
      <protection locked="0"/>
    </xf>
    <xf numFmtId="0" fontId="64" fillId="0" borderId="0" xfId="3" applyFont="1" applyBorder="1" applyAlignment="1" applyProtection="1">
      <alignment horizontal="left" vertical="top" wrapText="1"/>
    </xf>
    <xf numFmtId="0" fontId="64" fillId="0" borderId="143" xfId="3" applyFont="1" applyBorder="1" applyAlignment="1" applyProtection="1">
      <alignment horizontal="left" vertical="center"/>
      <protection locked="0"/>
    </xf>
    <xf numFmtId="0" fontId="64" fillId="0" borderId="72" xfId="3" applyFont="1" applyBorder="1" applyAlignment="1" applyProtection="1">
      <alignment horizontal="left" vertical="center"/>
      <protection locked="0"/>
    </xf>
    <xf numFmtId="0" fontId="64" fillId="0" borderId="144" xfId="3" applyFont="1" applyBorder="1" applyAlignment="1" applyProtection="1">
      <alignment horizontal="left" vertical="center"/>
      <protection locked="0"/>
    </xf>
    <xf numFmtId="38" fontId="64" fillId="0" borderId="73"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64" fillId="0" borderId="143" xfId="3" applyFont="1" applyBorder="1" applyAlignment="1" applyProtection="1">
      <alignment horizontal="center"/>
    </xf>
    <xf numFmtId="0" fontId="64" fillId="0" borderId="72" xfId="3" applyFont="1" applyBorder="1" applyAlignment="1" applyProtection="1">
      <alignment horizontal="center"/>
    </xf>
    <xf numFmtId="0" fontId="64" fillId="0" borderId="144" xfId="3" applyFont="1" applyBorder="1" applyAlignment="1" applyProtection="1">
      <alignment horizontal="center"/>
    </xf>
    <xf numFmtId="38" fontId="64" fillId="0" borderId="143" xfId="3" applyNumberFormat="1" applyFont="1" applyBorder="1" applyAlignment="1" applyProtection="1">
      <alignment horizontal="right" vertical="center"/>
      <protection locked="0"/>
    </xf>
    <xf numFmtId="38" fontId="64" fillId="0" borderId="72" xfId="3" applyNumberFormat="1" applyFont="1" applyBorder="1" applyAlignment="1" applyProtection="1">
      <alignment horizontal="right" vertical="center"/>
      <protection locked="0"/>
    </xf>
    <xf numFmtId="38" fontId="64" fillId="0" borderId="144" xfId="3" applyNumberFormat="1" applyFont="1" applyBorder="1" applyAlignment="1" applyProtection="1">
      <alignment horizontal="right" vertical="center"/>
      <protection locked="0"/>
    </xf>
    <xf numFmtId="0" fontId="59" fillId="0" borderId="70" xfId="3" applyFont="1" applyBorder="1" applyAlignment="1" applyProtection="1">
      <alignment horizontal="center"/>
      <protection locked="0"/>
    </xf>
    <xf numFmtId="0" fontId="66" fillId="0" borderId="143" xfId="3" applyFont="1" applyBorder="1" applyAlignment="1" applyProtection="1">
      <alignment horizontal="center" vertical="center"/>
      <protection locked="0"/>
    </xf>
    <xf numFmtId="0" fontId="66" fillId="0" borderId="72" xfId="3" applyFont="1" applyBorder="1" applyAlignment="1" applyProtection="1">
      <alignment horizontal="center" vertical="center"/>
      <protection locked="0"/>
    </xf>
    <xf numFmtId="0" fontId="66" fillId="0" borderId="144" xfId="3" applyFont="1" applyBorder="1" applyAlignment="1" applyProtection="1">
      <alignment horizontal="center" vertical="center"/>
      <protection locked="0"/>
    </xf>
    <xf numFmtId="6" fontId="64" fillId="0" borderId="73" xfId="3" applyNumberFormat="1" applyFont="1" applyBorder="1" applyAlignment="1" applyProtection="1">
      <alignment horizontal="right" vertical="center"/>
      <protection locked="0"/>
    </xf>
    <xf numFmtId="6" fontId="64" fillId="0" borderId="143" xfId="3" applyNumberFormat="1" applyFont="1" applyBorder="1" applyProtection="1">
      <protection locked="0"/>
    </xf>
    <xf numFmtId="6" fontId="64" fillId="0" borderId="144"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38" xfId="3" applyFont="1" applyBorder="1" applyAlignment="1" applyProtection="1">
      <alignment horizontal="center" vertical="center" wrapText="1"/>
    </xf>
    <xf numFmtId="0" fontId="67" fillId="0" borderId="70" xfId="3" applyNumberFormat="1" applyFont="1" applyBorder="1" applyAlignment="1" applyProtection="1">
      <alignment horizontal="center"/>
      <protection locked="0"/>
    </xf>
    <xf numFmtId="0" fontId="67" fillId="0" borderId="70" xfId="3" applyFont="1" applyBorder="1" applyAlignment="1" applyProtection="1">
      <alignment horizontal="center"/>
      <protection locked="0"/>
    </xf>
    <xf numFmtId="0" fontId="67" fillId="0" borderId="70"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1629">
    <cellStyle name="1" xfId="43"/>
    <cellStyle name="10" xfId="33"/>
    <cellStyle name="2" xfId="30"/>
    <cellStyle name="20% - Accent1 2" xfId="37"/>
    <cellStyle name="20% - Accent1 2 2" xfId="406"/>
    <cellStyle name="20% - Accent1 2 2 2" xfId="589"/>
    <cellStyle name="20% - Accent1 2 2 3" xfId="994"/>
    <cellStyle name="20% - Accent1 2 2 3 2" xfId="1284"/>
    <cellStyle name="20% - Accent1 2 2 3 3" xfId="1574"/>
    <cellStyle name="20% - Accent1 2 2 4" xfId="1074"/>
    <cellStyle name="20% - Accent1 2 2 5" xfId="1364"/>
    <cellStyle name="20% - Accent1 2 3" xfId="588"/>
    <cellStyle name="20% - Accent1 2 3 2" xfId="1129"/>
    <cellStyle name="20% - Accent1 2 3 3" xfId="1419"/>
    <cellStyle name="20% - Accent1 3" xfId="41"/>
    <cellStyle name="20% - Accent1 3 2" xfId="389"/>
    <cellStyle name="20% - Accent1 3 2 2" xfId="540"/>
    <cellStyle name="20% - Accent1 3 2 2 2" xfId="591"/>
    <cellStyle name="20% - Accent1 3 2 2 2 2" xfId="1131"/>
    <cellStyle name="20% - Accent1 3 2 2 2 3" xfId="1421"/>
    <cellStyle name="20% - Accent1 3 2 2 3" xfId="1010"/>
    <cellStyle name="20% - Accent1 3 2 2 3 2" xfId="1300"/>
    <cellStyle name="20% - Accent1 3 2 2 3 3" xfId="1590"/>
    <cellStyle name="20% - Accent1 3 2 2 4" xfId="1090"/>
    <cellStyle name="20% - Accent1 3 2 2 5" xfId="1380"/>
    <cellStyle name="20% - Accent1 3 2 3" xfId="590"/>
    <cellStyle name="20% - Accent1 3 2 3 2" xfId="1130"/>
    <cellStyle name="20% - Accent1 3 2 3 3" xfId="1420"/>
    <cellStyle name="20% - Accent1 3 3" xfId="553"/>
    <cellStyle name="20% - Accent1 3 3 2" xfId="593"/>
    <cellStyle name="20% - Accent1 3 3 2 2" xfId="1133"/>
    <cellStyle name="20% - Accent1 3 3 2 3" xfId="1423"/>
    <cellStyle name="20% - Accent1 3 3 3" xfId="592"/>
    <cellStyle name="20% - Accent1 3 3 3 2" xfId="1132"/>
    <cellStyle name="20% - Accent1 3 3 3 3" xfId="1422"/>
    <cellStyle name="20% - Accent1 3 3 4" xfId="1023"/>
    <cellStyle name="20% - Accent1 3 3 4 2" xfId="1313"/>
    <cellStyle name="20% - Accent1 3 3 4 3" xfId="1603"/>
    <cellStyle name="20% - Accent1 3 3 5" xfId="1103"/>
    <cellStyle name="20% - Accent1 3 3 6" xfId="1393"/>
    <cellStyle name="20% - Accent1 3 4" xfId="554"/>
    <cellStyle name="20% - Accent1 3 4 2" xfId="595"/>
    <cellStyle name="20% - Accent1 3 4 2 2" xfId="1135"/>
    <cellStyle name="20% - Accent1 3 4 2 3" xfId="1425"/>
    <cellStyle name="20% - Accent1 3 4 3" xfId="594"/>
    <cellStyle name="20% - Accent1 3 4 3 2" xfId="1134"/>
    <cellStyle name="20% - Accent1 3 4 3 3" xfId="1424"/>
    <cellStyle name="20% - Accent1 3 4 4" xfId="1024"/>
    <cellStyle name="20% - Accent1 3 4 4 2" xfId="1314"/>
    <cellStyle name="20% - Accent1 3 4 4 3" xfId="1604"/>
    <cellStyle name="20% - Accent1 3 4 5" xfId="1104"/>
    <cellStyle name="20% - Accent1 3 4 6" xfId="1394"/>
    <cellStyle name="20% - Accent1 3 5" xfId="524"/>
    <cellStyle name="20% - Accent1 3 5 2" xfId="596"/>
    <cellStyle name="20% - Accent1 3 5 2 2" xfId="1136"/>
    <cellStyle name="20% - Accent1 3 5 2 3" xfId="1426"/>
    <cellStyle name="20% - Accent1 3 5 3" xfId="997"/>
    <cellStyle name="20% - Accent1 3 5 3 2" xfId="1287"/>
    <cellStyle name="20% - Accent1 3 5 3 3" xfId="1577"/>
    <cellStyle name="20% - Accent1 3 5 4" xfId="1077"/>
    <cellStyle name="20% - Accent1 3 5 5" xfId="1367"/>
    <cellStyle name="20% - Accent1 3 6" xfId="597"/>
    <cellStyle name="20% - Accent1 3 6 2" xfId="1137"/>
    <cellStyle name="20% - Accent1 3 6 3" xfId="1427"/>
    <cellStyle name="20% - Accent1 3 7" xfId="969"/>
    <cellStyle name="20% - Accent1 3 7 2" xfId="1259"/>
    <cellStyle name="20% - Accent1 3 7 3" xfId="1549"/>
    <cellStyle name="20% - Accent1 3 8" xfId="1052"/>
    <cellStyle name="20% - Accent1 3 9" xfId="1342"/>
    <cellStyle name="20% - Accent2 2" xfId="40"/>
    <cellStyle name="20% - Accent2 2 2" xfId="354"/>
    <cellStyle name="20% - Accent2 2 2 2" xfId="599"/>
    <cellStyle name="20% - Accent2 2 2 3" xfId="992"/>
    <cellStyle name="20% - Accent2 2 2 3 2" xfId="1282"/>
    <cellStyle name="20% - Accent2 2 2 3 3" xfId="1572"/>
    <cellStyle name="20% - Accent2 2 2 4" xfId="1072"/>
    <cellStyle name="20% - Accent2 2 2 5" xfId="1362"/>
    <cellStyle name="20% - Accent2 2 3" xfId="598"/>
    <cellStyle name="20% - Accent2 2 3 2" xfId="1138"/>
    <cellStyle name="20% - Accent2 2 3 3" xfId="1428"/>
    <cellStyle name="20% - Accent2 3" xfId="42"/>
    <cellStyle name="20% - Accent2 3 2" xfId="353"/>
    <cellStyle name="20% - Accent2 3 2 2" xfId="541"/>
    <cellStyle name="20% - Accent2 3 2 2 2" xfId="601"/>
    <cellStyle name="20% - Accent2 3 2 2 2 2" xfId="1140"/>
    <cellStyle name="20% - Accent2 3 2 2 2 3" xfId="1430"/>
    <cellStyle name="20% - Accent2 3 2 2 3" xfId="1011"/>
    <cellStyle name="20% - Accent2 3 2 2 3 2" xfId="1301"/>
    <cellStyle name="20% - Accent2 3 2 2 3 3" xfId="1591"/>
    <cellStyle name="20% - Accent2 3 2 2 4" xfId="1091"/>
    <cellStyle name="20% - Accent2 3 2 2 5" xfId="1381"/>
    <cellStyle name="20% - Accent2 3 2 3" xfId="600"/>
    <cellStyle name="20% - Accent2 3 2 3 2" xfId="1139"/>
    <cellStyle name="20% - Accent2 3 2 3 3" xfId="1429"/>
    <cellStyle name="20% - Accent2 3 3" xfId="555"/>
    <cellStyle name="20% - Accent2 3 3 2" xfId="603"/>
    <cellStyle name="20% - Accent2 3 3 2 2" xfId="1142"/>
    <cellStyle name="20% - Accent2 3 3 2 3" xfId="1432"/>
    <cellStyle name="20% - Accent2 3 3 3" xfId="602"/>
    <cellStyle name="20% - Accent2 3 3 3 2" xfId="1141"/>
    <cellStyle name="20% - Accent2 3 3 3 3" xfId="1431"/>
    <cellStyle name="20% - Accent2 3 3 4" xfId="1025"/>
    <cellStyle name="20% - Accent2 3 3 4 2" xfId="1315"/>
    <cellStyle name="20% - Accent2 3 3 4 3" xfId="1605"/>
    <cellStyle name="20% - Accent2 3 3 5" xfId="1105"/>
    <cellStyle name="20% - Accent2 3 3 6" xfId="1395"/>
    <cellStyle name="20% - Accent2 3 4" xfId="556"/>
    <cellStyle name="20% - Accent2 3 4 2" xfId="605"/>
    <cellStyle name="20% - Accent2 3 4 2 2" xfId="1144"/>
    <cellStyle name="20% - Accent2 3 4 2 3" xfId="1434"/>
    <cellStyle name="20% - Accent2 3 4 3" xfId="604"/>
    <cellStyle name="20% - Accent2 3 4 3 2" xfId="1143"/>
    <cellStyle name="20% - Accent2 3 4 3 3" xfId="1433"/>
    <cellStyle name="20% - Accent2 3 4 4" xfId="1026"/>
    <cellStyle name="20% - Accent2 3 4 4 2" xfId="1316"/>
    <cellStyle name="20% - Accent2 3 4 4 3" xfId="1606"/>
    <cellStyle name="20% - Accent2 3 4 5" xfId="1106"/>
    <cellStyle name="20% - Accent2 3 4 6" xfId="1396"/>
    <cellStyle name="20% - Accent2 3 5" xfId="525"/>
    <cellStyle name="20% - Accent2 3 5 2" xfId="606"/>
    <cellStyle name="20% - Accent2 3 5 2 2" xfId="1145"/>
    <cellStyle name="20% - Accent2 3 5 2 3" xfId="1435"/>
    <cellStyle name="20% - Accent2 3 5 3" xfId="998"/>
    <cellStyle name="20% - Accent2 3 5 3 2" xfId="1288"/>
    <cellStyle name="20% - Accent2 3 5 3 3" xfId="1578"/>
    <cellStyle name="20% - Accent2 3 5 4" xfId="1078"/>
    <cellStyle name="20% - Accent2 3 5 5" xfId="1368"/>
    <cellStyle name="20% - Accent2 3 6" xfId="607"/>
    <cellStyle name="20% - Accent2 3 6 2" xfId="1146"/>
    <cellStyle name="20% - Accent2 3 6 3" xfId="1436"/>
    <cellStyle name="20% - Accent2 3 7" xfId="970"/>
    <cellStyle name="20% - Accent2 3 7 2" xfId="1260"/>
    <cellStyle name="20% - Accent2 3 7 3" xfId="1550"/>
    <cellStyle name="20% - Accent2 3 8" xfId="1053"/>
    <cellStyle name="20% - Accent2 3 9" xfId="1343"/>
    <cellStyle name="20% - Accent3 2" xfId="38"/>
    <cellStyle name="20% - Accent3 2 2" xfId="335"/>
    <cellStyle name="20% - Accent3 2 2 2" xfId="609"/>
    <cellStyle name="20% - Accent3 2 2 3" xfId="991"/>
    <cellStyle name="20% - Accent3 2 2 3 2" xfId="1281"/>
    <cellStyle name="20% - Accent3 2 2 3 3" xfId="1571"/>
    <cellStyle name="20% - Accent3 2 2 4" xfId="1071"/>
    <cellStyle name="20% - Accent3 2 2 5" xfId="1361"/>
    <cellStyle name="20% - Accent3 2 3" xfId="608"/>
    <cellStyle name="20% - Accent3 2 3 2" xfId="1147"/>
    <cellStyle name="20% - Accent3 2 3 3" xfId="1437"/>
    <cellStyle name="20% - Accent3 3" xfId="39"/>
    <cellStyle name="20% - Accent3 3 2" xfId="334"/>
    <cellStyle name="20% - Accent3 3 2 2" xfId="542"/>
    <cellStyle name="20% - Accent3 3 2 2 2" xfId="611"/>
    <cellStyle name="20% - Accent3 3 2 2 2 2" xfId="1149"/>
    <cellStyle name="20% - Accent3 3 2 2 2 3" xfId="1439"/>
    <cellStyle name="20% - Accent3 3 2 2 3" xfId="1012"/>
    <cellStyle name="20% - Accent3 3 2 2 3 2" xfId="1302"/>
    <cellStyle name="20% - Accent3 3 2 2 3 3" xfId="1592"/>
    <cellStyle name="20% - Accent3 3 2 2 4" xfId="1092"/>
    <cellStyle name="20% - Accent3 3 2 2 5" xfId="1382"/>
    <cellStyle name="20% - Accent3 3 2 3" xfId="610"/>
    <cellStyle name="20% - Accent3 3 2 3 2" xfId="1148"/>
    <cellStyle name="20% - Accent3 3 2 3 3" xfId="1438"/>
    <cellStyle name="20% - Accent3 3 3" xfId="557"/>
    <cellStyle name="20% - Accent3 3 3 2" xfId="613"/>
    <cellStyle name="20% - Accent3 3 3 2 2" xfId="1151"/>
    <cellStyle name="20% - Accent3 3 3 2 3" xfId="1441"/>
    <cellStyle name="20% - Accent3 3 3 3" xfId="612"/>
    <cellStyle name="20% - Accent3 3 3 3 2" xfId="1150"/>
    <cellStyle name="20% - Accent3 3 3 3 3" xfId="1440"/>
    <cellStyle name="20% - Accent3 3 3 4" xfId="1027"/>
    <cellStyle name="20% - Accent3 3 3 4 2" xfId="1317"/>
    <cellStyle name="20% - Accent3 3 3 4 3" xfId="1607"/>
    <cellStyle name="20% - Accent3 3 3 5" xfId="1107"/>
    <cellStyle name="20% - Accent3 3 3 6" xfId="1397"/>
    <cellStyle name="20% - Accent3 3 4" xfId="558"/>
    <cellStyle name="20% - Accent3 3 4 2" xfId="615"/>
    <cellStyle name="20% - Accent3 3 4 2 2" xfId="1153"/>
    <cellStyle name="20% - Accent3 3 4 2 3" xfId="1443"/>
    <cellStyle name="20% - Accent3 3 4 3" xfId="614"/>
    <cellStyle name="20% - Accent3 3 4 3 2" xfId="1152"/>
    <cellStyle name="20% - Accent3 3 4 3 3" xfId="1442"/>
    <cellStyle name="20% - Accent3 3 4 4" xfId="1028"/>
    <cellStyle name="20% - Accent3 3 4 4 2" xfId="1318"/>
    <cellStyle name="20% - Accent3 3 4 4 3" xfId="1608"/>
    <cellStyle name="20% - Accent3 3 4 5" xfId="1108"/>
    <cellStyle name="20% - Accent3 3 4 6" xfId="1398"/>
    <cellStyle name="20% - Accent3 3 5" xfId="526"/>
    <cellStyle name="20% - Accent3 3 5 2" xfId="616"/>
    <cellStyle name="20% - Accent3 3 5 2 2" xfId="1154"/>
    <cellStyle name="20% - Accent3 3 5 2 3" xfId="1444"/>
    <cellStyle name="20% - Accent3 3 5 3" xfId="999"/>
    <cellStyle name="20% - Accent3 3 5 3 2" xfId="1289"/>
    <cellStyle name="20% - Accent3 3 5 3 3" xfId="1579"/>
    <cellStyle name="20% - Accent3 3 5 4" xfId="1079"/>
    <cellStyle name="20% - Accent3 3 5 5" xfId="1369"/>
    <cellStyle name="20% - Accent3 3 6" xfId="617"/>
    <cellStyle name="20% - Accent3 3 6 2" xfId="1155"/>
    <cellStyle name="20% - Accent3 3 6 3" xfId="1445"/>
    <cellStyle name="20% - Accent3 3 7" xfId="971"/>
    <cellStyle name="20% - Accent3 3 7 2" xfId="1261"/>
    <cellStyle name="20% - Accent3 3 7 3" xfId="1551"/>
    <cellStyle name="20% - Accent3 3 8" xfId="1051"/>
    <cellStyle name="20% - Accent3 3 9" xfId="1341"/>
    <cellStyle name="20% - Accent4 2" xfId="31"/>
    <cellStyle name="20% - Accent4 2 2" xfId="333"/>
    <cellStyle name="20% - Accent4 2 2 2" xfId="619"/>
    <cellStyle name="20% - Accent4 2 2 3" xfId="990"/>
    <cellStyle name="20% - Accent4 2 2 3 2" xfId="1280"/>
    <cellStyle name="20% - Accent4 2 2 3 3" xfId="1570"/>
    <cellStyle name="20% - Accent4 2 2 4" xfId="1070"/>
    <cellStyle name="20% - Accent4 2 2 5" xfId="1360"/>
    <cellStyle name="20% - Accent4 2 3" xfId="618"/>
    <cellStyle name="20% - Accent4 2 3 2" xfId="1156"/>
    <cellStyle name="20% - Accent4 2 3 3" xfId="1446"/>
    <cellStyle name="20% - Accent4 3" xfId="28"/>
    <cellStyle name="20% - Accent4 3 2" xfId="332"/>
    <cellStyle name="20% - Accent4 3 2 2" xfId="543"/>
    <cellStyle name="20% - Accent4 3 2 2 2" xfId="621"/>
    <cellStyle name="20% - Accent4 3 2 2 2 2" xfId="1158"/>
    <cellStyle name="20% - Accent4 3 2 2 2 3" xfId="1448"/>
    <cellStyle name="20% - Accent4 3 2 2 3" xfId="1013"/>
    <cellStyle name="20% - Accent4 3 2 2 3 2" xfId="1303"/>
    <cellStyle name="20% - Accent4 3 2 2 3 3" xfId="1593"/>
    <cellStyle name="20% - Accent4 3 2 2 4" xfId="1093"/>
    <cellStyle name="20% - Accent4 3 2 2 5" xfId="1383"/>
    <cellStyle name="20% - Accent4 3 2 3" xfId="620"/>
    <cellStyle name="20% - Accent4 3 2 3 2" xfId="1157"/>
    <cellStyle name="20% - Accent4 3 2 3 3" xfId="1447"/>
    <cellStyle name="20% - Accent4 3 3" xfId="559"/>
    <cellStyle name="20% - Accent4 3 3 2" xfId="623"/>
    <cellStyle name="20% - Accent4 3 3 2 2" xfId="1160"/>
    <cellStyle name="20% - Accent4 3 3 2 3" xfId="1450"/>
    <cellStyle name="20% - Accent4 3 3 3" xfId="622"/>
    <cellStyle name="20% - Accent4 3 3 3 2" xfId="1159"/>
    <cellStyle name="20% - Accent4 3 3 3 3" xfId="1449"/>
    <cellStyle name="20% - Accent4 3 3 4" xfId="1029"/>
    <cellStyle name="20% - Accent4 3 3 4 2" xfId="1319"/>
    <cellStyle name="20% - Accent4 3 3 4 3" xfId="1609"/>
    <cellStyle name="20% - Accent4 3 3 5" xfId="1109"/>
    <cellStyle name="20% - Accent4 3 3 6" xfId="1399"/>
    <cellStyle name="20% - Accent4 3 4" xfId="560"/>
    <cellStyle name="20% - Accent4 3 4 2" xfId="625"/>
    <cellStyle name="20% - Accent4 3 4 2 2" xfId="1162"/>
    <cellStyle name="20% - Accent4 3 4 2 3" xfId="1452"/>
    <cellStyle name="20% - Accent4 3 4 3" xfId="624"/>
    <cellStyle name="20% - Accent4 3 4 3 2" xfId="1161"/>
    <cellStyle name="20% - Accent4 3 4 3 3" xfId="1451"/>
    <cellStyle name="20% - Accent4 3 4 4" xfId="1030"/>
    <cellStyle name="20% - Accent4 3 4 4 2" xfId="1320"/>
    <cellStyle name="20% - Accent4 3 4 4 3" xfId="1610"/>
    <cellStyle name="20% - Accent4 3 4 5" xfId="1110"/>
    <cellStyle name="20% - Accent4 3 4 6" xfId="1400"/>
    <cellStyle name="20% - Accent4 3 5" xfId="527"/>
    <cellStyle name="20% - Accent4 3 5 2" xfId="626"/>
    <cellStyle name="20% - Accent4 3 5 2 2" xfId="1163"/>
    <cellStyle name="20% - Accent4 3 5 2 3" xfId="1453"/>
    <cellStyle name="20% - Accent4 3 5 3" xfId="1000"/>
    <cellStyle name="20% - Accent4 3 5 3 2" xfId="1290"/>
    <cellStyle name="20% - Accent4 3 5 3 3" xfId="1580"/>
    <cellStyle name="20% - Accent4 3 5 4" xfId="1080"/>
    <cellStyle name="20% - Accent4 3 5 5" xfId="1370"/>
    <cellStyle name="20% - Accent4 3 6" xfId="627"/>
    <cellStyle name="20% - Accent4 3 6 2" xfId="1164"/>
    <cellStyle name="20% - Accent4 3 6 3" xfId="1454"/>
    <cellStyle name="20% - Accent4 3 7" xfId="972"/>
    <cellStyle name="20% - Accent4 3 7 2" xfId="1262"/>
    <cellStyle name="20% - Accent4 3 7 3" xfId="1552"/>
    <cellStyle name="20% - Accent4 3 8" xfId="1049"/>
    <cellStyle name="20% - Accent4 3 9" xfId="1339"/>
    <cellStyle name="20% - Accent5 2" xfId="34"/>
    <cellStyle name="20% - Accent5 2 2" xfId="331"/>
    <cellStyle name="20% - Accent5 2 2 2" xfId="629"/>
    <cellStyle name="20% - Accent5 2 2 3" xfId="989"/>
    <cellStyle name="20% - Accent5 2 2 3 2" xfId="1279"/>
    <cellStyle name="20% - Accent5 2 2 3 3" xfId="1569"/>
    <cellStyle name="20% - Accent5 2 2 4" xfId="1069"/>
    <cellStyle name="20% - Accent5 2 2 5" xfId="1359"/>
    <cellStyle name="20% - Accent5 2 3" xfId="628"/>
    <cellStyle name="20% - Accent5 2 3 2" xfId="1165"/>
    <cellStyle name="20% - Accent5 2 3 3" xfId="1455"/>
    <cellStyle name="20% - Accent5 3" xfId="46"/>
    <cellStyle name="20% - Accent5 3 2" xfId="327"/>
    <cellStyle name="20% - Accent5 3 2 2" xfId="544"/>
    <cellStyle name="20% - Accent5 3 2 2 2" xfId="631"/>
    <cellStyle name="20% - Accent5 3 2 2 2 2" xfId="1167"/>
    <cellStyle name="20% - Accent5 3 2 2 2 3" xfId="1457"/>
    <cellStyle name="20% - Accent5 3 2 2 3" xfId="1014"/>
    <cellStyle name="20% - Accent5 3 2 2 3 2" xfId="1304"/>
    <cellStyle name="20% - Accent5 3 2 2 3 3" xfId="1594"/>
    <cellStyle name="20% - Accent5 3 2 2 4" xfId="1094"/>
    <cellStyle name="20% - Accent5 3 2 2 5" xfId="1384"/>
    <cellStyle name="20% - Accent5 3 2 3" xfId="630"/>
    <cellStyle name="20% - Accent5 3 2 3 2" xfId="1166"/>
    <cellStyle name="20% - Accent5 3 2 3 3" xfId="1456"/>
    <cellStyle name="20% - Accent5 3 3" xfId="561"/>
    <cellStyle name="20% - Accent5 3 3 2" xfId="633"/>
    <cellStyle name="20% - Accent5 3 3 2 2" xfId="1169"/>
    <cellStyle name="20% - Accent5 3 3 2 3" xfId="1459"/>
    <cellStyle name="20% - Accent5 3 3 3" xfId="632"/>
    <cellStyle name="20% - Accent5 3 3 3 2" xfId="1168"/>
    <cellStyle name="20% - Accent5 3 3 3 3" xfId="1458"/>
    <cellStyle name="20% - Accent5 3 3 4" xfId="1031"/>
    <cellStyle name="20% - Accent5 3 3 4 2" xfId="1321"/>
    <cellStyle name="20% - Accent5 3 3 4 3" xfId="1611"/>
    <cellStyle name="20% - Accent5 3 3 5" xfId="1111"/>
    <cellStyle name="20% - Accent5 3 3 6" xfId="1401"/>
    <cellStyle name="20% - Accent5 3 4" xfId="562"/>
    <cellStyle name="20% - Accent5 3 4 2" xfId="635"/>
    <cellStyle name="20% - Accent5 3 4 2 2" xfId="1171"/>
    <cellStyle name="20% - Accent5 3 4 2 3" xfId="1461"/>
    <cellStyle name="20% - Accent5 3 4 3" xfId="634"/>
    <cellStyle name="20% - Accent5 3 4 3 2" xfId="1170"/>
    <cellStyle name="20% - Accent5 3 4 3 3" xfId="1460"/>
    <cellStyle name="20% - Accent5 3 4 4" xfId="1032"/>
    <cellStyle name="20% - Accent5 3 4 4 2" xfId="1322"/>
    <cellStyle name="20% - Accent5 3 4 4 3" xfId="1612"/>
    <cellStyle name="20% - Accent5 3 4 5" xfId="1112"/>
    <cellStyle name="20% - Accent5 3 4 6" xfId="1402"/>
    <cellStyle name="20% - Accent5 3 5" xfId="528"/>
    <cellStyle name="20% - Accent5 3 5 2" xfId="636"/>
    <cellStyle name="20% - Accent5 3 5 2 2" xfId="1172"/>
    <cellStyle name="20% - Accent5 3 5 2 3" xfId="1462"/>
    <cellStyle name="20% - Accent5 3 5 3" xfId="1001"/>
    <cellStyle name="20% - Accent5 3 5 3 2" xfId="1291"/>
    <cellStyle name="20% - Accent5 3 5 3 3" xfId="1581"/>
    <cellStyle name="20% - Accent5 3 5 4" xfId="1081"/>
    <cellStyle name="20% - Accent5 3 5 5" xfId="1371"/>
    <cellStyle name="20% - Accent5 3 6" xfId="637"/>
    <cellStyle name="20% - Accent5 3 6 2" xfId="1173"/>
    <cellStyle name="20% - Accent5 3 6 3" xfId="1463"/>
    <cellStyle name="20% - Accent5 3 7" xfId="973"/>
    <cellStyle name="20% - Accent5 3 7 2" xfId="1263"/>
    <cellStyle name="20% - Accent5 3 7 3" xfId="1553"/>
    <cellStyle name="20% - Accent5 3 8" xfId="1054"/>
    <cellStyle name="20% - Accent5 3 9" xfId="1344"/>
    <cellStyle name="20% - Accent6 2" xfId="29"/>
    <cellStyle name="20% - Accent6 2 2" xfId="326"/>
    <cellStyle name="20% - Accent6 2 2 2" xfId="639"/>
    <cellStyle name="20% - Accent6 2 2 3" xfId="988"/>
    <cellStyle name="20% - Accent6 2 2 3 2" xfId="1278"/>
    <cellStyle name="20% - Accent6 2 2 3 3" xfId="1568"/>
    <cellStyle name="20% - Accent6 2 2 4" xfId="1068"/>
    <cellStyle name="20% - Accent6 2 2 5" xfId="1358"/>
    <cellStyle name="20% - Accent6 2 3" xfId="638"/>
    <cellStyle name="20% - Accent6 2 3 2" xfId="1174"/>
    <cellStyle name="20% - Accent6 2 3 3" xfId="1464"/>
    <cellStyle name="20% - Accent6 3" xfId="32"/>
    <cellStyle name="20% - Accent6 3 2" xfId="323"/>
    <cellStyle name="20% - Accent6 3 2 2" xfId="545"/>
    <cellStyle name="20% - Accent6 3 2 2 2" xfId="641"/>
    <cellStyle name="20% - Accent6 3 2 2 2 2" xfId="1176"/>
    <cellStyle name="20% - Accent6 3 2 2 2 3" xfId="1466"/>
    <cellStyle name="20% - Accent6 3 2 2 3" xfId="1015"/>
    <cellStyle name="20% - Accent6 3 2 2 3 2" xfId="1305"/>
    <cellStyle name="20% - Accent6 3 2 2 3 3" xfId="1595"/>
    <cellStyle name="20% - Accent6 3 2 2 4" xfId="1095"/>
    <cellStyle name="20% - Accent6 3 2 2 5" xfId="1385"/>
    <cellStyle name="20% - Accent6 3 2 3" xfId="640"/>
    <cellStyle name="20% - Accent6 3 2 3 2" xfId="1175"/>
    <cellStyle name="20% - Accent6 3 2 3 3" xfId="1465"/>
    <cellStyle name="20% - Accent6 3 3" xfId="563"/>
    <cellStyle name="20% - Accent6 3 3 2" xfId="643"/>
    <cellStyle name="20% - Accent6 3 3 2 2" xfId="1178"/>
    <cellStyle name="20% - Accent6 3 3 2 3" xfId="1468"/>
    <cellStyle name="20% - Accent6 3 3 3" xfId="642"/>
    <cellStyle name="20% - Accent6 3 3 3 2" xfId="1177"/>
    <cellStyle name="20% - Accent6 3 3 3 3" xfId="1467"/>
    <cellStyle name="20% - Accent6 3 3 4" xfId="1033"/>
    <cellStyle name="20% - Accent6 3 3 4 2" xfId="1323"/>
    <cellStyle name="20% - Accent6 3 3 4 3" xfId="1613"/>
    <cellStyle name="20% - Accent6 3 3 5" xfId="1113"/>
    <cellStyle name="20% - Accent6 3 3 6" xfId="1403"/>
    <cellStyle name="20% - Accent6 3 4" xfId="564"/>
    <cellStyle name="20% - Accent6 3 4 2" xfId="645"/>
    <cellStyle name="20% - Accent6 3 4 2 2" xfId="1180"/>
    <cellStyle name="20% - Accent6 3 4 2 3" xfId="1470"/>
    <cellStyle name="20% - Accent6 3 4 3" xfId="644"/>
    <cellStyle name="20% - Accent6 3 4 3 2" xfId="1179"/>
    <cellStyle name="20% - Accent6 3 4 3 3" xfId="1469"/>
    <cellStyle name="20% - Accent6 3 4 4" xfId="1034"/>
    <cellStyle name="20% - Accent6 3 4 4 2" xfId="1324"/>
    <cellStyle name="20% - Accent6 3 4 4 3" xfId="1614"/>
    <cellStyle name="20% - Accent6 3 4 5" xfId="1114"/>
    <cellStyle name="20% - Accent6 3 4 6" xfId="1404"/>
    <cellStyle name="20% - Accent6 3 5" xfId="529"/>
    <cellStyle name="20% - Accent6 3 5 2" xfId="646"/>
    <cellStyle name="20% - Accent6 3 5 2 2" xfId="1181"/>
    <cellStyle name="20% - Accent6 3 5 2 3" xfId="1471"/>
    <cellStyle name="20% - Accent6 3 5 3" xfId="1002"/>
    <cellStyle name="20% - Accent6 3 5 3 2" xfId="1292"/>
    <cellStyle name="20% - Accent6 3 5 3 3" xfId="1582"/>
    <cellStyle name="20% - Accent6 3 5 4" xfId="1082"/>
    <cellStyle name="20% - Accent6 3 5 5" xfId="1372"/>
    <cellStyle name="20% - Accent6 3 6" xfId="647"/>
    <cellStyle name="20% - Accent6 3 6 2" xfId="1182"/>
    <cellStyle name="20% - Accent6 3 6 3" xfId="1472"/>
    <cellStyle name="20% - Accent6 3 7" xfId="974"/>
    <cellStyle name="20% - Accent6 3 7 2" xfId="1264"/>
    <cellStyle name="20% - Accent6 3 7 3" xfId="1554"/>
    <cellStyle name="20% - Accent6 3 8" xfId="1050"/>
    <cellStyle name="20% - Accent6 3 9" xfId="1340"/>
    <cellStyle name="3" xfId="45"/>
    <cellStyle name="4" xfId="27"/>
    <cellStyle name="40% - Accent1 2" xfId="44"/>
    <cellStyle name="40% - Accent1 2 2" xfId="319"/>
    <cellStyle name="40% - Accent1 2 2 2" xfId="649"/>
    <cellStyle name="40% - Accent1 2 2 3" xfId="987"/>
    <cellStyle name="40% - Accent1 2 2 3 2" xfId="1277"/>
    <cellStyle name="40% - Accent1 2 2 3 3" xfId="1567"/>
    <cellStyle name="40% - Accent1 2 2 4" xfId="1067"/>
    <cellStyle name="40% - Accent1 2 2 5" xfId="1357"/>
    <cellStyle name="40% - Accent1 2 3" xfId="648"/>
    <cellStyle name="40% - Accent1 2 3 2" xfId="1183"/>
    <cellStyle name="40% - Accent1 2 3 3" xfId="1473"/>
    <cellStyle name="40% - Accent1 3" xfId="47"/>
    <cellStyle name="40% - Accent1 3 2" xfId="302"/>
    <cellStyle name="40% - Accent1 3 2 2" xfId="546"/>
    <cellStyle name="40% - Accent1 3 2 2 2" xfId="651"/>
    <cellStyle name="40% - Accent1 3 2 2 2 2" xfId="1185"/>
    <cellStyle name="40% - Accent1 3 2 2 2 3" xfId="1475"/>
    <cellStyle name="40% - Accent1 3 2 2 3" xfId="1016"/>
    <cellStyle name="40% - Accent1 3 2 2 3 2" xfId="1306"/>
    <cellStyle name="40% - Accent1 3 2 2 3 3" xfId="1596"/>
    <cellStyle name="40% - Accent1 3 2 2 4" xfId="1096"/>
    <cellStyle name="40% - Accent1 3 2 2 5" xfId="1386"/>
    <cellStyle name="40% - Accent1 3 2 3" xfId="650"/>
    <cellStyle name="40% - Accent1 3 2 3 2" xfId="1184"/>
    <cellStyle name="40% - Accent1 3 2 3 3" xfId="1474"/>
    <cellStyle name="40% - Accent1 3 3" xfId="565"/>
    <cellStyle name="40% - Accent1 3 3 2" xfId="653"/>
    <cellStyle name="40% - Accent1 3 3 2 2" xfId="1187"/>
    <cellStyle name="40% - Accent1 3 3 2 3" xfId="1477"/>
    <cellStyle name="40% - Accent1 3 3 3" xfId="652"/>
    <cellStyle name="40% - Accent1 3 3 3 2" xfId="1186"/>
    <cellStyle name="40% - Accent1 3 3 3 3" xfId="1476"/>
    <cellStyle name="40% - Accent1 3 3 4" xfId="1035"/>
    <cellStyle name="40% - Accent1 3 3 4 2" xfId="1325"/>
    <cellStyle name="40% - Accent1 3 3 4 3" xfId="1615"/>
    <cellStyle name="40% - Accent1 3 3 5" xfId="1115"/>
    <cellStyle name="40% - Accent1 3 3 6" xfId="1405"/>
    <cellStyle name="40% - Accent1 3 4" xfId="566"/>
    <cellStyle name="40% - Accent1 3 4 2" xfId="655"/>
    <cellStyle name="40% - Accent1 3 4 2 2" xfId="1189"/>
    <cellStyle name="40% - Accent1 3 4 2 3" xfId="1479"/>
    <cellStyle name="40% - Accent1 3 4 3" xfId="654"/>
    <cellStyle name="40% - Accent1 3 4 3 2" xfId="1188"/>
    <cellStyle name="40% - Accent1 3 4 3 3" xfId="1478"/>
    <cellStyle name="40% - Accent1 3 4 4" xfId="1036"/>
    <cellStyle name="40% - Accent1 3 4 4 2" xfId="1326"/>
    <cellStyle name="40% - Accent1 3 4 4 3" xfId="1616"/>
    <cellStyle name="40% - Accent1 3 4 5" xfId="1116"/>
    <cellStyle name="40% - Accent1 3 4 6" xfId="1406"/>
    <cellStyle name="40% - Accent1 3 5" xfId="530"/>
    <cellStyle name="40% - Accent1 3 5 2" xfId="656"/>
    <cellStyle name="40% - Accent1 3 5 2 2" xfId="1190"/>
    <cellStyle name="40% - Accent1 3 5 2 3" xfId="1480"/>
    <cellStyle name="40% - Accent1 3 5 3" xfId="1003"/>
    <cellStyle name="40% - Accent1 3 5 3 2" xfId="1293"/>
    <cellStyle name="40% - Accent1 3 5 3 3" xfId="1583"/>
    <cellStyle name="40% - Accent1 3 5 4" xfId="1083"/>
    <cellStyle name="40% - Accent1 3 5 5" xfId="1373"/>
    <cellStyle name="40% - Accent1 3 6" xfId="657"/>
    <cellStyle name="40% - Accent1 3 6 2" xfId="1191"/>
    <cellStyle name="40% - Accent1 3 6 3" xfId="1481"/>
    <cellStyle name="40% - Accent1 3 7" xfId="975"/>
    <cellStyle name="40% - Accent1 3 7 2" xfId="1265"/>
    <cellStyle name="40% - Accent1 3 7 3" xfId="1555"/>
    <cellStyle name="40% - Accent1 3 8" xfId="1055"/>
    <cellStyle name="40% - Accent1 3 9" xfId="1345"/>
    <cellStyle name="40% - Accent2 2" xfId="48"/>
    <cellStyle name="40% - Accent2 2 2" xfId="293"/>
    <cellStyle name="40% - Accent2 2 2 2" xfId="659"/>
    <cellStyle name="40% - Accent2 2 2 3" xfId="986"/>
    <cellStyle name="40% - Accent2 2 2 3 2" xfId="1276"/>
    <cellStyle name="40% - Accent2 2 2 3 3" xfId="1566"/>
    <cellStyle name="40% - Accent2 2 2 4" xfId="1066"/>
    <cellStyle name="40% - Accent2 2 2 5" xfId="1356"/>
    <cellStyle name="40% - Accent2 2 3" xfId="658"/>
    <cellStyle name="40% - Accent2 2 3 2" xfId="1192"/>
    <cellStyle name="40% - Accent2 2 3 3" xfId="1482"/>
    <cellStyle name="40% - Accent2 3" xfId="49"/>
    <cellStyle name="40% - Accent2 3 2" xfId="292"/>
    <cellStyle name="40% - Accent2 3 2 2" xfId="547"/>
    <cellStyle name="40% - Accent2 3 2 2 2" xfId="661"/>
    <cellStyle name="40% - Accent2 3 2 2 2 2" xfId="1194"/>
    <cellStyle name="40% - Accent2 3 2 2 2 3" xfId="1484"/>
    <cellStyle name="40% - Accent2 3 2 2 3" xfId="1017"/>
    <cellStyle name="40% - Accent2 3 2 2 3 2" xfId="1307"/>
    <cellStyle name="40% - Accent2 3 2 2 3 3" xfId="1597"/>
    <cellStyle name="40% - Accent2 3 2 2 4" xfId="1097"/>
    <cellStyle name="40% - Accent2 3 2 2 5" xfId="1387"/>
    <cellStyle name="40% - Accent2 3 2 3" xfId="660"/>
    <cellStyle name="40% - Accent2 3 2 3 2" xfId="1193"/>
    <cellStyle name="40% - Accent2 3 2 3 3" xfId="1483"/>
    <cellStyle name="40% - Accent2 3 3" xfId="567"/>
    <cellStyle name="40% - Accent2 3 3 2" xfId="663"/>
    <cellStyle name="40% - Accent2 3 3 2 2" xfId="1196"/>
    <cellStyle name="40% - Accent2 3 3 2 3" xfId="1486"/>
    <cellStyle name="40% - Accent2 3 3 3" xfId="662"/>
    <cellStyle name="40% - Accent2 3 3 3 2" xfId="1195"/>
    <cellStyle name="40% - Accent2 3 3 3 3" xfId="1485"/>
    <cellStyle name="40% - Accent2 3 3 4" xfId="1037"/>
    <cellStyle name="40% - Accent2 3 3 4 2" xfId="1327"/>
    <cellStyle name="40% - Accent2 3 3 4 3" xfId="1617"/>
    <cellStyle name="40% - Accent2 3 3 5" xfId="1117"/>
    <cellStyle name="40% - Accent2 3 3 6" xfId="1407"/>
    <cellStyle name="40% - Accent2 3 4" xfId="568"/>
    <cellStyle name="40% - Accent2 3 4 2" xfId="665"/>
    <cellStyle name="40% - Accent2 3 4 2 2" xfId="1198"/>
    <cellStyle name="40% - Accent2 3 4 2 3" xfId="1488"/>
    <cellStyle name="40% - Accent2 3 4 3" xfId="664"/>
    <cellStyle name="40% - Accent2 3 4 3 2" xfId="1197"/>
    <cellStyle name="40% - Accent2 3 4 3 3" xfId="1487"/>
    <cellStyle name="40% - Accent2 3 4 4" xfId="1038"/>
    <cellStyle name="40% - Accent2 3 4 4 2" xfId="1328"/>
    <cellStyle name="40% - Accent2 3 4 4 3" xfId="1618"/>
    <cellStyle name="40% - Accent2 3 4 5" xfId="1118"/>
    <cellStyle name="40% - Accent2 3 4 6" xfId="1408"/>
    <cellStyle name="40% - Accent2 3 5" xfId="531"/>
    <cellStyle name="40% - Accent2 3 5 2" xfId="666"/>
    <cellStyle name="40% - Accent2 3 5 2 2" xfId="1199"/>
    <cellStyle name="40% - Accent2 3 5 2 3" xfId="1489"/>
    <cellStyle name="40% - Accent2 3 5 3" xfId="1004"/>
    <cellStyle name="40% - Accent2 3 5 3 2" xfId="1294"/>
    <cellStyle name="40% - Accent2 3 5 3 3" xfId="1584"/>
    <cellStyle name="40% - Accent2 3 5 4" xfId="1084"/>
    <cellStyle name="40% - Accent2 3 5 5" xfId="1374"/>
    <cellStyle name="40% - Accent2 3 6" xfId="667"/>
    <cellStyle name="40% - Accent2 3 6 2" xfId="1200"/>
    <cellStyle name="40% - Accent2 3 6 3" xfId="1490"/>
    <cellStyle name="40% - Accent2 3 7" xfId="976"/>
    <cellStyle name="40% - Accent2 3 7 2" xfId="1266"/>
    <cellStyle name="40% - Accent2 3 7 3" xfId="1556"/>
    <cellStyle name="40% - Accent2 3 8" xfId="1056"/>
    <cellStyle name="40% - Accent2 3 9" xfId="1346"/>
    <cellStyle name="40% - Accent3 2" xfId="50"/>
    <cellStyle name="40% - Accent3 2 2" xfId="163"/>
    <cellStyle name="40% - Accent3 2 2 2" xfId="669"/>
    <cellStyle name="40% - Accent3 2 2 3" xfId="985"/>
    <cellStyle name="40% - Accent3 2 2 3 2" xfId="1275"/>
    <cellStyle name="40% - Accent3 2 2 3 3" xfId="1565"/>
    <cellStyle name="40% - Accent3 2 2 4" xfId="1065"/>
    <cellStyle name="40% - Accent3 2 2 5" xfId="1355"/>
    <cellStyle name="40% - Accent3 2 3" xfId="668"/>
    <cellStyle name="40% - Accent3 2 3 2" xfId="1201"/>
    <cellStyle name="40% - Accent3 2 3 3" xfId="1491"/>
    <cellStyle name="40% - Accent3 3" xfId="51"/>
    <cellStyle name="40% - Accent3 3 2" xfId="162"/>
    <cellStyle name="40% - Accent3 3 2 2" xfId="548"/>
    <cellStyle name="40% - Accent3 3 2 2 2" xfId="671"/>
    <cellStyle name="40% - Accent3 3 2 2 2 2" xfId="1203"/>
    <cellStyle name="40% - Accent3 3 2 2 2 3" xfId="1493"/>
    <cellStyle name="40% - Accent3 3 2 2 3" xfId="1018"/>
    <cellStyle name="40% - Accent3 3 2 2 3 2" xfId="1308"/>
    <cellStyle name="40% - Accent3 3 2 2 3 3" xfId="1598"/>
    <cellStyle name="40% - Accent3 3 2 2 4" xfId="1098"/>
    <cellStyle name="40% - Accent3 3 2 2 5" xfId="1388"/>
    <cellStyle name="40% - Accent3 3 2 3" xfId="670"/>
    <cellStyle name="40% - Accent3 3 2 3 2" xfId="1202"/>
    <cellStyle name="40% - Accent3 3 2 3 3" xfId="1492"/>
    <cellStyle name="40% - Accent3 3 3" xfId="569"/>
    <cellStyle name="40% - Accent3 3 3 2" xfId="673"/>
    <cellStyle name="40% - Accent3 3 3 2 2" xfId="1205"/>
    <cellStyle name="40% - Accent3 3 3 2 3" xfId="1495"/>
    <cellStyle name="40% - Accent3 3 3 3" xfId="672"/>
    <cellStyle name="40% - Accent3 3 3 3 2" xfId="1204"/>
    <cellStyle name="40% - Accent3 3 3 3 3" xfId="1494"/>
    <cellStyle name="40% - Accent3 3 3 4" xfId="1039"/>
    <cellStyle name="40% - Accent3 3 3 4 2" xfId="1329"/>
    <cellStyle name="40% - Accent3 3 3 4 3" xfId="1619"/>
    <cellStyle name="40% - Accent3 3 3 5" xfId="1119"/>
    <cellStyle name="40% - Accent3 3 3 6" xfId="1409"/>
    <cellStyle name="40% - Accent3 3 4" xfId="570"/>
    <cellStyle name="40% - Accent3 3 4 2" xfId="675"/>
    <cellStyle name="40% - Accent3 3 4 2 2" xfId="1207"/>
    <cellStyle name="40% - Accent3 3 4 2 3" xfId="1497"/>
    <cellStyle name="40% - Accent3 3 4 3" xfId="674"/>
    <cellStyle name="40% - Accent3 3 4 3 2" xfId="1206"/>
    <cellStyle name="40% - Accent3 3 4 3 3" xfId="1496"/>
    <cellStyle name="40% - Accent3 3 4 4" xfId="1040"/>
    <cellStyle name="40% - Accent3 3 4 4 2" xfId="1330"/>
    <cellStyle name="40% - Accent3 3 4 4 3" xfId="1620"/>
    <cellStyle name="40% - Accent3 3 4 5" xfId="1120"/>
    <cellStyle name="40% - Accent3 3 4 6" xfId="1410"/>
    <cellStyle name="40% - Accent3 3 5" xfId="532"/>
    <cellStyle name="40% - Accent3 3 5 2" xfId="676"/>
    <cellStyle name="40% - Accent3 3 5 2 2" xfId="1208"/>
    <cellStyle name="40% - Accent3 3 5 2 3" xfId="1498"/>
    <cellStyle name="40% - Accent3 3 5 3" xfId="1005"/>
    <cellStyle name="40% - Accent3 3 5 3 2" xfId="1295"/>
    <cellStyle name="40% - Accent3 3 5 3 3" xfId="1585"/>
    <cellStyle name="40% - Accent3 3 5 4" xfId="1085"/>
    <cellStyle name="40% - Accent3 3 5 5" xfId="1375"/>
    <cellStyle name="40% - Accent3 3 6" xfId="677"/>
    <cellStyle name="40% - Accent3 3 6 2" xfId="1209"/>
    <cellStyle name="40% - Accent3 3 6 3" xfId="1499"/>
    <cellStyle name="40% - Accent3 3 7" xfId="977"/>
    <cellStyle name="40% - Accent3 3 7 2" xfId="1267"/>
    <cellStyle name="40% - Accent3 3 7 3" xfId="1557"/>
    <cellStyle name="40% - Accent3 3 8" xfId="1057"/>
    <cellStyle name="40% - Accent3 3 9" xfId="1347"/>
    <cellStyle name="40% - Accent4 2" xfId="52"/>
    <cellStyle name="40% - Accent4 2 2" xfId="161"/>
    <cellStyle name="40% - Accent4 2 2 2" xfId="679"/>
    <cellStyle name="40% - Accent4 2 2 3" xfId="984"/>
    <cellStyle name="40% - Accent4 2 2 3 2" xfId="1274"/>
    <cellStyle name="40% - Accent4 2 2 3 3" xfId="1564"/>
    <cellStyle name="40% - Accent4 2 2 4" xfId="1064"/>
    <cellStyle name="40% - Accent4 2 2 5" xfId="1354"/>
    <cellStyle name="40% - Accent4 2 3" xfId="678"/>
    <cellStyle name="40% - Accent4 2 3 2" xfId="1210"/>
    <cellStyle name="40% - Accent4 2 3 3" xfId="1500"/>
    <cellStyle name="40% - Accent4 3" xfId="53"/>
    <cellStyle name="40% - Accent4 3 2" xfId="160"/>
    <cellStyle name="40% - Accent4 3 2 2" xfId="549"/>
    <cellStyle name="40% - Accent4 3 2 2 2" xfId="681"/>
    <cellStyle name="40% - Accent4 3 2 2 2 2" xfId="1212"/>
    <cellStyle name="40% - Accent4 3 2 2 2 3" xfId="1502"/>
    <cellStyle name="40% - Accent4 3 2 2 3" xfId="1019"/>
    <cellStyle name="40% - Accent4 3 2 2 3 2" xfId="1309"/>
    <cellStyle name="40% - Accent4 3 2 2 3 3" xfId="1599"/>
    <cellStyle name="40% - Accent4 3 2 2 4" xfId="1099"/>
    <cellStyle name="40% - Accent4 3 2 2 5" xfId="1389"/>
    <cellStyle name="40% - Accent4 3 2 3" xfId="680"/>
    <cellStyle name="40% - Accent4 3 2 3 2" xfId="1211"/>
    <cellStyle name="40% - Accent4 3 2 3 3" xfId="1501"/>
    <cellStyle name="40% - Accent4 3 3" xfId="571"/>
    <cellStyle name="40% - Accent4 3 3 2" xfId="683"/>
    <cellStyle name="40% - Accent4 3 3 2 2" xfId="1214"/>
    <cellStyle name="40% - Accent4 3 3 2 3" xfId="1504"/>
    <cellStyle name="40% - Accent4 3 3 3" xfId="682"/>
    <cellStyle name="40% - Accent4 3 3 3 2" xfId="1213"/>
    <cellStyle name="40% - Accent4 3 3 3 3" xfId="1503"/>
    <cellStyle name="40% - Accent4 3 3 4" xfId="1041"/>
    <cellStyle name="40% - Accent4 3 3 4 2" xfId="1331"/>
    <cellStyle name="40% - Accent4 3 3 4 3" xfId="1621"/>
    <cellStyle name="40% - Accent4 3 3 5" xfId="1121"/>
    <cellStyle name="40% - Accent4 3 3 6" xfId="1411"/>
    <cellStyle name="40% - Accent4 3 4" xfId="572"/>
    <cellStyle name="40% - Accent4 3 4 2" xfId="685"/>
    <cellStyle name="40% - Accent4 3 4 2 2" xfId="1216"/>
    <cellStyle name="40% - Accent4 3 4 2 3" xfId="1506"/>
    <cellStyle name="40% - Accent4 3 4 3" xfId="684"/>
    <cellStyle name="40% - Accent4 3 4 3 2" xfId="1215"/>
    <cellStyle name="40% - Accent4 3 4 3 3" xfId="1505"/>
    <cellStyle name="40% - Accent4 3 4 4" xfId="1042"/>
    <cellStyle name="40% - Accent4 3 4 4 2" xfId="1332"/>
    <cellStyle name="40% - Accent4 3 4 4 3" xfId="1622"/>
    <cellStyle name="40% - Accent4 3 4 5" xfId="1122"/>
    <cellStyle name="40% - Accent4 3 4 6" xfId="1412"/>
    <cellStyle name="40% - Accent4 3 5" xfId="533"/>
    <cellStyle name="40% - Accent4 3 5 2" xfId="686"/>
    <cellStyle name="40% - Accent4 3 5 2 2" xfId="1217"/>
    <cellStyle name="40% - Accent4 3 5 2 3" xfId="1507"/>
    <cellStyle name="40% - Accent4 3 5 3" xfId="1006"/>
    <cellStyle name="40% - Accent4 3 5 3 2" xfId="1296"/>
    <cellStyle name="40% - Accent4 3 5 3 3" xfId="1586"/>
    <cellStyle name="40% - Accent4 3 5 4" xfId="1086"/>
    <cellStyle name="40% - Accent4 3 5 5" xfId="1376"/>
    <cellStyle name="40% - Accent4 3 6" xfId="687"/>
    <cellStyle name="40% - Accent4 3 6 2" xfId="1218"/>
    <cellStyle name="40% - Accent4 3 6 3" xfId="1508"/>
    <cellStyle name="40% - Accent4 3 7" xfId="978"/>
    <cellStyle name="40% - Accent4 3 7 2" xfId="1268"/>
    <cellStyle name="40% - Accent4 3 7 3" xfId="1558"/>
    <cellStyle name="40% - Accent4 3 8" xfId="1058"/>
    <cellStyle name="40% - Accent4 3 9" xfId="1348"/>
    <cellStyle name="40% - Accent5 2" xfId="54"/>
    <cellStyle name="40% - Accent5 2 2" xfId="159"/>
    <cellStyle name="40% - Accent5 2 2 2" xfId="689"/>
    <cellStyle name="40% - Accent5 2 2 3" xfId="983"/>
    <cellStyle name="40% - Accent5 2 2 3 2" xfId="1273"/>
    <cellStyle name="40% - Accent5 2 2 3 3" xfId="1563"/>
    <cellStyle name="40% - Accent5 2 2 4" xfId="1063"/>
    <cellStyle name="40% - Accent5 2 2 5" xfId="1353"/>
    <cellStyle name="40% - Accent5 2 3" xfId="688"/>
    <cellStyle name="40% - Accent5 2 3 2" xfId="1219"/>
    <cellStyle name="40% - Accent5 2 3 3" xfId="1509"/>
    <cellStyle name="40% - Accent5 3" xfId="55"/>
    <cellStyle name="40% - Accent5 3 2" xfId="158"/>
    <cellStyle name="40% - Accent5 3 2 2" xfId="550"/>
    <cellStyle name="40% - Accent5 3 2 2 2" xfId="691"/>
    <cellStyle name="40% - Accent5 3 2 2 2 2" xfId="1221"/>
    <cellStyle name="40% - Accent5 3 2 2 2 3" xfId="1511"/>
    <cellStyle name="40% - Accent5 3 2 2 3" xfId="1020"/>
    <cellStyle name="40% - Accent5 3 2 2 3 2" xfId="1310"/>
    <cellStyle name="40% - Accent5 3 2 2 3 3" xfId="1600"/>
    <cellStyle name="40% - Accent5 3 2 2 4" xfId="1100"/>
    <cellStyle name="40% - Accent5 3 2 2 5" xfId="1390"/>
    <cellStyle name="40% - Accent5 3 2 3" xfId="690"/>
    <cellStyle name="40% - Accent5 3 2 3 2" xfId="1220"/>
    <cellStyle name="40% - Accent5 3 2 3 3" xfId="1510"/>
    <cellStyle name="40% - Accent5 3 3" xfId="573"/>
    <cellStyle name="40% - Accent5 3 3 2" xfId="693"/>
    <cellStyle name="40% - Accent5 3 3 2 2" xfId="1223"/>
    <cellStyle name="40% - Accent5 3 3 2 3" xfId="1513"/>
    <cellStyle name="40% - Accent5 3 3 3" xfId="692"/>
    <cellStyle name="40% - Accent5 3 3 3 2" xfId="1222"/>
    <cellStyle name="40% - Accent5 3 3 3 3" xfId="1512"/>
    <cellStyle name="40% - Accent5 3 3 4" xfId="1043"/>
    <cellStyle name="40% - Accent5 3 3 4 2" xfId="1333"/>
    <cellStyle name="40% - Accent5 3 3 4 3" xfId="1623"/>
    <cellStyle name="40% - Accent5 3 3 5" xfId="1123"/>
    <cellStyle name="40% - Accent5 3 3 6" xfId="1413"/>
    <cellStyle name="40% - Accent5 3 4" xfId="574"/>
    <cellStyle name="40% - Accent5 3 4 2" xfId="695"/>
    <cellStyle name="40% - Accent5 3 4 2 2" xfId="1225"/>
    <cellStyle name="40% - Accent5 3 4 2 3" xfId="1515"/>
    <cellStyle name="40% - Accent5 3 4 3" xfId="694"/>
    <cellStyle name="40% - Accent5 3 4 3 2" xfId="1224"/>
    <cellStyle name="40% - Accent5 3 4 3 3" xfId="1514"/>
    <cellStyle name="40% - Accent5 3 4 4" xfId="1044"/>
    <cellStyle name="40% - Accent5 3 4 4 2" xfId="1334"/>
    <cellStyle name="40% - Accent5 3 4 4 3" xfId="1624"/>
    <cellStyle name="40% - Accent5 3 4 5" xfId="1124"/>
    <cellStyle name="40% - Accent5 3 4 6" xfId="1414"/>
    <cellStyle name="40% - Accent5 3 5" xfId="534"/>
    <cellStyle name="40% - Accent5 3 5 2" xfId="696"/>
    <cellStyle name="40% - Accent5 3 5 2 2" xfId="1226"/>
    <cellStyle name="40% - Accent5 3 5 2 3" xfId="1516"/>
    <cellStyle name="40% - Accent5 3 5 3" xfId="1007"/>
    <cellStyle name="40% - Accent5 3 5 3 2" xfId="1297"/>
    <cellStyle name="40% - Accent5 3 5 3 3" xfId="1587"/>
    <cellStyle name="40% - Accent5 3 5 4" xfId="1087"/>
    <cellStyle name="40% - Accent5 3 5 5" xfId="1377"/>
    <cellStyle name="40% - Accent5 3 6" xfId="697"/>
    <cellStyle name="40% - Accent5 3 6 2" xfId="1227"/>
    <cellStyle name="40% - Accent5 3 6 3" xfId="1517"/>
    <cellStyle name="40% - Accent5 3 7" xfId="979"/>
    <cellStyle name="40% - Accent5 3 7 2" xfId="1269"/>
    <cellStyle name="40% - Accent5 3 7 3" xfId="1559"/>
    <cellStyle name="40% - Accent5 3 8" xfId="1059"/>
    <cellStyle name="40% - Accent5 3 9" xfId="1349"/>
    <cellStyle name="40% - Accent6 2" xfId="56"/>
    <cellStyle name="40% - Accent6 2 2" xfId="157"/>
    <cellStyle name="40% - Accent6 2 2 2" xfId="699"/>
    <cellStyle name="40% - Accent6 2 2 3" xfId="982"/>
    <cellStyle name="40% - Accent6 2 2 3 2" xfId="1272"/>
    <cellStyle name="40% - Accent6 2 2 3 3" xfId="1562"/>
    <cellStyle name="40% - Accent6 2 2 4" xfId="1062"/>
    <cellStyle name="40% - Accent6 2 2 5" xfId="1352"/>
    <cellStyle name="40% - Accent6 2 3" xfId="698"/>
    <cellStyle name="40% - Accent6 2 3 2" xfId="1228"/>
    <cellStyle name="40% - Accent6 2 3 3" xfId="1518"/>
    <cellStyle name="40% - Accent6 3" xfId="57"/>
    <cellStyle name="40% - Accent6 3 2" xfId="442"/>
    <cellStyle name="40% - Accent6 3 2 2" xfId="551"/>
    <cellStyle name="40% - Accent6 3 2 2 2" xfId="701"/>
    <cellStyle name="40% - Accent6 3 2 2 2 2" xfId="1230"/>
    <cellStyle name="40% - Accent6 3 2 2 2 3" xfId="1520"/>
    <cellStyle name="40% - Accent6 3 2 2 3" xfId="1021"/>
    <cellStyle name="40% - Accent6 3 2 2 3 2" xfId="1311"/>
    <cellStyle name="40% - Accent6 3 2 2 3 3" xfId="1601"/>
    <cellStyle name="40% - Accent6 3 2 2 4" xfId="1101"/>
    <cellStyle name="40% - Accent6 3 2 2 5" xfId="1391"/>
    <cellStyle name="40% - Accent6 3 2 3" xfId="700"/>
    <cellStyle name="40% - Accent6 3 2 3 2" xfId="1229"/>
    <cellStyle name="40% - Accent6 3 2 3 3" xfId="1519"/>
    <cellStyle name="40% - Accent6 3 3" xfId="575"/>
    <cellStyle name="40% - Accent6 3 3 2" xfId="703"/>
    <cellStyle name="40% - Accent6 3 3 2 2" xfId="1232"/>
    <cellStyle name="40% - Accent6 3 3 2 3" xfId="1522"/>
    <cellStyle name="40% - Accent6 3 3 3" xfId="702"/>
    <cellStyle name="40% - Accent6 3 3 3 2" xfId="1231"/>
    <cellStyle name="40% - Accent6 3 3 3 3" xfId="1521"/>
    <cellStyle name="40% - Accent6 3 3 4" xfId="1045"/>
    <cellStyle name="40% - Accent6 3 3 4 2" xfId="1335"/>
    <cellStyle name="40% - Accent6 3 3 4 3" xfId="1625"/>
    <cellStyle name="40% - Accent6 3 3 5" xfId="1125"/>
    <cellStyle name="40% - Accent6 3 3 6" xfId="1415"/>
    <cellStyle name="40% - Accent6 3 4" xfId="576"/>
    <cellStyle name="40% - Accent6 3 4 2" xfId="705"/>
    <cellStyle name="40% - Accent6 3 4 2 2" xfId="1234"/>
    <cellStyle name="40% - Accent6 3 4 2 3" xfId="1524"/>
    <cellStyle name="40% - Accent6 3 4 3" xfId="704"/>
    <cellStyle name="40% - Accent6 3 4 3 2" xfId="1233"/>
    <cellStyle name="40% - Accent6 3 4 3 3" xfId="1523"/>
    <cellStyle name="40% - Accent6 3 4 4" xfId="1046"/>
    <cellStyle name="40% - Accent6 3 4 4 2" xfId="1336"/>
    <cellStyle name="40% - Accent6 3 4 4 3" xfId="1626"/>
    <cellStyle name="40% - Accent6 3 4 5" xfId="1126"/>
    <cellStyle name="40% - Accent6 3 4 6" xfId="1416"/>
    <cellStyle name="40% - Accent6 3 5" xfId="535"/>
    <cellStyle name="40% - Accent6 3 5 2" xfId="706"/>
    <cellStyle name="40% - Accent6 3 5 2 2" xfId="1235"/>
    <cellStyle name="40% - Accent6 3 5 2 3" xfId="1525"/>
    <cellStyle name="40% - Accent6 3 5 3" xfId="1008"/>
    <cellStyle name="40% - Accent6 3 5 3 2" xfId="1298"/>
    <cellStyle name="40% - Accent6 3 5 3 3" xfId="1588"/>
    <cellStyle name="40% - Accent6 3 5 4" xfId="1088"/>
    <cellStyle name="40% - Accent6 3 5 5" xfId="1378"/>
    <cellStyle name="40% - Accent6 3 6" xfId="707"/>
    <cellStyle name="40% - Accent6 3 6 2" xfId="1236"/>
    <cellStyle name="40% - Accent6 3 6 3" xfId="1526"/>
    <cellStyle name="40% - Accent6 3 7" xfId="980"/>
    <cellStyle name="40% - Accent6 3 7 2" xfId="1270"/>
    <cellStyle name="40% - Accent6 3 7 3" xfId="1560"/>
    <cellStyle name="40% - Accent6 3 8" xfId="1060"/>
    <cellStyle name="40% - Accent6 3 9" xfId="1350"/>
    <cellStyle name="5" xfId="58"/>
    <cellStyle name="6" xfId="59"/>
    <cellStyle name="60% - Accent1 2" xfId="60"/>
    <cellStyle name="60% - Accent1 2 2" xfId="443"/>
    <cellStyle name="60% - Accent1 2 2 2" xfId="708"/>
    <cellStyle name="60% - Accent1 2 2 2 2" xfId="1237"/>
    <cellStyle name="60% - Accent1 2 2 2 3" xfId="1527"/>
    <cellStyle name="60% - Accent1 2 3" xfId="709"/>
    <cellStyle name="60% - Accent1 3" xfId="61"/>
    <cellStyle name="60% - Accent1 3 2" xfId="444"/>
    <cellStyle name="60% - Accent1 3 2 2" xfId="710"/>
    <cellStyle name="60% - Accent2 2" xfId="62"/>
    <cellStyle name="60% - Accent2 2 2" xfId="445"/>
    <cellStyle name="60% - Accent2 2 2 2" xfId="711"/>
    <cellStyle name="60% - Accent2 2 2 2 2" xfId="1238"/>
    <cellStyle name="60% - Accent2 2 2 2 3" xfId="1528"/>
    <cellStyle name="60% - Accent2 2 3" xfId="712"/>
    <cellStyle name="60% - Accent2 3" xfId="63"/>
    <cellStyle name="60% - Accent2 3 2" xfId="446"/>
    <cellStyle name="60% - Accent2 3 2 2" xfId="713"/>
    <cellStyle name="60% - Accent3 2" xfId="64"/>
    <cellStyle name="60% - Accent3 2 2" xfId="447"/>
    <cellStyle name="60% - Accent3 2 2 2" xfId="714"/>
    <cellStyle name="60% - Accent3 2 2 2 2" xfId="1239"/>
    <cellStyle name="60% - Accent3 2 2 2 3" xfId="1529"/>
    <cellStyle name="60% - Accent3 2 3" xfId="715"/>
    <cellStyle name="60% - Accent3 3" xfId="65"/>
    <cellStyle name="60% - Accent3 3 2" xfId="448"/>
    <cellStyle name="60% - Accent3 3 2 2" xfId="716"/>
    <cellStyle name="60% - Accent4 2" xfId="66"/>
    <cellStyle name="60% - Accent4 2 2" xfId="449"/>
    <cellStyle name="60% - Accent4 2 2 2" xfId="717"/>
    <cellStyle name="60% - Accent4 2 2 2 2" xfId="1240"/>
    <cellStyle name="60% - Accent4 2 2 2 3" xfId="1530"/>
    <cellStyle name="60% - Accent4 2 3" xfId="718"/>
    <cellStyle name="60% - Accent4 3" xfId="67"/>
    <cellStyle name="60% - Accent4 3 2" xfId="450"/>
    <cellStyle name="60% - Accent4 3 2 2" xfId="719"/>
    <cellStyle name="60% - Accent5 2" xfId="68"/>
    <cellStyle name="60% - Accent5 2 2" xfId="451"/>
    <cellStyle name="60% - Accent5 2 2 2" xfId="720"/>
    <cellStyle name="60% - Accent5 2 2 2 2" xfId="1241"/>
    <cellStyle name="60% - Accent5 2 2 2 3" xfId="1531"/>
    <cellStyle name="60% - Accent5 2 3" xfId="721"/>
    <cellStyle name="60% - Accent5 3" xfId="69"/>
    <cellStyle name="60% - Accent5 3 2" xfId="452"/>
    <cellStyle name="60% - Accent5 3 2 2" xfId="722"/>
    <cellStyle name="60% - Accent6 2" xfId="70"/>
    <cellStyle name="60% - Accent6 2 2" xfId="453"/>
    <cellStyle name="60% - Accent6 2 2 2" xfId="723"/>
    <cellStyle name="60% - Accent6 2 2 2 2" xfId="1242"/>
    <cellStyle name="60% - Accent6 2 2 2 3" xfId="1532"/>
    <cellStyle name="60% - Accent6 2 3" xfId="724"/>
    <cellStyle name="60% - Accent6 3" xfId="71"/>
    <cellStyle name="60% - Accent6 3 2" xfId="454"/>
    <cellStyle name="60% - Accent6 3 2 2" xfId="725"/>
    <cellStyle name="7" xfId="72"/>
    <cellStyle name="8" xfId="73"/>
    <cellStyle name="9" xfId="74"/>
    <cellStyle name="Accent1 - 20%" xfId="164"/>
    <cellStyle name="Accent1 - 40%" xfId="165"/>
    <cellStyle name="Accent1 - 60%" xfId="166"/>
    <cellStyle name="Accent1 10" xfId="167"/>
    <cellStyle name="Accent1 11" xfId="168"/>
    <cellStyle name="Accent1 12" xfId="169"/>
    <cellStyle name="Accent1 13" xfId="170"/>
    <cellStyle name="Accent1 14" xfId="455"/>
    <cellStyle name="Accent1 15" xfId="511"/>
    <cellStyle name="Accent1 16" xfId="522"/>
    <cellStyle name="Accent1 17" xfId="726"/>
    <cellStyle name="Accent1 18" xfId="809"/>
    <cellStyle name="Accent1 19" xfId="962"/>
    <cellStyle name="Accent1 2" xfId="75"/>
    <cellStyle name="Accent1 2 2" xfId="171"/>
    <cellStyle name="Accent1 2 2 2" xfId="727"/>
    <cellStyle name="Accent1 2 3" xfId="456"/>
    <cellStyle name="Accent1 2 3 2" xfId="728"/>
    <cellStyle name="Accent1 2 4" xfId="729"/>
    <cellStyle name="Accent1 20" xfId="817"/>
    <cellStyle name="Accent1 21" xfId="964"/>
    <cellStyle name="Accent1 22" xfId="819"/>
    <cellStyle name="Accent1 23" xfId="966"/>
    <cellStyle name="Accent1 24" xfId="821"/>
    <cellStyle name="Accent1 25" xfId="967"/>
    <cellStyle name="Accent1 26" xfId="822"/>
    <cellStyle name="Accent1 27" xfId="968"/>
    <cellStyle name="Accent1 28" xfId="827"/>
    <cellStyle name="Accent1 3" xfId="76"/>
    <cellStyle name="Accent1 3 2" xfId="172"/>
    <cellStyle name="Accent1 3 2 2" xfId="730"/>
    <cellStyle name="Accent1 3 3" xfId="457"/>
    <cellStyle name="Accent1 3 3 2" xfId="731"/>
    <cellStyle name="Accent1 3 4" xfId="732"/>
    <cellStyle name="Accent1 4" xfId="173"/>
    <cellStyle name="Accent1 4 2" xfId="733"/>
    <cellStyle name="Accent1 5" xfId="174"/>
    <cellStyle name="Accent1 6" xfId="175"/>
    <cellStyle name="Accent1 7" xfId="176"/>
    <cellStyle name="Accent1 8" xfId="177"/>
    <cellStyle name="Accent1 9" xfId="178"/>
    <cellStyle name="Accent2 - 20%" xfId="179"/>
    <cellStyle name="Accent2 - 40%" xfId="180"/>
    <cellStyle name="Accent2 - 60%" xfId="181"/>
    <cellStyle name="Accent2 10" xfId="182"/>
    <cellStyle name="Accent2 11" xfId="183"/>
    <cellStyle name="Accent2 12" xfId="184"/>
    <cellStyle name="Accent2 13" xfId="185"/>
    <cellStyle name="Accent2 14" xfId="458"/>
    <cellStyle name="Accent2 15" xfId="513"/>
    <cellStyle name="Accent2 16" xfId="521"/>
    <cellStyle name="Accent2 17" xfId="734"/>
    <cellStyle name="Accent2 18" xfId="796"/>
    <cellStyle name="Accent2 19" xfId="958"/>
    <cellStyle name="Accent2 2" xfId="77"/>
    <cellStyle name="Accent2 2 2" xfId="186"/>
    <cellStyle name="Accent2 2 2 2" xfId="735"/>
    <cellStyle name="Accent2 2 3" xfId="459"/>
    <cellStyle name="Accent2 2 3 2" xfId="736"/>
    <cellStyle name="Accent2 2 4" xfId="737"/>
    <cellStyle name="Accent2 20" xfId="801"/>
    <cellStyle name="Accent2 21" xfId="960"/>
    <cellStyle name="Accent2 22" xfId="804"/>
    <cellStyle name="Accent2 23" xfId="961"/>
    <cellStyle name="Accent2 24" xfId="814"/>
    <cellStyle name="Accent2 25" xfId="963"/>
    <cellStyle name="Accent2 26" xfId="818"/>
    <cellStyle name="Accent2 27" xfId="965"/>
    <cellStyle name="Accent2 28" xfId="820"/>
    <cellStyle name="Accent2 3" xfId="78"/>
    <cellStyle name="Accent2 3 2" xfId="187"/>
    <cellStyle name="Accent2 3 2 2" xfId="738"/>
    <cellStyle name="Accent2 3 3" xfId="460"/>
    <cellStyle name="Accent2 3 3 2" xfId="739"/>
    <cellStyle name="Accent2 3 4" xfId="740"/>
    <cellStyle name="Accent2 4" xfId="188"/>
    <cellStyle name="Accent2 4 2" xfId="741"/>
    <cellStyle name="Accent2 5" xfId="189"/>
    <cellStyle name="Accent2 6" xfId="190"/>
    <cellStyle name="Accent2 7" xfId="191"/>
    <cellStyle name="Accent2 8" xfId="192"/>
    <cellStyle name="Accent2 9" xfId="193"/>
    <cellStyle name="Accent3 - 20%" xfId="194"/>
    <cellStyle name="Accent3 - 40%" xfId="195"/>
    <cellStyle name="Accent3 - 60%" xfId="196"/>
    <cellStyle name="Accent3 10" xfId="197"/>
    <cellStyle name="Accent3 11" xfId="198"/>
    <cellStyle name="Accent3 12" xfId="199"/>
    <cellStyle name="Accent3 13" xfId="200"/>
    <cellStyle name="Accent3 14" xfId="461"/>
    <cellStyle name="Accent3 15" xfId="514"/>
    <cellStyle name="Accent3 16" xfId="520"/>
    <cellStyle name="Accent3 17" xfId="742"/>
    <cellStyle name="Accent3 18" xfId="791"/>
    <cellStyle name="Accent3 19" xfId="954"/>
    <cellStyle name="Accent3 2" xfId="79"/>
    <cellStyle name="Accent3 2 2" xfId="201"/>
    <cellStyle name="Accent3 2 2 2" xfId="747"/>
    <cellStyle name="Accent3 2 3" xfId="462"/>
    <cellStyle name="Accent3 2 3 2" xfId="748"/>
    <cellStyle name="Accent3 2 4" xfId="749"/>
    <cellStyle name="Accent3 20" xfId="793"/>
    <cellStyle name="Accent3 21" xfId="955"/>
    <cellStyle name="Accent3 22" xfId="794"/>
    <cellStyle name="Accent3 23" xfId="956"/>
    <cellStyle name="Accent3 24" xfId="795"/>
    <cellStyle name="Accent3 25" xfId="957"/>
    <cellStyle name="Accent3 26" xfId="797"/>
    <cellStyle name="Accent3 27" xfId="959"/>
    <cellStyle name="Accent3 28" xfId="803"/>
    <cellStyle name="Accent3 3" xfId="80"/>
    <cellStyle name="Accent3 3 2" xfId="202"/>
    <cellStyle name="Accent3 3 2 2" xfId="751"/>
    <cellStyle name="Accent3 3 3" xfId="463"/>
    <cellStyle name="Accent3 3 3 2" xfId="752"/>
    <cellStyle name="Accent3 3 4" xfId="753"/>
    <cellStyle name="Accent3 4" xfId="203"/>
    <cellStyle name="Accent3 4 2" xfId="754"/>
    <cellStyle name="Accent3 5" xfId="204"/>
    <cellStyle name="Accent3 6" xfId="205"/>
    <cellStyle name="Accent3 7" xfId="206"/>
    <cellStyle name="Accent3 8" xfId="207"/>
    <cellStyle name="Accent3 9" xfId="208"/>
    <cellStyle name="Accent4 - 20%" xfId="209"/>
    <cellStyle name="Accent4 - 40%" xfId="210"/>
    <cellStyle name="Accent4 - 60%" xfId="211"/>
    <cellStyle name="Accent4 10" xfId="212"/>
    <cellStyle name="Accent4 11" xfId="213"/>
    <cellStyle name="Accent4 12" xfId="214"/>
    <cellStyle name="Accent4 13" xfId="215"/>
    <cellStyle name="Accent4 14" xfId="464"/>
    <cellStyle name="Accent4 15" xfId="516"/>
    <cellStyle name="Accent4 16" xfId="517"/>
    <cellStyle name="Accent4 17" xfId="755"/>
    <cellStyle name="Accent4 18" xfId="786"/>
    <cellStyle name="Accent4 19" xfId="949"/>
    <cellStyle name="Accent4 2" xfId="81"/>
    <cellStyle name="Accent4 2 2" xfId="216"/>
    <cellStyle name="Accent4 2 2 2" xfId="757"/>
    <cellStyle name="Accent4 2 3" xfId="465"/>
    <cellStyle name="Accent4 2 3 2" xfId="758"/>
    <cellStyle name="Accent4 2 4" xfId="759"/>
    <cellStyle name="Accent4 20" xfId="787"/>
    <cellStyle name="Accent4 21" xfId="950"/>
    <cellStyle name="Accent4 22" xfId="788"/>
    <cellStyle name="Accent4 23" xfId="951"/>
    <cellStyle name="Accent4 24" xfId="789"/>
    <cellStyle name="Accent4 25" xfId="952"/>
    <cellStyle name="Accent4 26" xfId="790"/>
    <cellStyle name="Accent4 27" xfId="953"/>
    <cellStyle name="Accent4 28" xfId="792"/>
    <cellStyle name="Accent4 3" xfId="82"/>
    <cellStyle name="Accent4 3 2" xfId="217"/>
    <cellStyle name="Accent4 3 2 2" xfId="760"/>
    <cellStyle name="Accent4 3 3" xfId="466"/>
    <cellStyle name="Accent4 3 3 2" xfId="761"/>
    <cellStyle name="Accent4 3 4" xfId="762"/>
    <cellStyle name="Accent4 4" xfId="218"/>
    <cellStyle name="Accent4 4 2" xfId="763"/>
    <cellStyle name="Accent4 5" xfId="219"/>
    <cellStyle name="Accent4 6" xfId="220"/>
    <cellStyle name="Accent4 7" xfId="221"/>
    <cellStyle name="Accent4 8" xfId="222"/>
    <cellStyle name="Accent4 9" xfId="223"/>
    <cellStyle name="Accent5 - 20%" xfId="224"/>
    <cellStyle name="Accent5 - 40%" xfId="225"/>
    <cellStyle name="Accent5 - 60%" xfId="226"/>
    <cellStyle name="Accent5 10" xfId="227"/>
    <cellStyle name="Accent5 11" xfId="228"/>
    <cellStyle name="Accent5 12" xfId="229"/>
    <cellStyle name="Accent5 13" xfId="230"/>
    <cellStyle name="Accent5 14" xfId="467"/>
    <cellStyle name="Accent5 15" xfId="518"/>
    <cellStyle name="Accent5 16" xfId="515"/>
    <cellStyle name="Accent5 17" xfId="764"/>
    <cellStyle name="Accent5 18" xfId="765"/>
    <cellStyle name="Accent5 19" xfId="944"/>
    <cellStyle name="Accent5 2" xfId="83"/>
    <cellStyle name="Accent5 2 2" xfId="231"/>
    <cellStyle name="Accent5 2 2 2" xfId="766"/>
    <cellStyle name="Accent5 2 3" xfId="468"/>
    <cellStyle name="Accent5 2 3 2" xfId="767"/>
    <cellStyle name="Accent5 2 4" xfId="768"/>
    <cellStyle name="Accent5 20" xfId="774"/>
    <cellStyle name="Accent5 21" xfId="945"/>
    <cellStyle name="Accent5 22" xfId="775"/>
    <cellStyle name="Accent5 23" xfId="946"/>
    <cellStyle name="Accent5 24" xfId="779"/>
    <cellStyle name="Accent5 25" xfId="947"/>
    <cellStyle name="Accent5 26" xfId="784"/>
    <cellStyle name="Accent5 27" xfId="948"/>
    <cellStyle name="Accent5 28" xfId="785"/>
    <cellStyle name="Accent5 3" xfId="84"/>
    <cellStyle name="Accent5 3 2" xfId="232"/>
    <cellStyle name="Accent5 3 2 2" xfId="769"/>
    <cellStyle name="Accent5 3 3" xfId="469"/>
    <cellStyle name="Accent5 3 3 2" xfId="770"/>
    <cellStyle name="Accent5 3 4" xfId="771"/>
    <cellStyle name="Accent5 4" xfId="233"/>
    <cellStyle name="Accent5 4 2" xfId="772"/>
    <cellStyle name="Accent5 5" xfId="234"/>
    <cellStyle name="Accent5 6" xfId="235"/>
    <cellStyle name="Accent5 7" xfId="236"/>
    <cellStyle name="Accent5 8" xfId="237"/>
    <cellStyle name="Accent5 9" xfId="238"/>
    <cellStyle name="Accent6 - 20%" xfId="239"/>
    <cellStyle name="Accent6 - 40%" xfId="240"/>
    <cellStyle name="Accent6 - 60%" xfId="241"/>
    <cellStyle name="Accent6 10" xfId="242"/>
    <cellStyle name="Accent6 11" xfId="243"/>
    <cellStyle name="Accent6 12" xfId="244"/>
    <cellStyle name="Accent6 13" xfId="245"/>
    <cellStyle name="Accent6 14" xfId="470"/>
    <cellStyle name="Accent6 15" xfId="519"/>
    <cellStyle name="Accent6 16" xfId="512"/>
    <cellStyle name="Accent6 17" xfId="773"/>
    <cellStyle name="Accent6 18" xfId="743"/>
    <cellStyle name="Accent6 19" xfId="939"/>
    <cellStyle name="Accent6 2" xfId="85"/>
    <cellStyle name="Accent6 2 2" xfId="246"/>
    <cellStyle name="Accent6 2 2 2" xfId="776"/>
    <cellStyle name="Accent6 2 3" xfId="471"/>
    <cellStyle name="Accent6 2 3 2" xfId="777"/>
    <cellStyle name="Accent6 2 4" xfId="778"/>
    <cellStyle name="Accent6 20" xfId="744"/>
    <cellStyle name="Accent6 21" xfId="940"/>
    <cellStyle name="Accent6 22" xfId="745"/>
    <cellStyle name="Accent6 23" xfId="941"/>
    <cellStyle name="Accent6 24" xfId="746"/>
    <cellStyle name="Accent6 25" xfId="942"/>
    <cellStyle name="Accent6 26" xfId="750"/>
    <cellStyle name="Accent6 27" xfId="943"/>
    <cellStyle name="Accent6 28" xfId="756"/>
    <cellStyle name="Accent6 3" xfId="86"/>
    <cellStyle name="Accent6 3 2" xfId="247"/>
    <cellStyle name="Accent6 3 2 2" xfId="780"/>
    <cellStyle name="Accent6 3 3" xfId="472"/>
    <cellStyle name="Accent6 3 3 2" xfId="781"/>
    <cellStyle name="Accent6 3 4" xfId="782"/>
    <cellStyle name="Accent6 4" xfId="248"/>
    <cellStyle name="Accent6 4 2" xfId="783"/>
    <cellStyle name="Accent6 5" xfId="249"/>
    <cellStyle name="Accent6 6" xfId="250"/>
    <cellStyle name="Accent6 7" xfId="251"/>
    <cellStyle name="Accent6 8" xfId="252"/>
    <cellStyle name="Accent6 9" xfId="253"/>
    <cellStyle name="AccountClassificationTotalRowBalanceCol" xfId="254"/>
    <cellStyle name="AccountClassificationTotalRowDescCol" xfId="255"/>
    <cellStyle name="AccountClassificationTotalRowJERefCol" xfId="256"/>
    <cellStyle name="AccountClassificationTotalRowNameCol" xfId="257"/>
    <cellStyle name="AccountClassificationTotalRowVarPectCol" xfId="258"/>
    <cellStyle name="AccountClassificationTotalRowWPRefCol" xfId="259"/>
    <cellStyle name="AccountDetailRowBalanceCol" xfId="260"/>
    <cellStyle name="AccountDetailRowDescCol" xfId="261"/>
    <cellStyle name="AccountDetailRowJERefCol" xfId="262"/>
    <cellStyle name="AccountDetailRowNameCol" xfId="263"/>
    <cellStyle name="AccountDetailRowVarPectCol" xfId="264"/>
    <cellStyle name="AccountDetailRowWPRefCol" xfId="265"/>
    <cellStyle name="AccountNetIncomeLossRowBalanceCol" xfId="266"/>
    <cellStyle name="AccountNetIncomeLossRowDescCol" xfId="267"/>
    <cellStyle name="AccountNetIncomeLossRowJERefCol" xfId="268"/>
    <cellStyle name="AccountNetIncomeLossRowNameCol" xfId="269"/>
    <cellStyle name="AccountNetIncomeLossRowWPRefCol" xfId="270"/>
    <cellStyle name="AccountTotalBalanceCol" xfId="271"/>
    <cellStyle name="AccountTotalDescCol" xfId="272"/>
    <cellStyle name="AccountTotalDetailRowBalanceCol" xfId="273"/>
    <cellStyle name="AccountTotalDetailRowDescCol" xfId="274"/>
    <cellStyle name="AccountTotalDetailRowJERefCol" xfId="275"/>
    <cellStyle name="AccountTotalDetailRowNameCol" xfId="276"/>
    <cellStyle name="AccountTotalDetailRowVarPectCol" xfId="277"/>
    <cellStyle name="AccountTotalDetailRowWPRefCol" xfId="278"/>
    <cellStyle name="AccountTotalJERefCol" xfId="279"/>
    <cellStyle name="AccountTotalNameCol" xfId="280"/>
    <cellStyle name="AccountTotalVarPectCol" xfId="281"/>
    <cellStyle name="AccountTotalWPRefCol" xfId="282"/>
    <cellStyle name="AccountTypeTotalRowBalanceCol" xfId="283"/>
    <cellStyle name="AccountTypeTotalRowDescCol" xfId="284"/>
    <cellStyle name="AccountTypeTotalRowJERefCol" xfId="285"/>
    <cellStyle name="AccountTypeTotalRowNameCol" xfId="286"/>
    <cellStyle name="AccountTypeTotalRowVarPectCol" xfId="287"/>
    <cellStyle name="AccountTypeTotalRowWPRefCol" xfId="288"/>
    <cellStyle name="Bad 2" xfId="87"/>
    <cellStyle name="Bad 2 2" xfId="289"/>
    <cellStyle name="Bad 2 2 2" xfId="798"/>
    <cellStyle name="Bad 2 3" xfId="473"/>
    <cellStyle name="Bad 2 3 2" xfId="799"/>
    <cellStyle name="Bad 2 4" xfId="800"/>
    <cellStyle name="Bad 3" xfId="88"/>
    <cellStyle name="Bad 3 2" xfId="474"/>
    <cellStyle name="Bad 3 2 2" xfId="802"/>
    <cellStyle name="BlankRow" xfId="290"/>
    <cellStyle name="BlankRowJERefCol" xfId="291"/>
    <cellStyle name="Bold Border" xfId="89"/>
    <cellStyle name="Bottom bold border" xfId="90"/>
    <cellStyle name="Bottom single border" xfId="91"/>
    <cellStyle name="Calculation 2" xfId="92"/>
    <cellStyle name="Calculation 2 2" xfId="294"/>
    <cellStyle name="Calculation 2 2 2" xfId="805"/>
    <cellStyle name="Calculation 2 3" xfId="475"/>
    <cellStyle name="Calculation 2 3 2" xfId="806"/>
    <cellStyle name="Calculation 2 4" xfId="536"/>
    <cellStyle name="Calculation 2 4 2" xfId="807"/>
    <cellStyle name="Calculation 2 5" xfId="808"/>
    <cellStyle name="Calculation 3" xfId="93"/>
    <cellStyle name="Calculation 3 2" xfId="476"/>
    <cellStyle name="Calculation 3 2 2" xfId="810"/>
    <cellStyle name="Check Cell 2" xfId="94"/>
    <cellStyle name="Check Cell 2 2" xfId="295"/>
    <cellStyle name="Check Cell 2 2 2" xfId="811"/>
    <cellStyle name="Check Cell 2 3" xfId="477"/>
    <cellStyle name="Check Cell 2 3 2" xfId="812"/>
    <cellStyle name="Check Cell 2 4" xfId="813"/>
    <cellStyle name="Check Cell 3" xfId="95"/>
    <cellStyle name="Check Cell 3 2" xfId="478"/>
    <cellStyle name="Check Cell 3 2 2" xfId="815"/>
    <cellStyle name="checkoff" xfId="479"/>
    <cellStyle name="checkoff 2" xfId="816"/>
    <cellStyle name="ClassifiedGroupTotalRowBalanceCol" xfId="296"/>
    <cellStyle name="ClassifiedGroupTotalRowDescCol" xfId="297"/>
    <cellStyle name="ClassifiedGroupTotalRowJERefCol" xfId="298"/>
    <cellStyle name="ClassifiedGroupTotalRowNameCol" xfId="299"/>
    <cellStyle name="ClassifiedGroupTotalRowVarPectCol" xfId="300"/>
    <cellStyle name="ClassifiedGroupTotalRowWPRefCol" xfId="301"/>
    <cellStyle name="Client Name" xfId="96"/>
    <cellStyle name="Column Headings" xfId="97"/>
    <cellStyle name="ColumnHeaderRowBalanceCol" xfId="303"/>
    <cellStyle name="ColumnHeaderRowBlankCol" xfId="304"/>
    <cellStyle name="ColumnHeaderRowCreditCol" xfId="305"/>
    <cellStyle name="ColumnHeaderRowDebitCol" xfId="306"/>
    <cellStyle name="ColumnHeaderRowDescCol" xfId="307"/>
    <cellStyle name="ColumnHeaderRowJERefCol" xfId="308"/>
    <cellStyle name="ColumnHeaderRowNameCol" xfId="309"/>
    <cellStyle name="ColumnHeaderRowVarPectCol" xfId="310"/>
    <cellStyle name="ColumnHeaderRowWPRefCol" xfId="311"/>
    <cellStyle name="ColumnMetadataRowBalanceCol" xfId="312"/>
    <cellStyle name="ColumnMetadataRowDescCol" xfId="313"/>
    <cellStyle name="ColumnMetadataRowJERefCol" xfId="314"/>
    <cellStyle name="ColumnMetadataRowNameCol" xfId="315"/>
    <cellStyle name="ColumnMetadataRowVarPectCol" xfId="316"/>
    <cellStyle name="ColumnMetadataRowWPRefCol" xfId="317"/>
    <cellStyle name="Comma" xfId="1" builtinId="3"/>
    <cellStyle name="Comma 2" xfId="98"/>
    <cellStyle name="Comma 2 2" xfId="823"/>
    <cellStyle name="Comma 2 2 2" xfId="824"/>
    <cellStyle name="Comma 2 3" xfId="825"/>
    <cellStyle name="Comma 2 3 2" xfId="1243"/>
    <cellStyle name="Comma 2 3 3" xfId="1533"/>
    <cellStyle name="Comma 2 4" xfId="826"/>
    <cellStyle name="Comma 3" xfId="99"/>
    <cellStyle name="Comma 3 2" xfId="320"/>
    <cellStyle name="Comma 4" xfId="100"/>
    <cellStyle name="Comma 4 2" xfId="828"/>
    <cellStyle name="Comma 4 3" xfId="829"/>
    <cellStyle name="Comma 5" xfId="318"/>
    <cellStyle name="Comma 5 2" xfId="831"/>
    <cellStyle name="Comma 5 2 2" xfId="1244"/>
    <cellStyle name="Comma 5 2 3" xfId="1534"/>
    <cellStyle name="Comma 5 3" xfId="832"/>
    <cellStyle name="Comma 5 4" xfId="830"/>
    <cellStyle name="Comma 6" xfId="586"/>
    <cellStyle name="Comma 6 2" xfId="587"/>
    <cellStyle name="Comma0" xfId="101"/>
    <cellStyle name="Comma0 2" xfId="321"/>
    <cellStyle name="Comma0 2 2" xfId="834"/>
    <cellStyle name="Comma0 2 3" xfId="833"/>
    <cellStyle name="Currency 2" xfId="26"/>
    <cellStyle name="Currency 2 2" xfId="480"/>
    <cellStyle name="Currency 2 3" xfId="322"/>
    <cellStyle name="Currency0" xfId="102"/>
    <cellStyle name="Currency0 2" xfId="324"/>
    <cellStyle name="Currency0 2 2" xfId="836"/>
    <cellStyle name="Currency0 2 3" xfId="835"/>
    <cellStyle name="Date" xfId="103"/>
    <cellStyle name="Date 2" xfId="325"/>
    <cellStyle name="Date 2 2" xfId="837"/>
    <cellStyle name="Decimal 2 (e.g. 1,000.00)" xfId="104"/>
    <cellStyle name="Double Underline" xfId="105"/>
    <cellStyle name="Double Underscore" xfId="106"/>
    <cellStyle name="Emphasis 1" xfId="328"/>
    <cellStyle name="Emphasis 2" xfId="329"/>
    <cellStyle name="Emphasis 3" xfId="330"/>
    <cellStyle name="Explanatory Text 2" xfId="107"/>
    <cellStyle name="Explanatory Text 2 2" xfId="481"/>
    <cellStyle name="Explanatory Text 2 2 2" xfId="838"/>
    <cellStyle name="Explanatory Text 3" xfId="108"/>
    <cellStyle name="Explanatory Text 3 2" xfId="482"/>
    <cellStyle name="Explanatory Text 3 2 2" xfId="839"/>
    <cellStyle name="F2" xfId="109"/>
    <cellStyle name="F2 2" xfId="840"/>
    <cellStyle name="F3" xfId="110"/>
    <cellStyle name="F3 2" xfId="841"/>
    <cellStyle name="F4" xfId="111"/>
    <cellStyle name="F4 2" xfId="842"/>
    <cellStyle name="F5" xfId="112"/>
    <cellStyle name="F5 2" xfId="843"/>
    <cellStyle name="F6" xfId="113"/>
    <cellStyle name="F6 2" xfId="844"/>
    <cellStyle name="F7" xfId="114"/>
    <cellStyle name="F7 2" xfId="845"/>
    <cellStyle name="F8" xfId="115"/>
    <cellStyle name="F8 2" xfId="846"/>
    <cellStyle name="Fixed" xfId="116"/>
    <cellStyle name="Fixed 2" xfId="336"/>
    <cellStyle name="Fixed 2 2" xfId="847"/>
    <cellStyle name="FundHeaderRowCol.*" xfId="337"/>
    <cellStyle name="FundHeaderRowCol.1" xfId="338"/>
    <cellStyle name="FundHeaderRowCol.2" xfId="339"/>
    <cellStyle name="FundHeaderRowCol.Desc" xfId="340"/>
    <cellStyle name="FundSectionHeaderRowDescCol" xfId="341"/>
    <cellStyle name="FundSectionHeaderRowJERefCol" xfId="342"/>
    <cellStyle name="FundSectionHeaderRowNameCol" xfId="343"/>
    <cellStyle name="Good 2" xfId="117"/>
    <cellStyle name="Good 2 2" xfId="344"/>
    <cellStyle name="Good 2 2 2" xfId="848"/>
    <cellStyle name="Good 2 3" xfId="483"/>
    <cellStyle name="Good 2 3 2" xfId="849"/>
    <cellStyle name="Good 2 4" xfId="850"/>
    <cellStyle name="Good 3" xfId="118"/>
    <cellStyle name="Good 3 2" xfId="484"/>
    <cellStyle name="Good 3 2 2" xfId="851"/>
    <cellStyle name="GroupSectionHeaderRowBalance" xfId="345"/>
    <cellStyle name="GroupSectionHeaderRowDescCol" xfId="346"/>
    <cellStyle name="GroupSectionHeaderRowNameCol" xfId="347"/>
    <cellStyle name="GroupSelectionHeaderRowJERefCol" xfId="348"/>
    <cellStyle name="Heading 1 2" xfId="119"/>
    <cellStyle name="Heading 1 2 2" xfId="349"/>
    <cellStyle name="Heading 1 2 2 2" xfId="852"/>
    <cellStyle name="Heading 1 2 3" xfId="485"/>
    <cellStyle name="Heading 1 2 3 2" xfId="853"/>
    <cellStyle name="Heading 1 2 4" xfId="854"/>
    <cellStyle name="Heading 1 2 5" xfId="855"/>
    <cellStyle name="Heading 1 3" xfId="120"/>
    <cellStyle name="Heading 1 3 2" xfId="486"/>
    <cellStyle name="Heading 1 3 2 2" xfId="856"/>
    <cellStyle name="Heading 1 4" xfId="577"/>
    <cellStyle name="Heading 1 4 2" xfId="858"/>
    <cellStyle name="Heading 1 4 3" xfId="857"/>
    <cellStyle name="Heading 1 5" xfId="859"/>
    <cellStyle name="Heading 2 2" xfId="121"/>
    <cellStyle name="Heading 2 2 2" xfId="350"/>
    <cellStyle name="Heading 2 2 2 2" xfId="860"/>
    <cellStyle name="Heading 2 2 3" xfId="487"/>
    <cellStyle name="Heading 2 2 3 2" xfId="861"/>
    <cellStyle name="Heading 2 2 4" xfId="862"/>
    <cellStyle name="Heading 2 2 5" xfId="863"/>
    <cellStyle name="Heading 2 3" xfId="122"/>
    <cellStyle name="Heading 2 3 2" xfId="488"/>
    <cellStyle name="Heading 2 3 2 2" xfId="864"/>
    <cellStyle name="Heading 2 4" xfId="578"/>
    <cellStyle name="Heading 2 4 2" xfId="866"/>
    <cellStyle name="Heading 2 4 3" xfId="865"/>
    <cellStyle name="Heading 2 5" xfId="867"/>
    <cellStyle name="Heading 3 2" xfId="123"/>
    <cellStyle name="Heading 3 2 2" xfId="351"/>
    <cellStyle name="Heading 3 2 2 2" xfId="868"/>
    <cellStyle name="Heading 3 2 3" xfId="489"/>
    <cellStyle name="Heading 3 2 3 2" xfId="869"/>
    <cellStyle name="Heading 3 2 4" xfId="870"/>
    <cellStyle name="Heading 3 3" xfId="124"/>
    <cellStyle name="Heading 3 3 2" xfId="490"/>
    <cellStyle name="Heading 3 3 2 2" xfId="871"/>
    <cellStyle name="Heading 4 2" xfId="125"/>
    <cellStyle name="Heading 4 2 2" xfId="352"/>
    <cellStyle name="Heading 4 2 2 2" xfId="872"/>
    <cellStyle name="Heading 4 2 3" xfId="491"/>
    <cellStyle name="Heading 4 2 3 2" xfId="873"/>
    <cellStyle name="Heading 4 2 4" xfId="874"/>
    <cellStyle name="Heading 4 3" xfId="126"/>
    <cellStyle name="Heading 4 3 2" xfId="492"/>
    <cellStyle name="Heading 4 3 2 2" xfId="875"/>
    <cellStyle name="HEADING1" xfId="127"/>
    <cellStyle name="HEADING1 2" xfId="876"/>
    <cellStyle name="HEADING2" xfId="128"/>
    <cellStyle name="HEADING2 2" xfId="877"/>
    <cellStyle name="Hyperlink" xfId="2" builtinId="8"/>
    <cellStyle name="Hyperlink 2" xfId="15"/>
    <cellStyle name="Hyperlink 2 2" xfId="538"/>
    <cellStyle name="Hyperlink 2 2 2" xfId="878"/>
    <cellStyle name="Hyperlink 3" xfId="879"/>
    <cellStyle name="In 000s (Convert to 000s)" xfId="129"/>
    <cellStyle name="Input 2" xfId="130"/>
    <cellStyle name="Input 2 2" xfId="355"/>
    <cellStyle name="Input 2 2 2" xfId="880"/>
    <cellStyle name="Input 2 3" xfId="493"/>
    <cellStyle name="Input 2 3 2" xfId="881"/>
    <cellStyle name="Input 2 4" xfId="537"/>
    <cellStyle name="Input 2 4 2" xfId="882"/>
    <cellStyle name="Input 2 5" xfId="883"/>
    <cellStyle name="Input 3" xfId="131"/>
    <cellStyle name="Input 3 2" xfId="494"/>
    <cellStyle name="Input 3 2 2" xfId="884"/>
    <cellStyle name="JEDescriptionRowNameCol" xfId="356"/>
    <cellStyle name="JEDetailRowCreditCol" xfId="357"/>
    <cellStyle name="JEDetailRowDebitCol" xfId="358"/>
    <cellStyle name="JEDetailRowDescCol" xfId="359"/>
    <cellStyle name="JEDetailRowNameCol" xfId="360"/>
    <cellStyle name="JEDetailRowWPRefCol" xfId="361"/>
    <cellStyle name="JEIdentityRowDescCol" xfId="362"/>
    <cellStyle name="JEIdentityRowNameCol" xfId="363"/>
    <cellStyle name="JEIdentityRowWPRefCol" xfId="364"/>
    <cellStyle name="JETotalRowCreditCol" xfId="365"/>
    <cellStyle name="JETotalRowDebitCol" xfId="366"/>
    <cellStyle name="JETotalRowDescCol" xfId="367"/>
    <cellStyle name="JETotalRowNameCol" xfId="368"/>
    <cellStyle name="JETotalRowWPRefCol" xfId="369"/>
    <cellStyle name="JETypeDescriptionRowDescCol" xfId="370"/>
    <cellStyle name="JETypeDescriptionRowNameCol" xfId="371"/>
    <cellStyle name="Linked Cell 2" xfId="132"/>
    <cellStyle name="Linked Cell 2 2" xfId="372"/>
    <cellStyle name="Linked Cell 2 2 2" xfId="885"/>
    <cellStyle name="Linked Cell 2 3" xfId="495"/>
    <cellStyle name="Linked Cell 2 3 2" xfId="886"/>
    <cellStyle name="Linked Cell 2 4" xfId="887"/>
    <cellStyle name="Linked Cell 3" xfId="133"/>
    <cellStyle name="Linked Cell 3 2" xfId="496"/>
    <cellStyle name="Linked Cell 3 2 2" xfId="888"/>
    <cellStyle name="NetIncomeLossRowBalance" xfId="373"/>
    <cellStyle name="NetIncomeLossRowDescCol" xfId="374"/>
    <cellStyle name="NetIncomeLossRowJERefCol" xfId="375"/>
    <cellStyle name="NetIncomeLossRowNameCol" xfId="376"/>
    <cellStyle name="NetIncomeLossRowVarPectCol" xfId="377"/>
    <cellStyle name="NetIncomeLossRowWPRefCol" xfId="378"/>
    <cellStyle name="Neutral 2" xfId="134"/>
    <cellStyle name="Neutral 2 2" xfId="379"/>
    <cellStyle name="Neutral 2 2 2" xfId="890"/>
    <cellStyle name="Neutral 2 2 3" xfId="889"/>
    <cellStyle name="Neutral 2 3" xfId="497"/>
    <cellStyle name="Neutral 2 3 2" xfId="891"/>
    <cellStyle name="Neutral 2 4" xfId="892"/>
    <cellStyle name="Neutral 3" xfId="135"/>
    <cellStyle name="Neutral 3 2" xfId="498"/>
    <cellStyle name="Neutral 3 2 2" xfId="893"/>
    <cellStyle name="No Border" xfId="136"/>
    <cellStyle name="Normal" xfId="0" builtinId="0"/>
    <cellStyle name="Normal 2" xfId="3"/>
    <cellStyle name="Normal 2 2" xfId="381"/>
    <cellStyle name="Normal 2 2 2" xfId="895"/>
    <cellStyle name="Normal 2 3" xfId="382"/>
    <cellStyle name="Normal 2 4" xfId="380"/>
    <cellStyle name="Normal 2 5" xfId="499"/>
    <cellStyle name="Normal 2 5 2" xfId="995"/>
    <cellStyle name="Normal 2 5 2 2" xfId="1285"/>
    <cellStyle name="Normal 2 5 2 3" xfId="1575"/>
    <cellStyle name="Normal 2 5 3" xfId="1075"/>
    <cellStyle name="Normal 2 5 4" xfId="1365"/>
    <cellStyle name="Normal 2 6" xfId="894"/>
    <cellStyle name="Normal 2 6 2" xfId="1245"/>
    <cellStyle name="Normal 2 6 3" xfId="1535"/>
    <cellStyle name="Normal 3" xfId="4"/>
    <cellStyle name="Normal 3 2" xfId="14"/>
    <cellStyle name="Normal 3 2 2" xfId="18"/>
    <cellStyle name="Normal 3 2 2 2" xfId="384"/>
    <cellStyle name="Normal 3 2 2 3" xfId="25"/>
    <cellStyle name="Normal 3 2 3" xfId="22"/>
    <cellStyle name="Normal 3 3" xfId="383"/>
    <cellStyle name="Normal 3 3 2" xfId="896"/>
    <cellStyle name="Normal 3 3 3" xfId="20"/>
    <cellStyle name="Normal 3 4" xfId="897"/>
    <cellStyle name="Normal 3 5" xfId="898"/>
    <cellStyle name="Normal 3 5 2" xfId="1246"/>
    <cellStyle name="Normal 3 5 3" xfId="1536"/>
    <cellStyle name="Normal 3 6" xfId="21"/>
    <cellStyle name="Normal 4" xfId="16"/>
    <cellStyle name="Normal 4 2" xfId="35"/>
    <cellStyle name="Normal 4 2 2" xfId="385"/>
    <cellStyle name="Normal 4 3" xfId="579"/>
    <cellStyle name="Normal 4 3 2" xfId="899"/>
    <cellStyle name="Normal 4 4" xfId="23"/>
    <cellStyle name="Normal 5" xfId="17"/>
    <cellStyle name="Normal 5 2" xfId="36"/>
    <cellStyle name="Normal 5 3" xfId="900"/>
    <cellStyle name="Normal 5 3 2" xfId="1247"/>
    <cellStyle name="Normal 5 3 3" xfId="1537"/>
    <cellStyle name="Normal 5 4" xfId="24"/>
    <cellStyle name="Normal 6" xfId="19"/>
    <cellStyle name="Normal 6 2" xfId="386"/>
    <cellStyle name="Normal 7" xfId="387"/>
    <cellStyle name="Normal 7 2" xfId="993"/>
    <cellStyle name="Normal 7 2 2" xfId="1283"/>
    <cellStyle name="Normal 7 2 3" xfId="1573"/>
    <cellStyle name="Normal 7 3" xfId="1073"/>
    <cellStyle name="Normal 7 4" xfId="1363"/>
    <cellStyle name="Normal 8" xfId="156"/>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2" xfId="137"/>
    <cellStyle name="Note 2 2" xfId="388"/>
    <cellStyle name="Note 2 2 2" xfId="902"/>
    <cellStyle name="Note 2 3" xfId="500"/>
    <cellStyle name="Note 2 3 2" xfId="903"/>
    <cellStyle name="Note 2 3 3" xfId="996"/>
    <cellStyle name="Note 2 3 3 2" xfId="1286"/>
    <cellStyle name="Note 2 3 3 3" xfId="1576"/>
    <cellStyle name="Note 2 3 4" xfId="1076"/>
    <cellStyle name="Note 2 3 5" xfId="1366"/>
    <cellStyle name="Note 2 4" xfId="523"/>
    <cellStyle name="Note 2 4 2" xfId="904"/>
    <cellStyle name="Note 2 5" xfId="905"/>
    <cellStyle name="Note 2 6" xfId="901"/>
    <cellStyle name="Note 2 6 2" xfId="1248"/>
    <cellStyle name="Note 2 6 3" xfId="1538"/>
    <cellStyle name="Note 3" xfId="138"/>
    <cellStyle name="Note 3 2" xfId="501"/>
    <cellStyle name="Note 3 2 2" xfId="552"/>
    <cellStyle name="Note 3 2 2 2" xfId="907"/>
    <cellStyle name="Note 3 2 2 2 2" xfId="1250"/>
    <cellStyle name="Note 3 2 2 2 3" xfId="1540"/>
    <cellStyle name="Note 3 2 2 3" xfId="1022"/>
    <cellStyle name="Note 3 2 2 3 2" xfId="1312"/>
    <cellStyle name="Note 3 2 2 3 3" xfId="1602"/>
    <cellStyle name="Note 3 2 2 4" xfId="1102"/>
    <cellStyle name="Note 3 2 2 5" xfId="1392"/>
    <cellStyle name="Note 3 2 3" xfId="906"/>
    <cellStyle name="Note 3 2 3 2" xfId="1249"/>
    <cellStyle name="Note 3 2 3 3" xfId="1539"/>
    <cellStyle name="Note 3 3" xfId="580"/>
    <cellStyle name="Note 3 3 2" xfId="909"/>
    <cellStyle name="Note 3 3 2 2" xfId="1252"/>
    <cellStyle name="Note 3 3 2 3" xfId="1542"/>
    <cellStyle name="Note 3 3 3" xfId="908"/>
    <cellStyle name="Note 3 3 3 2" xfId="1251"/>
    <cellStyle name="Note 3 3 3 3" xfId="1541"/>
    <cellStyle name="Note 3 3 4" xfId="1047"/>
    <cellStyle name="Note 3 3 4 2" xfId="1337"/>
    <cellStyle name="Note 3 3 4 3" xfId="1627"/>
    <cellStyle name="Note 3 3 5" xfId="1127"/>
    <cellStyle name="Note 3 3 6" xfId="1417"/>
    <cellStyle name="Note 3 4" xfId="581"/>
    <cellStyle name="Note 3 4 2" xfId="911"/>
    <cellStyle name="Note 3 4 2 2" xfId="1254"/>
    <cellStyle name="Note 3 4 2 3" xfId="1544"/>
    <cellStyle name="Note 3 4 3" xfId="910"/>
    <cellStyle name="Note 3 4 3 2" xfId="1253"/>
    <cellStyle name="Note 3 4 3 3" xfId="1543"/>
    <cellStyle name="Note 3 4 4" xfId="1048"/>
    <cellStyle name="Note 3 4 4 2" xfId="1338"/>
    <cellStyle name="Note 3 4 4 3" xfId="1628"/>
    <cellStyle name="Note 3 4 5" xfId="1128"/>
    <cellStyle name="Note 3 4 6" xfId="1418"/>
    <cellStyle name="Note 3 5" xfId="539"/>
    <cellStyle name="Note 3 5 2" xfId="912"/>
    <cellStyle name="Note 3 5 2 2" xfId="1255"/>
    <cellStyle name="Note 3 5 2 3" xfId="1545"/>
    <cellStyle name="Note 3 5 3" xfId="1009"/>
    <cellStyle name="Note 3 5 3 2" xfId="1299"/>
    <cellStyle name="Note 3 5 3 3" xfId="1589"/>
    <cellStyle name="Note 3 5 4" xfId="1089"/>
    <cellStyle name="Note 3 5 5" xfId="1379"/>
    <cellStyle name="Note 3 6" xfId="913"/>
    <cellStyle name="Note 3 6 2" xfId="1256"/>
    <cellStyle name="Note 3 6 3" xfId="1546"/>
    <cellStyle name="Note 3 7" xfId="981"/>
    <cellStyle name="Note 3 7 2" xfId="1271"/>
    <cellStyle name="Note 3 7 3" xfId="1561"/>
    <cellStyle name="Note 3 8" xfId="1061"/>
    <cellStyle name="Note 3 9" xfId="1351"/>
    <cellStyle name="Note 4" xfId="914"/>
    <cellStyle name="Number" xfId="139"/>
    <cellStyle name="Output 2" xfId="140"/>
    <cellStyle name="Output 2 2" xfId="390"/>
    <cellStyle name="Output 2 2 2" xfId="915"/>
    <cellStyle name="Output 2 3" xfId="502"/>
    <cellStyle name="Output 2 3 2" xfId="916"/>
    <cellStyle name="Output 2 4" xfId="917"/>
    <cellStyle name="Output 3" xfId="141"/>
    <cellStyle name="Output 3 2" xfId="503"/>
    <cellStyle name="Output 3 2 2" xfId="918"/>
    <cellStyle name="Percent 2" xfId="391"/>
    <cellStyle name="Percent 2 2" xfId="919"/>
    <cellStyle name="Percent 3" xfId="920"/>
    <cellStyle name="Percent 3 2" xfId="921"/>
    <cellStyle name="Percent 4" xfId="922"/>
    <cellStyle name="Percent 4 2" xfId="1257"/>
    <cellStyle name="Percent 4 3" xfId="1547"/>
    <cellStyle name="Percent 5" xfId="923"/>
    <cellStyle name="Percent 5 2" xfId="1258"/>
    <cellStyle name="Percent 5 3" xfId="1548"/>
    <cellStyle name="PPCRef_AA_ALG_09986ba943d5425092808d659c8f4f87_09986ba943d5425092808d659c8f4f87" xfId="504"/>
    <cellStyle name="PSChar" xfId="392"/>
    <cellStyle name="PSDate" xfId="393"/>
    <cellStyle name="PSDec" xfId="394"/>
    <cellStyle name="PSHeading" xfId="395"/>
    <cellStyle name="PSInt" xfId="396"/>
    <cellStyle name="PSSpacer" xfId="397"/>
    <cellStyle name="ReportHeaderRowCol.*" xfId="398"/>
    <cellStyle name="ReportHeaderRowCol.* 2" xfId="399"/>
    <cellStyle name="ReportHeaderRowCol.1" xfId="400"/>
    <cellStyle name="ReportHeaderRowCol.1 2" xfId="401"/>
    <cellStyle name="ReportHeaderRowCol.2" xfId="402"/>
    <cellStyle name="ReportHeaderRowCol.2 2" xfId="403"/>
    <cellStyle name="ReportHeaderRowCol.Date" xfId="404"/>
    <cellStyle name="ReportHeaderRowCol.Date 2" xfId="405"/>
    <cellStyle name="Rounding" xfId="142"/>
    <cellStyle name="Sheet Title" xfId="407"/>
    <cellStyle name="Single Border" xfId="143"/>
    <cellStyle name="Single Underline" xfId="144"/>
    <cellStyle name="STYLE1" xfId="145"/>
    <cellStyle name="STYLE1 2" xfId="924"/>
    <cellStyle name="STYLE2" xfId="146"/>
    <cellStyle name="SubgroupSectionHeaderRowBalanceCol" xfId="408"/>
    <cellStyle name="SubgroupSectionHeaderRowDescCol" xfId="409"/>
    <cellStyle name="SubgroupSectionHeaderRowNameCol" xfId="410"/>
    <cellStyle name="SubGroupSelectionHeaderRowJERefCol" xfId="411"/>
    <cellStyle name="SubgroupSubtotalRowBalanceCol" xfId="412"/>
    <cellStyle name="SubgroupSubtotalRowDescCol" xfId="413"/>
    <cellStyle name="SubgroupSubtotalRowJERefCol" xfId="414"/>
    <cellStyle name="SubgroupSubtotalRowNameCol" xfId="415"/>
    <cellStyle name="SubgroupSubtotalRowVarPectCol" xfId="416"/>
    <cellStyle name="SubgroupSubtotalRowWPRefCol" xfId="417"/>
    <cellStyle name="SumAccountGroupsRowBalanceCol" xfId="418"/>
    <cellStyle name="SumAccountGroupsRowDescCol" xfId="419"/>
    <cellStyle name="SumAccountGroupsRowJERefCol" xfId="420"/>
    <cellStyle name="SumAccountGroupsRowNameCol" xfId="421"/>
    <cellStyle name="SumAccountGroupsRowVarPectCol" xfId="422"/>
    <cellStyle name="SumAccountGroupsRowWPRefCol" xfId="423"/>
    <cellStyle name="Title 2" xfId="147"/>
    <cellStyle name="Title 2 2" xfId="505"/>
    <cellStyle name="Title 2 2 2" xfId="925"/>
    <cellStyle name="Title 2 3" xfId="926"/>
    <cellStyle name="Title 3" xfId="148"/>
    <cellStyle name="Title 3 2" xfId="506"/>
    <cellStyle name="Title 3 2 2" xfId="927"/>
    <cellStyle name="Top Bold Border" xfId="149"/>
    <cellStyle name="Top Double Border" xfId="150"/>
    <cellStyle name="Top Single Border" xfId="151"/>
    <cellStyle name="Top Single Border 2" xfId="583"/>
    <cellStyle name="Total 2" xfId="152"/>
    <cellStyle name="Total 2 2" xfId="424"/>
    <cellStyle name="Total 2 2 2" xfId="928"/>
    <cellStyle name="Total 2 3" xfId="507"/>
    <cellStyle name="Total 2 3 2" xfId="929"/>
    <cellStyle name="Total 2 4" xfId="584"/>
    <cellStyle name="Total 2 4 2" xfId="930"/>
    <cellStyle name="Total 2 5" xfId="931"/>
    <cellStyle name="Total 3" xfId="153"/>
    <cellStyle name="Total 3 2" xfId="508"/>
    <cellStyle name="Total 3 2 2" xfId="932"/>
    <cellStyle name="Total 4" xfId="582"/>
    <cellStyle name="Total 4 2" xfId="585"/>
    <cellStyle name="Total 4 3" xfId="933"/>
    <cellStyle name="Total 5" xfId="934"/>
    <cellStyle name="TotalRow" xfId="425"/>
    <cellStyle name="TotalRowCreditCol" xfId="426"/>
    <cellStyle name="TotalRowDebitCol" xfId="427"/>
    <cellStyle name="TransactionRowAcctDescCol" xfId="428"/>
    <cellStyle name="TransactionRowAcctNumCol" xfId="429"/>
    <cellStyle name="TransactionRowCreditCol" xfId="430"/>
    <cellStyle name="TransactionRowDateCol" xfId="431"/>
    <cellStyle name="TransactionRowDebitCol" xfId="432"/>
    <cellStyle name="TransactionRowRefCol" xfId="433"/>
    <cellStyle name="TransactionRowTransactionCol" xfId="434"/>
    <cellStyle name="UnclassifiedTotalRowBalanceCol" xfId="435"/>
    <cellStyle name="UnclassifiedTotalRowDescCol" xfId="436"/>
    <cellStyle name="UnclassifiedTotalRowJERefCol" xfId="437"/>
    <cellStyle name="UnclassifiedTotalRowNameCol" xfId="438"/>
    <cellStyle name="UnclassifiedTotalRowVarPectCol" xfId="439"/>
    <cellStyle name="UnclassifiedTotalRowWPRefCol" xfId="440"/>
    <cellStyle name="Warning Text 2" xfId="154"/>
    <cellStyle name="Warning Text 2 2" xfId="441"/>
    <cellStyle name="Warning Text 2 2 2" xfId="935"/>
    <cellStyle name="Warning Text 2 3" xfId="509"/>
    <cellStyle name="Warning Text 2 3 2" xfId="936"/>
    <cellStyle name="Warning Text 2 4" xfId="937"/>
    <cellStyle name="Warning Text 3" xfId="155"/>
    <cellStyle name="Warning Text 3 2" xfId="510"/>
    <cellStyle name="Warning Text 3 2 2" xfId="93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4</xdr:row>
          <xdr:rowOff>57150</xdr:rowOff>
        </xdr:from>
        <xdr:to>
          <xdr:col>1</xdr:col>
          <xdr:colOff>981075</xdr:colOff>
          <xdr:row>8</xdr:row>
          <xdr:rowOff>57150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xdr:row>
          <xdr:rowOff>76200</xdr:rowOff>
        </xdr:from>
        <xdr:to>
          <xdr:col>1</xdr:col>
          <xdr:colOff>2266950</xdr:colOff>
          <xdr:row>8</xdr:row>
          <xdr:rowOff>76200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2943225</xdr:colOff>
          <xdr:row>4</xdr:row>
          <xdr:rowOff>114300</xdr:rowOff>
        </xdr:from>
        <xdr:to>
          <xdr:col>1</xdr:col>
          <xdr:colOff>3857625</xdr:colOff>
          <xdr:row>8</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mm@wrdr.co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5" Type="http://schemas.openxmlformats.org/officeDocument/2006/relationships/printerSettings" Target="../printerSettings/printerSettings1.bin"/><Relationship Id="rId4" Type="http://schemas.openxmlformats.org/officeDocument/2006/relationships/hyperlink" Target="mailto:mhanson@jths.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8" sqref="A18"/>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1963</v>
      </c>
      <c r="B1" s="45"/>
      <c r="C1" s="45"/>
      <c r="D1" s="46"/>
      <c r="I1" s="2008" t="s">
        <v>404</v>
      </c>
      <c r="J1" s="2009"/>
      <c r="K1" s="2009"/>
      <c r="L1" s="2009"/>
      <c r="M1" s="2009"/>
      <c r="N1" s="2009"/>
      <c r="O1" s="2009"/>
      <c r="P1" s="2009"/>
      <c r="Q1" s="2009"/>
      <c r="R1" s="2009"/>
      <c r="S1" s="2009"/>
    </row>
    <row r="2" spans="1:28" ht="12" customHeight="1">
      <c r="A2" s="47" t="s">
        <v>1964</v>
      </c>
      <c r="D2" s="48"/>
      <c r="I2" s="2010" t="s">
        <v>978</v>
      </c>
      <c r="J2" s="2009"/>
      <c r="K2" s="2009"/>
      <c r="L2" s="2009"/>
      <c r="M2" s="2009"/>
      <c r="N2" s="2009"/>
      <c r="O2" s="2009"/>
      <c r="P2" s="2009"/>
      <c r="Q2" s="2009"/>
      <c r="R2" s="2009"/>
      <c r="S2" s="2009"/>
    </row>
    <row r="3" spans="1:28" ht="12" customHeight="1">
      <c r="A3" s="155" t="s">
        <v>1916</v>
      </c>
      <c r="B3" s="156"/>
      <c r="C3" s="156"/>
      <c r="D3" s="157"/>
      <c r="I3" s="2010" t="s">
        <v>52</v>
      </c>
      <c r="J3" s="2009"/>
      <c r="K3" s="2009"/>
      <c r="L3" s="2009"/>
      <c r="M3" s="2009"/>
      <c r="N3" s="2009"/>
      <c r="O3" s="2009"/>
      <c r="P3" s="2009"/>
      <c r="Q3" s="2009"/>
      <c r="R3" s="2009"/>
      <c r="S3" s="2009"/>
    </row>
    <row r="4" spans="1:28" ht="12" customHeight="1">
      <c r="A4" s="37"/>
      <c r="I4" s="2010" t="s">
        <v>523</v>
      </c>
      <c r="J4" s="2009"/>
      <c r="K4" s="2009"/>
      <c r="L4" s="2009"/>
      <c r="M4" s="2009"/>
      <c r="N4" s="2009"/>
      <c r="O4" s="2009"/>
      <c r="P4" s="2009"/>
      <c r="Q4" s="2009"/>
      <c r="R4" s="2009"/>
      <c r="S4" s="2009"/>
    </row>
    <row r="5" spans="1:28" ht="14.1" customHeight="1">
      <c r="B5" s="104" t="s">
        <v>2035</v>
      </c>
      <c r="C5" s="26" t="s">
        <v>909</v>
      </c>
      <c r="D5" s="84"/>
      <c r="E5" s="84"/>
      <c r="H5" s="38"/>
      <c r="I5" s="2018" t="s">
        <v>679</v>
      </c>
      <c r="J5" s="2017"/>
      <c r="K5" s="2017"/>
      <c r="L5" s="2017"/>
      <c r="M5" s="2017"/>
      <c r="N5" s="2017"/>
      <c r="O5" s="2017"/>
      <c r="P5" s="2017"/>
      <c r="Q5" s="2017"/>
      <c r="R5" s="2017"/>
      <c r="S5" s="2017"/>
    </row>
    <row r="6" spans="1:28" ht="14.1" customHeight="1">
      <c r="B6" s="104"/>
      <c r="C6" s="26" t="s">
        <v>910</v>
      </c>
      <c r="D6" s="84"/>
      <c r="E6" s="84"/>
      <c r="I6" s="2016" t="s">
        <v>882</v>
      </c>
      <c r="J6" s="2017"/>
      <c r="K6" s="2017"/>
      <c r="L6" s="2017"/>
      <c r="M6" s="2017"/>
      <c r="N6" s="2017"/>
      <c r="O6" s="2017"/>
      <c r="P6" s="2017"/>
      <c r="Q6" s="2017"/>
      <c r="R6" s="2017"/>
      <c r="S6" s="2017"/>
    </row>
    <row r="7" spans="1:28" ht="12.2" customHeight="1">
      <c r="I7" s="2011">
        <v>43646</v>
      </c>
      <c r="J7" s="2012"/>
      <c r="K7" s="2012"/>
      <c r="L7" s="2012"/>
      <c r="M7" s="2012"/>
      <c r="N7" s="2012"/>
      <c r="O7" s="2012"/>
      <c r="P7" s="2012"/>
      <c r="Q7" s="2012"/>
      <c r="R7" s="2012"/>
      <c r="S7" s="201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3" t="s">
        <v>673</v>
      </c>
      <c r="J9" s="2014"/>
      <c r="K9" s="2014"/>
      <c r="L9" s="2014"/>
      <c r="M9" s="2014"/>
      <c r="N9" s="2014"/>
      <c r="O9" s="2014"/>
      <c r="P9" s="2014"/>
      <c r="Q9" s="2014"/>
      <c r="R9" s="2014"/>
      <c r="S9" s="2015"/>
      <c r="T9" s="2039" t="s">
        <v>532</v>
      </c>
      <c r="U9" s="2040"/>
      <c r="V9" s="2040"/>
      <c r="W9" s="2040"/>
      <c r="X9" s="2040"/>
      <c r="Y9" s="2040"/>
      <c r="Z9" s="2040"/>
      <c r="AA9" s="2041"/>
    </row>
    <row r="10" spans="1:28" ht="13.5" customHeight="1">
      <c r="A10" s="2046" t="s">
        <v>674</v>
      </c>
      <c r="B10" s="2047"/>
      <c r="C10" s="2047"/>
      <c r="D10" s="2047"/>
      <c r="E10" s="2047"/>
      <c r="F10" s="2047"/>
      <c r="G10" s="2047"/>
      <c r="H10" s="2048"/>
      <c r="I10" s="29"/>
      <c r="J10" s="30"/>
      <c r="K10" s="28"/>
      <c r="R10" s="30"/>
      <c r="S10" s="30"/>
      <c r="T10" s="2042"/>
      <c r="U10" s="2017"/>
      <c r="V10" s="2017"/>
      <c r="W10" s="2017"/>
      <c r="X10" s="2017"/>
      <c r="Y10" s="2017"/>
      <c r="Z10" s="2017"/>
      <c r="AA10" s="2027"/>
    </row>
    <row r="11" spans="1:28" ht="14.25" customHeight="1">
      <c r="A11" s="2049" t="s">
        <v>954</v>
      </c>
      <c r="B11" s="2050"/>
      <c r="C11" s="2050"/>
      <c r="D11" s="2050"/>
      <c r="E11" s="2050"/>
      <c r="F11" s="2050"/>
      <c r="G11" s="2050"/>
      <c r="H11" s="2051"/>
      <c r="I11" s="27"/>
      <c r="J11" s="74"/>
      <c r="K11" s="27"/>
      <c r="O11" s="148"/>
      <c r="P11" s="100" t="s">
        <v>201</v>
      </c>
      <c r="Q11" s="30"/>
      <c r="R11" s="28"/>
      <c r="S11" s="27"/>
      <c r="T11" s="2043"/>
      <c r="U11" s="2044"/>
      <c r="V11" s="2044"/>
      <c r="W11" s="2044"/>
      <c r="X11" s="2044"/>
      <c r="Y11" s="2044"/>
      <c r="Z11" s="2044"/>
      <c r="AA11" s="2045"/>
    </row>
    <row r="12" spans="1:28" ht="13.5" customHeight="1">
      <c r="A12" s="85" t="s">
        <v>924</v>
      </c>
      <c r="B12" s="76"/>
      <c r="C12" s="76"/>
      <c r="D12" s="76"/>
      <c r="E12" s="76"/>
      <c r="F12" s="76"/>
      <c r="G12" s="76"/>
      <c r="H12" s="53"/>
      <c r="I12" s="29"/>
      <c r="J12" s="30"/>
      <c r="K12" s="28"/>
      <c r="O12" s="149" t="s">
        <v>2095</v>
      </c>
      <c r="P12" s="100" t="s">
        <v>202</v>
      </c>
      <c r="Q12" s="74"/>
      <c r="R12" s="30"/>
      <c r="S12" s="30"/>
      <c r="T12" s="85" t="s">
        <v>264</v>
      </c>
      <c r="U12" s="51"/>
      <c r="V12" s="51"/>
      <c r="W12" s="51"/>
      <c r="X12" s="51"/>
      <c r="Y12" s="45"/>
      <c r="Z12" s="45"/>
      <c r="AA12" s="46"/>
    </row>
    <row r="13" spans="1:28" ht="13.5" customHeight="1">
      <c r="A13" s="2065">
        <v>56099204017</v>
      </c>
      <c r="B13" s="2066"/>
      <c r="C13" s="2066"/>
      <c r="D13" s="2066"/>
      <c r="E13" s="2066"/>
      <c r="F13" s="2066"/>
      <c r="G13" s="2066"/>
      <c r="H13" s="2067"/>
      <c r="I13" s="31"/>
      <c r="J13" s="30"/>
      <c r="K13" s="28"/>
      <c r="L13" s="30"/>
      <c r="M13" s="30"/>
      <c r="N13" s="30"/>
      <c r="O13" s="30"/>
      <c r="P13" s="30"/>
      <c r="Q13" s="30"/>
      <c r="R13" s="30"/>
      <c r="S13" s="30"/>
      <c r="T13" s="2053" t="s">
        <v>2036</v>
      </c>
      <c r="U13" s="2054"/>
      <c r="V13" s="2054"/>
      <c r="W13" s="2054"/>
      <c r="X13" s="2054"/>
      <c r="Y13" s="2055"/>
      <c r="Z13" s="2055"/>
      <c r="AA13" s="2056"/>
    </row>
    <row r="14" spans="1:28" ht="14.1" customHeight="1">
      <c r="A14" s="85" t="s">
        <v>712</v>
      </c>
      <c r="B14" s="76"/>
      <c r="C14" s="76"/>
      <c r="D14" s="76"/>
      <c r="E14" s="76"/>
      <c r="F14" s="76"/>
      <c r="G14" s="76"/>
      <c r="H14" s="53"/>
      <c r="I14" s="116"/>
      <c r="S14" s="48"/>
      <c r="T14" s="85" t="s">
        <v>1326</v>
      </c>
      <c r="U14" s="51"/>
      <c r="V14" s="51"/>
      <c r="W14" s="51"/>
      <c r="X14" s="51"/>
      <c r="Y14" s="45"/>
      <c r="Z14" s="45"/>
      <c r="AA14" s="46"/>
    </row>
    <row r="15" spans="1:28" ht="13.5" customHeight="1">
      <c r="A15" s="2035" t="s">
        <v>2109</v>
      </c>
      <c r="B15" s="2036"/>
      <c r="C15" s="2036"/>
      <c r="D15" s="2036"/>
      <c r="E15" s="2036"/>
      <c r="F15" s="2036"/>
      <c r="G15" s="2036"/>
      <c r="H15" s="2037"/>
      <c r="T15" s="2057" t="s">
        <v>2049</v>
      </c>
      <c r="U15" s="1985"/>
      <c r="V15" s="1985"/>
      <c r="W15" s="1985"/>
      <c r="X15" s="1985"/>
      <c r="Y15" s="2058"/>
      <c r="Z15" s="2058"/>
      <c r="AA15" s="2059"/>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2035" t="s">
        <v>2201</v>
      </c>
      <c r="B17" s="2036"/>
      <c r="C17" s="2036"/>
      <c r="D17" s="2036"/>
      <c r="E17" s="2036"/>
      <c r="F17" s="2036"/>
      <c r="G17" s="2036"/>
      <c r="H17" s="2037"/>
      <c r="T17" s="2062" t="s">
        <v>2037</v>
      </c>
      <c r="U17" s="2063"/>
      <c r="V17" s="2063"/>
      <c r="W17" s="2063"/>
      <c r="X17" s="2063"/>
      <c r="Y17" s="2063"/>
      <c r="Z17" s="2063"/>
      <c r="AA17" s="2064"/>
    </row>
    <row r="18" spans="1:27" ht="13.5" customHeight="1">
      <c r="A18" s="85" t="s">
        <v>529</v>
      </c>
      <c r="B18" s="76"/>
      <c r="C18" s="72"/>
      <c r="D18" s="76"/>
      <c r="E18" s="76"/>
      <c r="F18" s="76"/>
      <c r="G18" s="76"/>
      <c r="H18" s="56"/>
      <c r="I18" s="2031" t="s">
        <v>675</v>
      </c>
      <c r="J18" s="1972"/>
      <c r="K18" s="1972"/>
      <c r="L18" s="1972"/>
      <c r="M18" s="1972"/>
      <c r="N18" s="1972"/>
      <c r="O18" s="1972"/>
      <c r="P18" s="1972"/>
      <c r="Q18" s="1972"/>
      <c r="R18" s="1972"/>
      <c r="S18" s="1973"/>
      <c r="T18" s="85" t="s">
        <v>710</v>
      </c>
      <c r="U18" s="51"/>
      <c r="V18" s="72"/>
      <c r="W18" s="50"/>
      <c r="X18" s="85" t="s">
        <v>265</v>
      </c>
      <c r="Y18" s="81"/>
      <c r="Z18" s="159" t="s">
        <v>676</v>
      </c>
      <c r="AA18" s="46"/>
    </row>
    <row r="19" spans="1:27" ht="13.5" customHeight="1">
      <c r="A19" s="2035" t="s">
        <v>2110</v>
      </c>
      <c r="B19" s="2038"/>
      <c r="C19" s="2038"/>
      <c r="D19" s="2038"/>
      <c r="E19" s="2038"/>
      <c r="F19" s="2038"/>
      <c r="G19" s="2038"/>
      <c r="H19" s="2034"/>
      <c r="I19" s="30"/>
      <c r="J19" s="99"/>
      <c r="K19" s="40"/>
      <c r="L19" s="38"/>
      <c r="M19" s="112" t="s">
        <v>314</v>
      </c>
      <c r="P19" s="27"/>
      <c r="Q19" s="27"/>
      <c r="R19" s="27"/>
      <c r="S19" s="31"/>
      <c r="T19" s="2052" t="s">
        <v>2038</v>
      </c>
      <c r="U19" s="1975"/>
      <c r="V19" s="1975"/>
      <c r="W19" s="1993"/>
      <c r="X19" s="2061" t="s">
        <v>2039</v>
      </c>
      <c r="Y19" s="2033"/>
      <c r="Z19" s="2060">
        <v>60435</v>
      </c>
      <c r="AA19" s="2034"/>
    </row>
    <row r="20" spans="1:27" ht="13.5" customHeight="1">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c r="A21" s="2032" t="s">
        <v>2038</v>
      </c>
      <c r="B21" s="2033"/>
      <c r="C21" s="2033"/>
      <c r="D21" s="2033"/>
      <c r="E21" s="2033"/>
      <c r="F21" s="2033"/>
      <c r="G21" s="2033"/>
      <c r="H21" s="2034"/>
      <c r="I21" s="2026" t="s">
        <v>677</v>
      </c>
      <c r="J21" s="2017"/>
      <c r="K21" s="2017"/>
      <c r="L21" s="2017"/>
      <c r="M21" s="2017"/>
      <c r="N21" s="2017"/>
      <c r="O21" s="2017"/>
      <c r="P21" s="2017"/>
      <c r="Q21" s="2017"/>
      <c r="R21" s="2017"/>
      <c r="S21" s="2027"/>
      <c r="T21" s="2069" t="s">
        <v>2040</v>
      </c>
      <c r="U21" s="2070"/>
      <c r="V21" s="2070"/>
      <c r="W21" s="2070"/>
      <c r="X21" s="1979" t="s">
        <v>2041</v>
      </c>
      <c r="Y21" s="2073"/>
      <c r="Z21" s="2073"/>
      <c r="AA21" s="2074"/>
    </row>
    <row r="22" spans="1:27" ht="13.5" customHeight="1">
      <c r="A22" s="87" t="s">
        <v>530</v>
      </c>
      <c r="B22" s="59"/>
      <c r="C22" s="59"/>
      <c r="D22" s="59"/>
      <c r="E22" s="59"/>
      <c r="F22" s="59"/>
      <c r="G22" s="59"/>
      <c r="H22" s="60"/>
      <c r="I22" s="2028" t="s">
        <v>1426</v>
      </c>
      <c r="J22" s="2029"/>
      <c r="K22" s="2029"/>
      <c r="L22" s="2029"/>
      <c r="M22" s="2029"/>
      <c r="N22" s="2029"/>
      <c r="O22" s="2029"/>
      <c r="P22" s="2029"/>
      <c r="Q22" s="2029"/>
      <c r="R22" s="2029"/>
      <c r="S22" s="2030"/>
      <c r="T22" s="85" t="s">
        <v>1513</v>
      </c>
      <c r="U22" s="51"/>
      <c r="V22" s="72"/>
      <c r="W22" s="51"/>
      <c r="X22" s="160" t="s">
        <v>1315</v>
      </c>
      <c r="Z22" s="45"/>
      <c r="AA22" s="46"/>
    </row>
    <row r="23" spans="1:27" ht="13.5" customHeight="1">
      <c r="A23" s="2023"/>
      <c r="B23" s="2024"/>
      <c r="C23" s="2024"/>
      <c r="D23" s="2024"/>
      <c r="E23" s="2024"/>
      <c r="F23" s="2024"/>
      <c r="G23" s="2024"/>
      <c r="H23" s="2025"/>
      <c r="T23" s="1991" t="s">
        <v>2042</v>
      </c>
      <c r="U23" s="2068"/>
      <c r="V23" s="2068"/>
      <c r="W23" s="2068"/>
      <c r="X23" s="2072">
        <v>44530</v>
      </c>
      <c r="Y23" s="2036"/>
      <c r="Z23" s="2036"/>
      <c r="AA23" s="2037"/>
    </row>
    <row r="24" spans="1:27" ht="14.1" customHeight="1">
      <c r="A24" s="88" t="s">
        <v>676</v>
      </c>
      <c r="B24" s="49"/>
      <c r="C24" s="49"/>
      <c r="D24" s="49"/>
      <c r="E24" s="49"/>
      <c r="F24" s="49"/>
      <c r="G24" s="49"/>
      <c r="H24" s="61"/>
      <c r="J24" s="2019">
        <f>IF(B5="x",IF(AUDITCHECK!D29="AFR form Incomplete.","",IF(AUDITCHECK!D29="Deficit reduction plan is required.","School District must complete a deficit reduction plan in the 2019-2020 Budget",)),"")</f>
        <v>0</v>
      </c>
      <c r="K24" s="2019"/>
      <c r="L24" s="2019"/>
      <c r="M24" s="2019"/>
      <c r="N24" s="2019"/>
      <c r="O24" s="2019"/>
      <c r="P24" s="2019"/>
      <c r="Q24" s="2019"/>
      <c r="R24" s="2019"/>
      <c r="S24" s="2020"/>
      <c r="T24" s="105" t="s">
        <v>530</v>
      </c>
      <c r="U24" s="106"/>
      <c r="V24" s="106"/>
      <c r="W24" s="106"/>
      <c r="X24" s="107"/>
      <c r="Y24" s="107"/>
      <c r="Z24" s="107"/>
      <c r="AA24" s="108"/>
    </row>
    <row r="25" spans="1:27" ht="14.1" customHeight="1">
      <c r="A25" s="2032">
        <v>60436</v>
      </c>
      <c r="B25" s="2033"/>
      <c r="C25" s="2033"/>
      <c r="D25" s="2033"/>
      <c r="E25" s="2033"/>
      <c r="F25" s="2033"/>
      <c r="G25" s="2033"/>
      <c r="H25" s="2034"/>
      <c r="I25" s="113"/>
      <c r="J25" s="2021"/>
      <c r="K25" s="2021"/>
      <c r="L25" s="2021"/>
      <c r="M25" s="2021"/>
      <c r="N25" s="2021"/>
      <c r="O25" s="2021"/>
      <c r="P25" s="2021"/>
      <c r="Q25" s="2021"/>
      <c r="R25" s="2021"/>
      <c r="S25" s="2022"/>
      <c r="T25" s="2075" t="s">
        <v>2043</v>
      </c>
      <c r="U25" s="2076"/>
      <c r="V25" s="2076"/>
      <c r="W25" s="2076"/>
      <c r="X25" s="2076"/>
      <c r="Y25" s="2076"/>
      <c r="Z25" s="2076"/>
      <c r="AA25" s="2077"/>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1161</v>
      </c>
      <c r="D27" s="119"/>
      <c r="E27" s="119"/>
      <c r="I27" s="1971" t="s">
        <v>1508</v>
      </c>
      <c r="J27" s="1972"/>
      <c r="K27" s="1972"/>
      <c r="L27" s="1972"/>
      <c r="M27" s="1972"/>
      <c r="N27" s="1972"/>
      <c r="O27" s="1972"/>
      <c r="P27" s="1972"/>
      <c r="Q27" s="1972"/>
      <c r="R27" s="1972"/>
      <c r="S27" s="1973"/>
      <c r="T27" s="130"/>
      <c r="U27" s="131"/>
      <c r="V27" s="131"/>
      <c r="W27" s="131"/>
      <c r="X27" s="131"/>
      <c r="Y27" s="131"/>
      <c r="Z27" s="131"/>
      <c r="AA27" s="132"/>
    </row>
    <row r="28" spans="1:27" ht="14.1" customHeight="1">
      <c r="A28" s="152"/>
      <c r="B28" s="114"/>
      <c r="C28" s="118" t="s">
        <v>1162</v>
      </c>
      <c r="D28" s="114"/>
      <c r="E28" s="114"/>
      <c r="F28" s="114"/>
      <c r="G28" s="114"/>
      <c r="I28" s="116"/>
      <c r="S28" s="48"/>
      <c r="T28" s="130"/>
      <c r="U28" s="131"/>
      <c r="V28" s="131"/>
      <c r="W28" s="133" t="s">
        <v>1047</v>
      </c>
      <c r="X28" s="131"/>
      <c r="Y28" s="131"/>
      <c r="Z28" s="131"/>
      <c r="AA28" s="132"/>
    </row>
    <row r="29" spans="1:27" ht="14.1" customHeight="1">
      <c r="A29" s="152"/>
      <c r="B29" s="136"/>
      <c r="C29" s="124" t="s">
        <v>819</v>
      </c>
      <c r="D29" s="114"/>
      <c r="E29" s="136" t="s">
        <v>2095</v>
      </c>
      <c r="F29" s="141" t="s">
        <v>1313</v>
      </c>
      <c r="G29" s="114"/>
      <c r="I29" s="54"/>
      <c r="J29" s="1912" t="s">
        <v>2095</v>
      </c>
      <c r="K29" s="28" t="s">
        <v>575</v>
      </c>
      <c r="L29" s="102"/>
      <c r="M29" s="40" t="s">
        <v>99</v>
      </c>
      <c r="N29" s="32" t="s">
        <v>1520</v>
      </c>
      <c r="O29" s="32"/>
      <c r="P29" s="32"/>
      <c r="Q29" s="32"/>
      <c r="R29" s="32"/>
      <c r="S29" s="123"/>
      <c r="T29" s="6"/>
      <c r="U29" s="6"/>
      <c r="V29" s="6"/>
      <c r="W29" s="6"/>
      <c r="X29" s="6"/>
      <c r="Y29" s="6"/>
      <c r="Z29" s="6"/>
      <c r="AA29" s="132"/>
    </row>
    <row r="30" spans="1:27" ht="13.5" customHeight="1">
      <c r="A30" s="153"/>
      <c r="B30" s="136"/>
      <c r="C30" s="124" t="s">
        <v>1163</v>
      </c>
      <c r="D30" s="28"/>
      <c r="E30" s="28"/>
      <c r="F30" s="140"/>
      <c r="G30" s="114"/>
      <c r="H30" s="114"/>
      <c r="I30" s="54"/>
      <c r="J30" s="1912" t="s">
        <v>2095</v>
      </c>
      <c r="K30" s="28" t="s">
        <v>575</v>
      </c>
      <c r="L30" s="102"/>
      <c r="M30" s="40" t="s">
        <v>99</v>
      </c>
      <c r="N30" s="32" t="s">
        <v>1509</v>
      </c>
      <c r="O30" s="32"/>
      <c r="P30" s="32"/>
      <c r="Q30" s="32"/>
      <c r="R30" s="32"/>
      <c r="S30" s="55"/>
      <c r="T30" s="6"/>
      <c r="U30" s="6"/>
      <c r="V30" s="6"/>
      <c r="W30" s="6"/>
      <c r="X30" s="6"/>
      <c r="Y30" s="6"/>
      <c r="Z30" s="6"/>
      <c r="AA30" s="48"/>
    </row>
    <row r="31" spans="1:27" ht="13.5" customHeight="1">
      <c r="A31" s="153"/>
      <c r="B31" s="136"/>
      <c r="C31" s="124" t="s">
        <v>1164</v>
      </c>
      <c r="D31" s="28"/>
      <c r="E31" s="28"/>
      <c r="F31" s="28"/>
      <c r="G31" s="28"/>
      <c r="H31" s="28"/>
      <c r="I31" s="54"/>
      <c r="J31" s="102"/>
      <c r="K31" s="40" t="s">
        <v>884</v>
      </c>
      <c r="L31" s="1912" t="s">
        <v>2095</v>
      </c>
      <c r="M31" s="40" t="s">
        <v>99</v>
      </c>
      <c r="N31" s="32" t="s">
        <v>1593</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48" t="s">
        <v>2035</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c r="A35" s="54"/>
      <c r="B35" s="30"/>
      <c r="C35" s="30"/>
      <c r="D35" s="34"/>
      <c r="E35" s="34"/>
      <c r="F35" s="34"/>
      <c r="G35" s="34"/>
      <c r="H35" s="34"/>
      <c r="I35" s="54"/>
      <c r="J35" s="33"/>
      <c r="L35" s="32" t="s">
        <v>707</v>
      </c>
      <c r="N35" s="33"/>
      <c r="O35" s="33"/>
      <c r="P35" s="1974"/>
      <c r="Q35" s="1975"/>
      <c r="R35" s="1975"/>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c r="A38" s="1991" t="s">
        <v>2111</v>
      </c>
      <c r="B38" s="1992"/>
      <c r="C38" s="1992"/>
      <c r="D38" s="1992"/>
      <c r="E38" s="1992"/>
      <c r="F38" s="1975"/>
      <c r="G38" s="1975"/>
      <c r="H38" s="1993"/>
      <c r="I38" s="1984"/>
      <c r="J38" s="1985"/>
      <c r="K38" s="1985"/>
      <c r="L38" s="1985"/>
      <c r="M38" s="1985"/>
      <c r="N38" s="1985"/>
      <c r="O38" s="1985"/>
      <c r="P38" s="1986"/>
      <c r="Q38" s="1986"/>
      <c r="R38" s="1986"/>
      <c r="S38" s="1987"/>
      <c r="T38" s="2057"/>
      <c r="U38" s="1985"/>
      <c r="V38" s="1985"/>
      <c r="W38" s="1985"/>
      <c r="X38" s="1986"/>
      <c r="Y38" s="1986"/>
      <c r="Z38" s="1986"/>
      <c r="AA38" s="1987"/>
    </row>
    <row r="39" spans="1:27" ht="12" customHeight="1">
      <c r="A39" s="2006" t="s">
        <v>530</v>
      </c>
      <c r="B39" s="2007"/>
      <c r="C39" s="72"/>
      <c r="D39" s="69"/>
      <c r="E39" s="69"/>
      <c r="F39" s="79"/>
      <c r="G39" s="69"/>
      <c r="H39" s="56"/>
      <c r="I39" s="2006" t="s">
        <v>530</v>
      </c>
      <c r="J39" s="2007"/>
      <c r="K39" s="2007"/>
      <c r="L39" s="2007"/>
      <c r="M39" s="2007"/>
      <c r="N39" s="67"/>
      <c r="O39" s="72"/>
      <c r="P39" s="72"/>
      <c r="Q39" s="78"/>
      <c r="R39" s="72"/>
      <c r="S39" s="56"/>
      <c r="T39" s="72" t="s">
        <v>530</v>
      </c>
      <c r="U39" s="51"/>
      <c r="V39" s="72"/>
      <c r="W39" s="50"/>
      <c r="X39" s="78"/>
      <c r="Y39" s="45"/>
      <c r="Z39" s="45"/>
      <c r="AA39" s="46"/>
    </row>
    <row r="40" spans="1:27" ht="13.5" customHeight="1">
      <c r="A40" s="2000" t="s">
        <v>2112</v>
      </c>
      <c r="B40" s="2001"/>
      <c r="C40" s="2002"/>
      <c r="D40" s="2002"/>
      <c r="E40" s="2002"/>
      <c r="F40" s="2003"/>
      <c r="G40" s="2003"/>
      <c r="H40" s="2004"/>
      <c r="I40" s="1997"/>
      <c r="J40" s="1998"/>
      <c r="K40" s="1998"/>
      <c r="L40" s="1998"/>
      <c r="M40" s="1998"/>
      <c r="N40" s="1998"/>
      <c r="O40" s="1998"/>
      <c r="P40" s="1998"/>
      <c r="Q40" s="1998"/>
      <c r="R40" s="1998"/>
      <c r="S40" s="1999"/>
      <c r="T40" s="1997"/>
      <c r="U40" s="2071"/>
      <c r="V40" s="1998"/>
      <c r="W40" s="1998"/>
      <c r="X40" s="1998"/>
      <c r="Y40" s="1998"/>
      <c r="Z40" s="1998"/>
      <c r="AA40" s="1999"/>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1979" t="s">
        <v>2113</v>
      </c>
      <c r="B42" s="1977"/>
      <c r="C42" s="1978"/>
      <c r="D42" s="1976" t="s">
        <v>2114</v>
      </c>
      <c r="E42" s="1977"/>
      <c r="F42" s="1977"/>
      <c r="G42" s="1977"/>
      <c r="H42" s="1978"/>
      <c r="I42" s="2005"/>
      <c r="J42" s="1995"/>
      <c r="K42" s="1995"/>
      <c r="L42" s="1995"/>
      <c r="M42" s="1995"/>
      <c r="N42" s="1995"/>
      <c r="O42" s="1996"/>
      <c r="P42" s="1994"/>
      <c r="Q42" s="1995"/>
      <c r="R42" s="1995"/>
      <c r="S42" s="1996"/>
      <c r="T42" s="2005"/>
      <c r="U42" s="1995"/>
      <c r="V42" s="1995"/>
      <c r="W42" s="1996"/>
      <c r="X42" s="1994"/>
      <c r="Y42" s="1995"/>
      <c r="Z42" s="1995"/>
      <c r="AA42" s="1996"/>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1988"/>
      <c r="B44" s="1989"/>
      <c r="C44" s="1989"/>
      <c r="D44" s="1989"/>
      <c r="E44" s="1989"/>
      <c r="F44" s="1989"/>
      <c r="G44" s="1989"/>
      <c r="H44" s="1990"/>
      <c r="I44" s="1980"/>
      <c r="J44" s="1982"/>
      <c r="K44" s="1982"/>
      <c r="L44" s="1982"/>
      <c r="M44" s="1982"/>
      <c r="N44" s="1982"/>
      <c r="O44" s="1982"/>
      <c r="P44" s="1982"/>
      <c r="Q44" s="1982"/>
      <c r="R44" s="1982"/>
      <c r="S44" s="1983"/>
      <c r="T44" s="1980"/>
      <c r="U44" s="1981"/>
      <c r="V44" s="1981"/>
      <c r="W44" s="1981"/>
      <c r="X44" s="1981"/>
      <c r="Y44" s="1981"/>
      <c r="Z44" s="1982"/>
      <c r="AA44" s="1983"/>
    </row>
    <row r="45" spans="1:27" ht="13.5" customHeight="1">
      <c r="A45" s="41" t="s">
        <v>186</v>
      </c>
      <c r="Q45" s="41" t="s">
        <v>1416</v>
      </c>
      <c r="R45" s="41"/>
      <c r="S45" s="41"/>
      <c r="T45" s="147"/>
      <c r="U45" s="41"/>
      <c r="V45" s="41"/>
      <c r="W45" s="41"/>
      <c r="X45" s="41"/>
      <c r="Y45" s="41"/>
      <c r="Z45" s="41"/>
      <c r="AA45" s="41"/>
    </row>
    <row r="46" spans="1:27" ht="10.5" customHeight="1">
      <c r="A46" s="42" t="s">
        <v>1915</v>
      </c>
      <c r="D46" s="41"/>
      <c r="E46" s="41"/>
      <c r="F46" s="41"/>
      <c r="G46" s="41"/>
      <c r="Q46" s="29" t="s">
        <v>1417</v>
      </c>
      <c r="R46" s="41"/>
      <c r="S46" s="41"/>
      <c r="T46" s="41"/>
      <c r="U46" s="41"/>
      <c r="V46" s="41"/>
      <c r="W46" s="41"/>
      <c r="X46" s="41"/>
      <c r="Y46" s="41"/>
      <c r="Z46" s="41"/>
      <c r="AA46" s="41"/>
    </row>
    <row r="47" spans="1:27">
      <c r="A47" s="137"/>
      <c r="Q47" s="41" t="s">
        <v>1897</v>
      </c>
      <c r="R47" s="41"/>
      <c r="S47" s="41"/>
      <c r="T47" s="41"/>
      <c r="U47" s="41"/>
      <c r="V47" s="41"/>
      <c r="W47" s="41"/>
      <c r="X47" s="41"/>
      <c r="Y47" s="41"/>
      <c r="Z47" s="41"/>
      <c r="AA47" s="41"/>
    </row>
    <row r="48" spans="1:27">
      <c r="Q48" s="41" t="s">
        <v>1898</v>
      </c>
      <c r="R48" s="41"/>
      <c r="S48" s="41"/>
      <c r="T48" s="41"/>
      <c r="U48" s="41"/>
      <c r="V48" s="41"/>
      <c r="W48" s="41"/>
      <c r="X48" s="41"/>
      <c r="Y48" s="41"/>
      <c r="Z48" s="41"/>
      <c r="AA48" s="41"/>
    </row>
  </sheetData>
  <mergeCells count="52">
    <mergeCell ref="T23:W23"/>
    <mergeCell ref="X42:AA42"/>
    <mergeCell ref="T21:W21"/>
    <mergeCell ref="T42:W42"/>
    <mergeCell ref="T38:AA38"/>
    <mergeCell ref="T40:AA40"/>
    <mergeCell ref="X23:AA23"/>
    <mergeCell ref="X21:AA21"/>
    <mergeCell ref="T25:AA25"/>
    <mergeCell ref="A17:H17"/>
    <mergeCell ref="A19:H19"/>
    <mergeCell ref="A21:H21"/>
    <mergeCell ref="T9:AA11"/>
    <mergeCell ref="A10:H10"/>
    <mergeCell ref="A11:H11"/>
    <mergeCell ref="T19:W19"/>
    <mergeCell ref="T13:AA13"/>
    <mergeCell ref="T15:AA15"/>
    <mergeCell ref="Z19:AA19"/>
    <mergeCell ref="X19:Y19"/>
    <mergeCell ref="T17:AA17"/>
    <mergeCell ref="A13:H13"/>
    <mergeCell ref="A15:H15"/>
    <mergeCell ref="J24:S25"/>
    <mergeCell ref="A23:H23"/>
    <mergeCell ref="I21:S21"/>
    <mergeCell ref="I22:S22"/>
    <mergeCell ref="I18:S18"/>
    <mergeCell ref="A25:H25"/>
    <mergeCell ref="I1:S1"/>
    <mergeCell ref="I2:S2"/>
    <mergeCell ref="I7:S7"/>
    <mergeCell ref="I9:S9"/>
    <mergeCell ref="I6:S6"/>
    <mergeCell ref="I3:S3"/>
    <mergeCell ref="I4:S4"/>
    <mergeCell ref="I5:S5"/>
    <mergeCell ref="I27:S27"/>
    <mergeCell ref="P35:R35"/>
    <mergeCell ref="D42:H42"/>
    <mergeCell ref="A42:C42"/>
    <mergeCell ref="T44:AA44"/>
    <mergeCell ref="I38:S38"/>
    <mergeCell ref="A44:H44"/>
    <mergeCell ref="A38:H38"/>
    <mergeCell ref="P42:S42"/>
    <mergeCell ref="I40:S40"/>
    <mergeCell ref="A40:H40"/>
    <mergeCell ref="I42:O42"/>
    <mergeCell ref="I39:M39"/>
    <mergeCell ref="A39:B39"/>
    <mergeCell ref="I44:S44"/>
  </mergeCells>
  <phoneticPr fontId="17" type="noConversion"/>
  <hyperlinks>
    <hyperlink ref="I22" r:id="rId1" display="www.isbe.net/sfms/afr/afr.htm"/>
    <hyperlink ref="I22:S22" r:id="rId2" display="   Send ISBE a File"/>
    <hyperlink ref="T25" r:id="rId3"/>
    <hyperlink ref="A40" r:id="rId4"/>
  </hyperlinks>
  <pageMargins left="0.4" right="0.2" top="0.75" bottom="0.52" header="0.19" footer="0.17"/>
  <pageSetup scale="75" orientation="landscape" r:id="rId5"/>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A4" sqref="A4:F4"/>
    </sheetView>
  </sheetViews>
  <sheetFormatPr defaultColWidth="9.140625" defaultRowHeight="12.75"/>
  <cols>
    <col min="1" max="1" width="41.42578125" style="252" customWidth="1"/>
    <col min="2" max="3" width="17.7109375" style="690" customWidth="1"/>
    <col min="4" max="5" width="17.7109375" style="691" customWidth="1"/>
    <col min="6" max="6" width="17.7109375" style="329" customWidth="1"/>
    <col min="7" max="7" width="4.28515625" style="329" customWidth="1"/>
    <col min="8" max="8" width="33.28515625" style="329" customWidth="1"/>
    <col min="9" max="16384" width="9.140625" style="329"/>
  </cols>
  <sheetData>
    <row r="1" spans="1:6" ht="33.75" customHeight="1">
      <c r="A1" s="1789" t="s">
        <v>104</v>
      </c>
    </row>
    <row r="2" spans="1:6" ht="39.75" customHeight="1">
      <c r="A2" s="2211" t="s">
        <v>1774</v>
      </c>
      <c r="B2" s="1437" t="s">
        <v>1922</v>
      </c>
      <c r="C2" s="692" t="s">
        <v>1923</v>
      </c>
      <c r="D2" s="692" t="s">
        <v>1924</v>
      </c>
      <c r="E2" s="692" t="s">
        <v>1925</v>
      </c>
      <c r="F2" s="692" t="s">
        <v>1926</v>
      </c>
    </row>
    <row r="3" spans="1:6" ht="12" customHeight="1">
      <c r="A3" s="2212"/>
      <c r="B3" s="1434"/>
      <c r="C3" s="1435"/>
      <c r="D3" s="1436" t="s">
        <v>256</v>
      </c>
      <c r="E3" s="1435"/>
      <c r="F3" s="1436" t="s">
        <v>257</v>
      </c>
    </row>
    <row r="4" spans="1:6" ht="13.7" customHeight="1">
      <c r="A4" s="693" t="s">
        <v>1154</v>
      </c>
      <c r="B4" s="1656">
        <f>'Revenues 9-14'!C5</f>
        <v>47639449</v>
      </c>
      <c r="C4" s="1433">
        <v>24706685</v>
      </c>
      <c r="D4" s="1659">
        <f>B4-C4</f>
        <v>22932764</v>
      </c>
      <c r="E4" s="1433">
        <v>48970213</v>
      </c>
      <c r="F4" s="1659">
        <f>E4-C4</f>
        <v>24263528</v>
      </c>
    </row>
    <row r="5" spans="1:6" ht="13.7" customHeight="1">
      <c r="A5" s="693" t="s">
        <v>869</v>
      </c>
      <c r="B5" s="1657">
        <f>'Revenues 9-14'!D5</f>
        <v>9031059</v>
      </c>
      <c r="C5" s="572">
        <v>4657506</v>
      </c>
      <c r="D5" s="1660">
        <f t="shared" ref="D5:D18" si="0">B5-C5</f>
        <v>4373553</v>
      </c>
      <c r="E5" s="572">
        <v>9231472</v>
      </c>
      <c r="F5" s="1660">
        <f>E5-C5</f>
        <v>4573966</v>
      </c>
    </row>
    <row r="6" spans="1:6" ht="13.7" customHeight="1">
      <c r="A6" s="693" t="s">
        <v>410</v>
      </c>
      <c r="B6" s="1657">
        <f>'Revenues 9-14'!E5</f>
        <v>7494504</v>
      </c>
      <c r="C6" s="572">
        <v>3825483</v>
      </c>
      <c r="D6" s="1660">
        <f t="shared" si="0"/>
        <v>3669021</v>
      </c>
      <c r="E6" s="572">
        <v>7582348</v>
      </c>
      <c r="F6" s="1660">
        <f t="shared" ref="F6:F18" si="1">E6-C6</f>
        <v>3756865</v>
      </c>
    </row>
    <row r="7" spans="1:6" ht="13.7" customHeight="1">
      <c r="A7" s="693" t="s">
        <v>155</v>
      </c>
      <c r="B7" s="1657">
        <f>'Revenues 9-14'!F5</f>
        <v>3536373</v>
      </c>
      <c r="C7" s="572">
        <v>1910460</v>
      </c>
      <c r="D7" s="1660">
        <f t="shared" si="0"/>
        <v>1625913</v>
      </c>
      <c r="E7" s="572">
        <v>3786652</v>
      </c>
      <c r="F7" s="1660">
        <f t="shared" si="1"/>
        <v>1876192</v>
      </c>
    </row>
    <row r="8" spans="1:6" ht="13.7" customHeight="1">
      <c r="A8" s="693" t="s">
        <v>1178</v>
      </c>
      <c r="B8" s="1657">
        <f>'Revenues 9-14'!G5</f>
        <v>1641681</v>
      </c>
      <c r="C8" s="572">
        <v>748365</v>
      </c>
      <c r="D8" s="1660">
        <f t="shared" si="0"/>
        <v>893316</v>
      </c>
      <c r="E8" s="572">
        <v>1483306</v>
      </c>
      <c r="F8" s="1660">
        <f t="shared" si="1"/>
        <v>734941</v>
      </c>
    </row>
    <row r="9" spans="1:6" ht="13.7" customHeight="1">
      <c r="A9" s="693" t="s">
        <v>407</v>
      </c>
      <c r="B9" s="1657">
        <f>'Revenues 9-14'!H5</f>
        <v>0</v>
      </c>
      <c r="C9" s="572">
        <v>0</v>
      </c>
      <c r="D9" s="1660">
        <f t="shared" si="0"/>
        <v>0</v>
      </c>
      <c r="E9" s="572">
        <v>0</v>
      </c>
      <c r="F9" s="1660">
        <f t="shared" si="1"/>
        <v>0</v>
      </c>
    </row>
    <row r="10" spans="1:6" ht="13.7" customHeight="1">
      <c r="A10" s="693" t="s">
        <v>406</v>
      </c>
      <c r="B10" s="1657">
        <f>'Revenues 9-14'!I5</f>
        <v>988228</v>
      </c>
      <c r="C10" s="572">
        <v>498910</v>
      </c>
      <c r="D10" s="1660">
        <f t="shared" si="0"/>
        <v>489318</v>
      </c>
      <c r="E10" s="572">
        <v>988871</v>
      </c>
      <c r="F10" s="1660">
        <f t="shared" si="1"/>
        <v>489961</v>
      </c>
    </row>
    <row r="11" spans="1:6">
      <c r="A11" s="693" t="s">
        <v>408</v>
      </c>
      <c r="B11" s="1657">
        <f>'Revenues 9-14'!J5</f>
        <v>4361898</v>
      </c>
      <c r="C11" s="572">
        <v>2277037</v>
      </c>
      <c r="D11" s="1660">
        <f t="shared" si="0"/>
        <v>2084861</v>
      </c>
      <c r="E11" s="572">
        <v>4513231</v>
      </c>
      <c r="F11" s="1660">
        <f t="shared" si="1"/>
        <v>2236194</v>
      </c>
    </row>
    <row r="12" spans="1:6" ht="13.7" customHeight="1">
      <c r="A12" s="693" t="s">
        <v>157</v>
      </c>
      <c r="B12" s="1657">
        <f>'Revenues 9-14'!K5</f>
        <v>0</v>
      </c>
      <c r="C12" s="572">
        <v>0</v>
      </c>
      <c r="D12" s="1660">
        <f t="shared" si="0"/>
        <v>0</v>
      </c>
      <c r="E12" s="572">
        <v>0</v>
      </c>
      <c r="F12" s="1660">
        <f t="shared" si="1"/>
        <v>0</v>
      </c>
    </row>
    <row r="13" spans="1:6" ht="13.7" customHeight="1">
      <c r="A13" s="693" t="s">
        <v>935</v>
      </c>
      <c r="B13" s="1657">
        <f>SUM('Revenues 9-14'!C6:D6)</f>
        <v>0</v>
      </c>
      <c r="C13" s="572">
        <v>0</v>
      </c>
      <c r="D13" s="1660">
        <f t="shared" si="0"/>
        <v>0</v>
      </c>
      <c r="E13" s="572">
        <v>0</v>
      </c>
      <c r="F13" s="1660">
        <f t="shared" si="1"/>
        <v>0</v>
      </c>
    </row>
    <row r="14" spans="1:6" ht="13.7" customHeight="1">
      <c r="A14" s="693" t="s">
        <v>409</v>
      </c>
      <c r="B14" s="1657">
        <f>SUM('Revenues 9-14'!C7:D7,'Revenues 9-14'!F7:H7)</f>
        <v>100757</v>
      </c>
      <c r="C14" s="572">
        <v>51716</v>
      </c>
      <c r="D14" s="1660">
        <f t="shared" si="0"/>
        <v>49041</v>
      </c>
      <c r="E14" s="572">
        <v>102505</v>
      </c>
      <c r="F14" s="1660">
        <f t="shared" si="1"/>
        <v>50789</v>
      </c>
    </row>
    <row r="15" spans="1:6" ht="13.7" customHeight="1">
      <c r="A15" s="693" t="s">
        <v>1157</v>
      </c>
      <c r="B15" s="1657">
        <f>SUM('Revenues 9-14'!D9:E9,'Revenues 9-14'!H9)</f>
        <v>0</v>
      </c>
      <c r="C15" s="572">
        <v>0</v>
      </c>
      <c r="D15" s="1660">
        <f t="shared" si="0"/>
        <v>0</v>
      </c>
      <c r="E15" s="572">
        <v>0</v>
      </c>
      <c r="F15" s="1660">
        <f t="shared" si="1"/>
        <v>0</v>
      </c>
    </row>
    <row r="16" spans="1:6" ht="13.7" customHeight="1">
      <c r="A16" s="693" t="s">
        <v>1158</v>
      </c>
      <c r="B16" s="1657">
        <f>'Revenues 9-14'!G8</f>
        <v>1920832</v>
      </c>
      <c r="C16" s="572">
        <v>897429</v>
      </c>
      <c r="D16" s="1660">
        <f t="shared" si="0"/>
        <v>1023403</v>
      </c>
      <c r="E16" s="572">
        <v>1778762</v>
      </c>
      <c r="F16" s="1660">
        <f t="shared" si="1"/>
        <v>881333</v>
      </c>
    </row>
    <row r="17" spans="1:6" ht="13.7" customHeight="1">
      <c r="A17" s="693" t="s">
        <v>1159</v>
      </c>
      <c r="B17" s="1657">
        <f>'Revenues 9-14'!C10</f>
        <v>0</v>
      </c>
      <c r="C17" s="572"/>
      <c r="D17" s="1660">
        <f t="shared" si="0"/>
        <v>0</v>
      </c>
      <c r="E17" s="572"/>
      <c r="F17" s="1660">
        <f t="shared" si="1"/>
        <v>0</v>
      </c>
    </row>
    <row r="18" spans="1:6" ht="13.7" customHeight="1">
      <c r="A18" s="693" t="s">
        <v>761</v>
      </c>
      <c r="B18" s="1657">
        <f>SUM('Revenues 9-14'!C11:K11)</f>
        <v>0</v>
      </c>
      <c r="C18" s="572"/>
      <c r="D18" s="1660">
        <f t="shared" si="0"/>
        <v>0</v>
      </c>
      <c r="E18" s="572"/>
      <c r="F18" s="1660">
        <f t="shared" si="1"/>
        <v>0</v>
      </c>
    </row>
    <row r="19" spans="1:6" ht="13.7" customHeight="1" thickBot="1">
      <c r="A19" s="1661" t="s">
        <v>1160</v>
      </c>
      <c r="B19" s="1658">
        <f>SUM(B4:B18)</f>
        <v>76714781</v>
      </c>
      <c r="C19" s="1658">
        <f>SUM(C4:C18)</f>
        <v>39573591</v>
      </c>
      <c r="D19" s="1658">
        <f>SUM(D4:D18)</f>
        <v>37141190</v>
      </c>
      <c r="E19" s="1658">
        <f>SUM(E4:E18)</f>
        <v>78437360</v>
      </c>
      <c r="F19" s="1658">
        <f>SUM(F4:F18)</f>
        <v>38863769</v>
      </c>
    </row>
    <row r="20" spans="1:6" ht="13.5" thickTop="1">
      <c r="B20" s="691"/>
      <c r="F20" s="694"/>
    </row>
    <row r="21" spans="1:6">
      <c r="A21" s="695" t="s">
        <v>1780</v>
      </c>
      <c r="B21" s="696"/>
      <c r="F21" s="694"/>
    </row>
    <row r="22" spans="1:6">
      <c r="A22" s="697" t="s">
        <v>627</v>
      </c>
      <c r="B22" s="698"/>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8" colorId="8" zoomScale="110" zoomScaleNormal="110" workbookViewId="0">
      <selection activeCell="A4" sqref="A4:F4"/>
    </sheetView>
  </sheetViews>
  <sheetFormatPr defaultColWidth="9.140625" defaultRowHeight="12.75"/>
  <cols>
    <col min="1" max="1" width="44" style="401" customWidth="1"/>
    <col min="2" max="2" width="12.140625" style="700" customWidth="1"/>
    <col min="3" max="5" width="16.7109375" style="700" customWidth="1"/>
    <col min="6" max="6" width="13.42578125" style="384" customWidth="1"/>
    <col min="7" max="7" width="14.7109375" style="384" customWidth="1"/>
    <col min="8" max="10" width="16.7109375" style="384" customWidth="1"/>
    <col min="11" max="16384" width="9.140625" style="384"/>
  </cols>
  <sheetData>
    <row r="1" spans="1:7" ht="27" customHeight="1">
      <c r="A1" s="2233" t="s">
        <v>628</v>
      </c>
      <c r="B1" s="2231"/>
      <c r="C1" s="699"/>
    </row>
    <row r="2" spans="1:7" ht="33.75">
      <c r="A2" s="2238" t="s">
        <v>1774</v>
      </c>
      <c r="B2" s="2239"/>
      <c r="C2" s="1790" t="s">
        <v>1927</v>
      </c>
      <c r="D2" s="701" t="s">
        <v>1928</v>
      </c>
      <c r="E2" s="701" t="s">
        <v>1929</v>
      </c>
      <c r="F2" s="1790" t="s">
        <v>1930</v>
      </c>
    </row>
    <row r="3" spans="1:7" ht="15.75" customHeight="1">
      <c r="A3" s="2240" t="s">
        <v>1113</v>
      </c>
      <c r="B3" s="2241"/>
      <c r="C3" s="2234"/>
      <c r="D3" s="2235"/>
      <c r="E3" s="2235"/>
      <c r="F3" s="2236"/>
    </row>
    <row r="4" spans="1:7" ht="12.75" customHeight="1" thickBot="1">
      <c r="A4" s="2228" t="s">
        <v>629</v>
      </c>
      <c r="B4" s="2229"/>
      <c r="C4" s="569"/>
      <c r="D4" s="569"/>
      <c r="E4" s="569"/>
      <c r="F4" s="1662">
        <f>SUM(C4+D4)-E4</f>
        <v>0</v>
      </c>
    </row>
    <row r="5" spans="1:7" ht="15.75" customHeight="1" thickTop="1">
      <c r="A5" s="2232" t="s">
        <v>1109</v>
      </c>
      <c r="B5" s="2227"/>
      <c r="C5" s="2221"/>
      <c r="D5" s="2222"/>
      <c r="E5" s="2222"/>
      <c r="F5" s="2223"/>
    </row>
    <row r="6" spans="1:7" ht="12.75" customHeight="1" thickBot="1">
      <c r="A6" s="702" t="s">
        <v>64</v>
      </c>
      <c r="B6" s="703"/>
      <c r="C6" s="704"/>
      <c r="D6" s="572"/>
      <c r="E6" s="704"/>
      <c r="F6" s="1662">
        <f t="shared" ref="F6:F14" si="0">SUM(C6+D6)-E6</f>
        <v>0</v>
      </c>
    </row>
    <row r="7" spans="1:7" ht="12.75" customHeight="1" thickTop="1" thickBot="1">
      <c r="A7" s="702" t="s">
        <v>6</v>
      </c>
      <c r="B7" s="703"/>
      <c r="C7" s="704"/>
      <c r="D7" s="572"/>
      <c r="E7" s="704"/>
      <c r="F7" s="1662">
        <f t="shared" si="0"/>
        <v>0</v>
      </c>
    </row>
    <row r="8" spans="1:7" ht="12.75" customHeight="1" thickTop="1" thickBot="1">
      <c r="A8" s="702" t="s">
        <v>507</v>
      </c>
      <c r="B8" s="703"/>
      <c r="C8" s="704"/>
      <c r="D8" s="572"/>
      <c r="E8" s="704"/>
      <c r="F8" s="1662">
        <f t="shared" si="0"/>
        <v>0</v>
      </c>
    </row>
    <row r="9" spans="1:7" ht="12.75" customHeight="1" thickTop="1" thickBot="1">
      <c r="A9" s="702" t="s">
        <v>508</v>
      </c>
      <c r="B9" s="703"/>
      <c r="C9" s="704"/>
      <c r="D9" s="572"/>
      <c r="E9" s="704"/>
      <c r="F9" s="1662">
        <f t="shared" si="0"/>
        <v>0</v>
      </c>
    </row>
    <row r="10" spans="1:7" ht="12.75" customHeight="1" thickTop="1" thickBot="1">
      <c r="A10" s="702" t="s">
        <v>509</v>
      </c>
      <c r="B10" s="703"/>
      <c r="C10" s="704"/>
      <c r="D10" s="572"/>
      <c r="E10" s="704"/>
      <c r="F10" s="1662">
        <f t="shared" si="0"/>
        <v>0</v>
      </c>
    </row>
    <row r="11" spans="1:7" ht="12.75" customHeight="1" thickTop="1" thickBot="1">
      <c r="A11" s="702" t="s">
        <v>340</v>
      </c>
      <c r="B11" s="703"/>
      <c r="C11" s="704"/>
      <c r="D11" s="572"/>
      <c r="E11" s="704"/>
      <c r="F11" s="1662">
        <f t="shared" si="0"/>
        <v>0</v>
      </c>
    </row>
    <row r="12" spans="1:7" ht="12.75" customHeight="1" thickTop="1" thickBot="1">
      <c r="A12" s="702" t="s">
        <v>1156</v>
      </c>
      <c r="B12" s="703"/>
      <c r="C12" s="704"/>
      <c r="D12" s="572"/>
      <c r="E12" s="704"/>
      <c r="F12" s="1662">
        <f t="shared" si="0"/>
        <v>0</v>
      </c>
    </row>
    <row r="13" spans="1:7" ht="12.75" customHeight="1" thickTop="1" thickBot="1">
      <c r="A13" s="702" t="s">
        <v>387</v>
      </c>
      <c r="B13" s="703"/>
      <c r="C13" s="704"/>
      <c r="D13" s="572"/>
      <c r="E13" s="704"/>
      <c r="F13" s="1662">
        <f t="shared" si="0"/>
        <v>0</v>
      </c>
    </row>
    <row r="14" spans="1:7" ht="12.75" customHeight="1" thickTop="1" thickBot="1">
      <c r="A14" s="702" t="s">
        <v>447</v>
      </c>
      <c r="B14" s="703"/>
      <c r="C14" s="704"/>
      <c r="D14" s="572"/>
      <c r="E14" s="704"/>
      <c r="F14" s="1662">
        <f t="shared" si="0"/>
        <v>0</v>
      </c>
    </row>
    <row r="15" spans="1:7" ht="14.25" thickTop="1" thickBot="1">
      <c r="A15" s="2224" t="s">
        <v>630</v>
      </c>
      <c r="B15" s="2225"/>
      <c r="C15" s="1662">
        <f>SUM(C6:C14)</f>
        <v>0</v>
      </c>
      <c r="D15" s="1662">
        <f>SUM(D6:D14)</f>
        <v>0</v>
      </c>
      <c r="E15" s="1662">
        <f>SUM(E6:E14)</f>
        <v>0</v>
      </c>
      <c r="F15" s="1662">
        <f>SUM(F6:F14)</f>
        <v>0</v>
      </c>
      <c r="G15" s="550"/>
    </row>
    <row r="16" spans="1:7" s="202" customFormat="1" ht="15.75" customHeight="1" thickTop="1">
      <c r="A16" s="2237" t="s">
        <v>1110</v>
      </c>
      <c r="B16" s="2227"/>
      <c r="C16" s="2221"/>
      <c r="D16" s="2222"/>
      <c r="E16" s="2222"/>
      <c r="F16" s="2223"/>
    </row>
    <row r="17" spans="1:11" ht="12.75" customHeight="1" thickBot="1">
      <c r="A17" s="2219" t="s">
        <v>64</v>
      </c>
      <c r="B17" s="2220"/>
      <c r="C17" s="704"/>
      <c r="D17" s="572"/>
      <c r="E17" s="704"/>
      <c r="F17" s="1662">
        <f>SUM(C17+D17)-E17</f>
        <v>0</v>
      </c>
    </row>
    <row r="18" spans="1:11" ht="12.75" customHeight="1" thickTop="1" thickBot="1">
      <c r="A18" s="2219" t="s">
        <v>6</v>
      </c>
      <c r="B18" s="2220"/>
      <c r="C18" s="704"/>
      <c r="D18" s="572"/>
      <c r="E18" s="704"/>
      <c r="F18" s="1662">
        <f>SUM(C18+D18)-E18</f>
        <v>0</v>
      </c>
    </row>
    <row r="19" spans="1:11" ht="12.75" customHeight="1" thickTop="1" thickBot="1">
      <c r="A19" s="2219" t="s">
        <v>387</v>
      </c>
      <c r="B19" s="2220"/>
      <c r="C19" s="704"/>
      <c r="D19" s="572"/>
      <c r="E19" s="704"/>
      <c r="F19" s="1662">
        <f>SUM(C19+D19)-E19</f>
        <v>0</v>
      </c>
    </row>
    <row r="20" spans="1:11" ht="12.75" customHeight="1" thickTop="1" thickBot="1">
      <c r="A20" s="2219" t="s">
        <v>447</v>
      </c>
      <c r="B20" s="2220"/>
      <c r="C20" s="704"/>
      <c r="D20" s="572"/>
      <c r="E20" s="704"/>
      <c r="F20" s="1662">
        <f>SUM(C20+D20)-E20</f>
        <v>0</v>
      </c>
    </row>
    <row r="21" spans="1:11" ht="14.25" thickTop="1" thickBot="1">
      <c r="A21" s="2224" t="s">
        <v>631</v>
      </c>
      <c r="B21" s="2225"/>
      <c r="C21" s="1662">
        <f>SUM(C17:C20)</f>
        <v>0</v>
      </c>
      <c r="D21" s="1662">
        <f>SUM(D17:D20)</f>
        <v>0</v>
      </c>
      <c r="E21" s="1662">
        <f>SUM(E17:E20)</f>
        <v>0</v>
      </c>
      <c r="F21" s="1662">
        <f>SUM(F17:F20)</f>
        <v>0</v>
      </c>
      <c r="G21" s="550"/>
    </row>
    <row r="22" spans="1:11" ht="15.75" customHeight="1" thickTop="1">
      <c r="A22" s="2226" t="s">
        <v>1111</v>
      </c>
      <c r="B22" s="2227"/>
      <c r="C22" s="2221"/>
      <c r="D22" s="2222"/>
      <c r="E22" s="2222"/>
      <c r="F22" s="2223"/>
    </row>
    <row r="23" spans="1:11" ht="13.5" thickBot="1">
      <c r="A23" s="2228" t="s">
        <v>632</v>
      </c>
      <c r="B23" s="2229"/>
      <c r="C23" s="569"/>
      <c r="D23" s="569"/>
      <c r="E23" s="569"/>
      <c r="F23" s="1662">
        <f>SUM(C23+D23)-E23</f>
        <v>0</v>
      </c>
      <c r="G23" s="550"/>
    </row>
    <row r="24" spans="1:11" ht="15.75" customHeight="1" thickTop="1">
      <c r="A24" s="2226" t="s">
        <v>1112</v>
      </c>
      <c r="B24" s="2227"/>
      <c r="C24" s="2221"/>
      <c r="D24" s="2222"/>
      <c r="E24" s="2222"/>
      <c r="F24" s="2223"/>
    </row>
    <row r="25" spans="1:11" ht="13.5" thickBot="1">
      <c r="A25" s="2228" t="s">
        <v>633</v>
      </c>
      <c r="B25" s="2229"/>
      <c r="C25" s="569"/>
      <c r="D25" s="569"/>
      <c r="E25" s="569"/>
      <c r="F25" s="1662">
        <f>SUM(C25+D25)-E25</f>
        <v>0</v>
      </c>
      <c r="G25" s="550"/>
    </row>
    <row r="26" spans="1:11" ht="15.75" customHeight="1" thickTop="1">
      <c r="A26" s="2232" t="s">
        <v>656</v>
      </c>
      <c r="B26" s="2227"/>
      <c r="C26" s="705"/>
      <c r="D26" s="705"/>
      <c r="E26" s="705"/>
      <c r="F26" s="706"/>
    </row>
    <row r="27" spans="1:11" ht="13.5" thickBot="1">
      <c r="A27" s="2224" t="s">
        <v>1069</v>
      </c>
      <c r="B27" s="2225"/>
      <c r="C27" s="572"/>
      <c r="D27" s="572"/>
      <c r="E27" s="572"/>
      <c r="F27" s="1662">
        <f>SUM(C27+D27)-E27</f>
        <v>0</v>
      </c>
      <c r="G27" s="550"/>
    </row>
    <row r="28" spans="1:11" ht="7.5" customHeight="1" thickTop="1">
      <c r="A28" s="576"/>
    </row>
    <row r="29" spans="1:11" ht="23.25" customHeight="1">
      <c r="A29" s="2230" t="s">
        <v>581</v>
      </c>
      <c r="B29" s="2231"/>
      <c r="C29" s="707"/>
      <c r="D29" s="707"/>
      <c r="E29" s="707"/>
      <c r="F29" s="707"/>
      <c r="G29" s="707"/>
      <c r="H29" s="707"/>
      <c r="I29" s="707"/>
      <c r="J29" s="707"/>
    </row>
    <row r="30" spans="1:11" ht="33.75">
      <c r="A30" s="1438" t="s">
        <v>1070</v>
      </c>
      <c r="B30" s="708" t="s">
        <v>1123</v>
      </c>
      <c r="C30" s="1791" t="s">
        <v>582</v>
      </c>
      <c r="D30" s="1791" t="s">
        <v>1666</v>
      </c>
      <c r="E30" s="1791" t="s">
        <v>1931</v>
      </c>
      <c r="F30" s="1791" t="s">
        <v>1932</v>
      </c>
      <c r="G30" s="1791" t="s">
        <v>1882</v>
      </c>
      <c r="H30" s="1791" t="s">
        <v>1933</v>
      </c>
      <c r="I30" s="1791" t="s">
        <v>1934</v>
      </c>
      <c r="J30" s="1792" t="s">
        <v>2</v>
      </c>
      <c r="K30" s="709"/>
    </row>
    <row r="31" spans="1:11" ht="12" customHeight="1">
      <c r="A31" s="1901" t="s">
        <v>2096</v>
      </c>
      <c r="B31" s="1899">
        <v>39462</v>
      </c>
      <c r="C31" s="1900">
        <v>8030000</v>
      </c>
      <c r="D31" s="1904" t="s">
        <v>2106</v>
      </c>
      <c r="E31" s="712">
        <v>3095000</v>
      </c>
      <c r="F31" s="712"/>
      <c r="G31" s="712"/>
      <c r="H31" s="712">
        <v>265000</v>
      </c>
      <c r="I31" s="1663">
        <f>((E31+F31)-H31)+G31</f>
        <v>2830000</v>
      </c>
      <c r="J31" s="712">
        <v>0</v>
      </c>
      <c r="K31" s="714"/>
    </row>
    <row r="32" spans="1:11" ht="12" customHeight="1">
      <c r="A32" s="1901" t="s">
        <v>2097</v>
      </c>
      <c r="B32" s="1899">
        <v>40283</v>
      </c>
      <c r="C32" s="1902">
        <v>15750000</v>
      </c>
      <c r="D32" s="1904" t="s">
        <v>2107</v>
      </c>
      <c r="E32" s="712">
        <v>15750000</v>
      </c>
      <c r="F32" s="712"/>
      <c r="G32" s="712"/>
      <c r="H32" s="712"/>
      <c r="I32" s="1663">
        <f>((E32+F32)-H32)+G32</f>
        <v>15750000</v>
      </c>
      <c r="J32" s="712">
        <f>82815331-67431139</f>
        <v>15384192</v>
      </c>
      <c r="K32" s="714"/>
    </row>
    <row r="33" spans="1:11" ht="12" customHeight="1">
      <c r="A33" s="1901" t="s">
        <v>2098</v>
      </c>
      <c r="B33" s="1899">
        <v>40599</v>
      </c>
      <c r="C33" s="1900">
        <v>11070000</v>
      </c>
      <c r="D33" s="1904">
        <v>1</v>
      </c>
      <c r="E33" s="712">
        <v>11070000</v>
      </c>
      <c r="F33" s="712"/>
      <c r="G33" s="712"/>
      <c r="H33" s="712"/>
      <c r="I33" s="1663">
        <f t="shared" ref="I33:I48" si="1">((E33+F33)-H33)+G33</f>
        <v>11070000</v>
      </c>
      <c r="J33" s="712">
        <v>11070000</v>
      </c>
      <c r="K33" s="714"/>
    </row>
    <row r="34" spans="1:11" ht="12" customHeight="1">
      <c r="A34" s="1901" t="s">
        <v>2099</v>
      </c>
      <c r="B34" s="1899">
        <v>40953</v>
      </c>
      <c r="C34" s="1898">
        <v>6770000</v>
      </c>
      <c r="D34" s="1905">
        <v>1</v>
      </c>
      <c r="E34" s="1907">
        <v>6770000</v>
      </c>
      <c r="F34" s="712"/>
      <c r="G34" s="712"/>
      <c r="H34" s="712"/>
      <c r="I34" s="1663">
        <f t="shared" si="1"/>
        <v>6770000</v>
      </c>
      <c r="J34" s="712">
        <v>6770000</v>
      </c>
      <c r="K34" s="715"/>
    </row>
    <row r="35" spans="1:11" ht="12" customHeight="1">
      <c r="A35" s="1901" t="s">
        <v>2100</v>
      </c>
      <c r="B35" s="1899">
        <v>41584</v>
      </c>
      <c r="C35" s="1900">
        <v>9830000</v>
      </c>
      <c r="D35" s="1903" t="s">
        <v>2108</v>
      </c>
      <c r="E35" s="1908">
        <v>9155000</v>
      </c>
      <c r="F35" s="716"/>
      <c r="G35" s="716"/>
      <c r="H35" s="716">
        <v>1460000</v>
      </c>
      <c r="I35" s="1663">
        <f t="shared" si="1"/>
        <v>7695000</v>
      </c>
      <c r="J35" s="716">
        <v>7695000</v>
      </c>
      <c r="K35" s="715"/>
    </row>
    <row r="36" spans="1:11" ht="12" customHeight="1">
      <c r="A36" s="1901" t="s">
        <v>2101</v>
      </c>
      <c r="B36" s="1899">
        <v>41717</v>
      </c>
      <c r="C36" s="1900">
        <v>9720000</v>
      </c>
      <c r="D36" s="1903">
        <v>1</v>
      </c>
      <c r="E36" s="1907">
        <v>9605000</v>
      </c>
      <c r="F36" s="712"/>
      <c r="G36" s="712"/>
      <c r="H36" s="712"/>
      <c r="I36" s="1663">
        <f t="shared" si="1"/>
        <v>9605000</v>
      </c>
      <c r="J36" s="712">
        <v>9605000</v>
      </c>
      <c r="K36" s="717"/>
    </row>
    <row r="37" spans="1:11" ht="12" customHeight="1">
      <c r="A37" s="1901" t="s">
        <v>2102</v>
      </c>
      <c r="B37" s="1899">
        <v>42080</v>
      </c>
      <c r="C37" s="1900">
        <v>14790000</v>
      </c>
      <c r="D37" s="1903">
        <v>1</v>
      </c>
      <c r="E37" s="1906">
        <v>14425000</v>
      </c>
      <c r="F37" s="467"/>
      <c r="G37" s="467"/>
      <c r="H37" s="467">
        <v>125000</v>
      </c>
      <c r="I37" s="1663">
        <f t="shared" si="1"/>
        <v>14300000</v>
      </c>
      <c r="J37" s="467">
        <v>14300000</v>
      </c>
      <c r="K37" s="715"/>
    </row>
    <row r="38" spans="1:11" ht="12" customHeight="1">
      <c r="A38" s="1901" t="s">
        <v>2103</v>
      </c>
      <c r="B38" s="1899">
        <v>42829</v>
      </c>
      <c r="C38" s="1900">
        <v>7200000</v>
      </c>
      <c r="D38" s="1903" t="s">
        <v>2108</v>
      </c>
      <c r="E38" s="1909">
        <v>3090000</v>
      </c>
      <c r="F38" s="719"/>
      <c r="G38" s="719"/>
      <c r="H38" s="719">
        <v>1020000</v>
      </c>
      <c r="I38" s="1663">
        <f t="shared" si="1"/>
        <v>2070000</v>
      </c>
      <c r="J38" s="720">
        <v>2070000</v>
      </c>
      <c r="K38" s="721"/>
    </row>
    <row r="39" spans="1:11" ht="12" customHeight="1">
      <c r="A39" s="1901" t="s">
        <v>2104</v>
      </c>
      <c r="B39" s="1899">
        <v>42829</v>
      </c>
      <c r="C39" s="1900">
        <v>16340000</v>
      </c>
      <c r="D39" s="1903" t="s">
        <v>2108</v>
      </c>
      <c r="E39" s="1909">
        <v>15590000</v>
      </c>
      <c r="F39" s="719"/>
      <c r="G39" s="719"/>
      <c r="H39" s="719">
        <v>930000</v>
      </c>
      <c r="I39" s="1663">
        <f t="shared" si="1"/>
        <v>14660000</v>
      </c>
      <c r="J39" s="720">
        <v>14660000</v>
      </c>
      <c r="K39" s="721"/>
    </row>
    <row r="40" spans="1:11" ht="12" customHeight="1">
      <c r="A40" s="1901" t="s">
        <v>2105</v>
      </c>
      <c r="B40" s="1899">
        <v>43090</v>
      </c>
      <c r="C40" s="1900">
        <v>2101899</v>
      </c>
      <c r="D40" s="1903">
        <v>7</v>
      </c>
      <c r="E40" s="1909">
        <v>1681519</v>
      </c>
      <c r="F40" s="719"/>
      <c r="G40" s="719"/>
      <c r="H40" s="719">
        <v>420380</v>
      </c>
      <c r="I40" s="1663">
        <f t="shared" si="1"/>
        <v>1261139</v>
      </c>
      <c r="J40" s="720">
        <v>1261139</v>
      </c>
      <c r="K40" s="721"/>
    </row>
    <row r="41" spans="1:11" ht="12" customHeight="1">
      <c r="A41" s="1895"/>
      <c r="B41" s="1896"/>
      <c r="C41" s="1897"/>
      <c r="D41" s="1903"/>
      <c r="E41" s="719"/>
      <c r="F41" s="719"/>
      <c r="G41" s="719"/>
      <c r="H41" s="719"/>
      <c r="I41" s="1663">
        <f t="shared" si="1"/>
        <v>0</v>
      </c>
      <c r="J41" s="720"/>
      <c r="K41" s="721"/>
    </row>
    <row r="42" spans="1:11" ht="12" customHeight="1">
      <c r="A42" s="710"/>
      <c r="B42" s="711"/>
      <c r="C42" s="712"/>
      <c r="D42" s="718"/>
      <c r="E42" s="719"/>
      <c r="F42" s="719"/>
      <c r="G42" s="719"/>
      <c r="H42" s="719"/>
      <c r="I42" s="1663">
        <f t="shared" si="1"/>
        <v>0</v>
      </c>
      <c r="J42" s="720"/>
      <c r="K42" s="721"/>
    </row>
    <row r="43" spans="1:11" ht="12" customHeight="1">
      <c r="A43" s="710"/>
      <c r="B43" s="711"/>
      <c r="C43" s="712"/>
      <c r="D43" s="718"/>
      <c r="E43" s="719"/>
      <c r="F43" s="719"/>
      <c r="G43" s="719"/>
      <c r="H43" s="719"/>
      <c r="I43" s="1663">
        <f t="shared" si="1"/>
        <v>0</v>
      </c>
      <c r="J43" s="720"/>
      <c r="K43" s="721"/>
    </row>
    <row r="44" spans="1:11" ht="12" customHeight="1">
      <c r="A44" s="710"/>
      <c r="B44" s="711"/>
      <c r="C44" s="712"/>
      <c r="D44" s="713"/>
      <c r="E44" s="712"/>
      <c r="F44" s="712"/>
      <c r="G44" s="712"/>
      <c r="H44" s="712"/>
      <c r="I44" s="1663">
        <f t="shared" si="1"/>
        <v>0</v>
      </c>
      <c r="J44" s="712"/>
      <c r="K44" s="715"/>
    </row>
    <row r="45" spans="1:11" ht="12" customHeight="1">
      <c r="A45" s="710"/>
      <c r="B45" s="711"/>
      <c r="C45" s="712"/>
      <c r="D45" s="713"/>
      <c r="E45" s="712"/>
      <c r="F45" s="712"/>
      <c r="G45" s="712"/>
      <c r="H45" s="712"/>
      <c r="I45" s="1663">
        <f t="shared" si="1"/>
        <v>0</v>
      </c>
      <c r="J45" s="712"/>
      <c r="K45" s="715"/>
    </row>
    <row r="46" spans="1:11" ht="12" customHeight="1">
      <c r="A46" s="710"/>
      <c r="B46" s="711"/>
      <c r="C46" s="712"/>
      <c r="D46" s="713"/>
      <c r="E46" s="712"/>
      <c r="F46" s="712"/>
      <c r="G46" s="712"/>
      <c r="H46" s="712"/>
      <c r="I46" s="1663">
        <f t="shared" si="1"/>
        <v>0</v>
      </c>
      <c r="J46" s="712"/>
      <c r="K46" s="715"/>
    </row>
    <row r="47" spans="1:11" ht="12" customHeight="1">
      <c r="A47" s="710"/>
      <c r="B47" s="711"/>
      <c r="C47" s="716"/>
      <c r="D47" s="713"/>
      <c r="E47" s="716"/>
      <c r="F47" s="716"/>
      <c r="G47" s="716"/>
      <c r="H47" s="716"/>
      <c r="I47" s="1663">
        <f t="shared" si="1"/>
        <v>0</v>
      </c>
      <c r="J47" s="716"/>
      <c r="K47" s="715"/>
    </row>
    <row r="48" spans="1:11" ht="12" customHeight="1">
      <c r="A48" s="710"/>
      <c r="B48" s="711"/>
      <c r="C48" s="712"/>
      <c r="D48" s="713"/>
      <c r="E48" s="712"/>
      <c r="F48" s="712"/>
      <c r="G48" s="712"/>
      <c r="H48" s="712"/>
      <c r="I48" s="1663">
        <f t="shared" si="1"/>
        <v>0</v>
      </c>
      <c r="J48" s="712"/>
      <c r="K48" s="715"/>
    </row>
    <row r="49" spans="1:11" ht="12" customHeight="1">
      <c r="A49" s="710"/>
      <c r="B49" s="711"/>
      <c r="C49" s="1663">
        <f>SUM(C31:C48)</f>
        <v>101601899</v>
      </c>
      <c r="D49" s="722"/>
      <c r="E49" s="1663">
        <f t="shared" ref="E49:J49" si="2">SUM(E31:E48)</f>
        <v>90231519</v>
      </c>
      <c r="F49" s="1663">
        <f t="shared" si="2"/>
        <v>0</v>
      </c>
      <c r="G49" s="1663">
        <f t="shared" si="2"/>
        <v>0</v>
      </c>
      <c r="H49" s="1663">
        <f t="shared" si="2"/>
        <v>4220380</v>
      </c>
      <c r="I49" s="1663">
        <f t="shared" si="2"/>
        <v>86011139</v>
      </c>
      <c r="J49" s="1663">
        <f t="shared" si="2"/>
        <v>82815331</v>
      </c>
      <c r="K49" s="715"/>
    </row>
    <row r="50" spans="1:11" ht="6" customHeight="1">
      <c r="A50" s="723"/>
      <c r="B50" s="714"/>
      <c r="C50" s="714"/>
      <c r="D50" s="714"/>
      <c r="E50" s="714"/>
      <c r="F50" s="714"/>
      <c r="G50" s="714"/>
      <c r="H50" s="714"/>
      <c r="I50" s="714"/>
      <c r="J50" s="723"/>
    </row>
    <row r="51" spans="1:11">
      <c r="A51" s="724" t="s">
        <v>1779</v>
      </c>
      <c r="B51" s="723"/>
      <c r="C51" s="715"/>
      <c r="D51" s="715"/>
      <c r="E51" s="715"/>
      <c r="F51" s="715"/>
      <c r="G51" s="715"/>
      <c r="H51" s="714"/>
      <c r="I51" s="714"/>
      <c r="J51" s="723"/>
    </row>
    <row r="52" spans="1:11" ht="11.25" customHeight="1">
      <c r="A52" s="725" t="s">
        <v>911</v>
      </c>
      <c r="B52" s="2213" t="s">
        <v>583</v>
      </c>
      <c r="C52" s="2214"/>
      <c r="D52" s="2214"/>
      <c r="E52" s="726" t="s">
        <v>844</v>
      </c>
      <c r="F52" s="2215" t="s">
        <v>2105</v>
      </c>
      <c r="G52" s="2216"/>
      <c r="H52" s="714"/>
      <c r="I52" s="714"/>
      <c r="J52" s="723"/>
    </row>
    <row r="53" spans="1:11" ht="11.25" customHeight="1">
      <c r="A53" s="727" t="s">
        <v>912</v>
      </c>
      <c r="B53" s="728" t="s">
        <v>950</v>
      </c>
      <c r="C53" s="723"/>
      <c r="D53" s="715"/>
      <c r="E53" s="726" t="s">
        <v>496</v>
      </c>
      <c r="F53" s="2217"/>
      <c r="G53" s="2218"/>
      <c r="H53" s="714"/>
      <c r="I53" s="714"/>
      <c r="J53" s="723"/>
    </row>
    <row r="54" spans="1:11" ht="11.25" customHeight="1">
      <c r="A54" s="729" t="s">
        <v>913</v>
      </c>
      <c r="B54" s="724" t="s">
        <v>951</v>
      </c>
      <c r="C54" s="723"/>
      <c r="D54" s="715"/>
      <c r="E54" s="726" t="s">
        <v>497</v>
      </c>
      <c r="F54" s="2217"/>
      <c r="G54" s="2218"/>
      <c r="H54" s="714"/>
      <c r="I54" s="714"/>
      <c r="J54" s="723"/>
    </row>
    <row r="55" spans="1:11" ht="6" customHeight="1">
      <c r="A55" s="715"/>
      <c r="B55" s="730"/>
      <c r="C55" s="731"/>
      <c r="D55" s="732"/>
      <c r="E55" s="733"/>
      <c r="F55" s="734"/>
      <c r="G55" s="723"/>
      <c r="H55" s="714"/>
      <c r="I55" s="714"/>
      <c r="J55" s="723"/>
    </row>
    <row r="56" spans="1:11" ht="11.25" customHeight="1">
      <c r="A56" s="730"/>
      <c r="B56" s="735"/>
      <c r="C56" s="715"/>
      <c r="D56" s="715"/>
      <c r="E56" s="715"/>
      <c r="F56" s="715"/>
      <c r="G56" s="714"/>
      <c r="H56" s="714"/>
      <c r="I56" s="714"/>
      <c r="J56" s="723"/>
    </row>
    <row r="57" spans="1:11" ht="11.25" customHeight="1">
      <c r="A57" s="715"/>
      <c r="B57" s="736"/>
      <c r="C57" s="715"/>
      <c r="D57" s="715"/>
      <c r="E57" s="715"/>
      <c r="F57" s="715"/>
      <c r="G57" s="714"/>
      <c r="H57" s="714"/>
      <c r="I57" s="714"/>
      <c r="J57" s="723"/>
    </row>
    <row r="58" spans="1:11" ht="11.25" customHeight="1">
      <c r="A58" s="730"/>
      <c r="B58" s="735"/>
      <c r="C58" s="715"/>
      <c r="D58" s="715"/>
      <c r="E58" s="715"/>
      <c r="F58" s="715"/>
      <c r="G58" s="714"/>
      <c r="H58" s="714"/>
      <c r="I58" s="714"/>
      <c r="J58" s="723"/>
    </row>
    <row r="59" spans="1:11" ht="11.25" customHeight="1"/>
  </sheetData>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H31:H48 E31:E48 C31:C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pageSetUpPr fitToPage="1"/>
  </sheetPr>
  <dimension ref="A1:K48"/>
  <sheetViews>
    <sheetView showGridLines="0" defaultGridColor="0" topLeftCell="A7" colorId="8" zoomScale="110" zoomScaleNormal="110" workbookViewId="0">
      <selection activeCell="A4" sqref="A4:F4"/>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42" t="s">
        <v>855</v>
      </c>
      <c r="B1" s="2243"/>
      <c r="C1" s="2243"/>
      <c r="D1" s="2243"/>
      <c r="E1" s="2243"/>
      <c r="F1" s="2243"/>
      <c r="G1" s="2244"/>
      <c r="H1" s="1439"/>
      <c r="I1" s="737"/>
      <c r="J1" s="433"/>
    </row>
    <row r="2" spans="1:11" ht="26.25">
      <c r="A2" s="2261" t="s">
        <v>1670</v>
      </c>
      <c r="B2" s="2262"/>
      <c r="C2" s="2262"/>
      <c r="D2" s="2262"/>
      <c r="E2" s="2263"/>
      <c r="F2" s="738" t="s">
        <v>903</v>
      </c>
      <c r="G2" s="739" t="s">
        <v>1667</v>
      </c>
      <c r="H2" s="739" t="s">
        <v>409</v>
      </c>
      <c r="I2" s="739" t="s">
        <v>1157</v>
      </c>
      <c r="J2" s="739" t="s">
        <v>1784</v>
      </c>
      <c r="K2" s="739" t="s">
        <v>138</v>
      </c>
    </row>
    <row r="3" spans="1:11">
      <c r="A3" s="2264" t="s">
        <v>1935</v>
      </c>
      <c r="B3" s="2265"/>
      <c r="C3" s="2265"/>
      <c r="D3" s="2265"/>
      <c r="E3" s="2266"/>
      <c r="F3" s="740"/>
      <c r="G3" s="741"/>
      <c r="H3" s="741">
        <v>0</v>
      </c>
      <c r="I3" s="741"/>
      <c r="J3" s="742"/>
      <c r="K3" s="742">
        <v>239651</v>
      </c>
    </row>
    <row r="4" spans="1:11">
      <c r="A4" s="2267" t="s">
        <v>368</v>
      </c>
      <c r="B4" s="2268"/>
      <c r="C4" s="2268"/>
      <c r="D4" s="2268"/>
      <c r="E4" s="2214"/>
      <c r="F4" s="743"/>
      <c r="G4" s="744"/>
      <c r="H4" s="745"/>
      <c r="I4" s="744"/>
      <c r="J4" s="746"/>
      <c r="K4" s="746"/>
    </row>
    <row r="5" spans="1:11">
      <c r="A5" s="2245" t="s">
        <v>1068</v>
      </c>
      <c r="B5" s="2246"/>
      <c r="C5" s="2246"/>
      <c r="D5" s="2246"/>
      <c r="E5" s="2247"/>
      <c r="F5" s="747" t="s">
        <v>847</v>
      </c>
      <c r="G5" s="748"/>
      <c r="H5" s="741">
        <v>100757</v>
      </c>
      <c r="I5" s="749"/>
      <c r="J5" s="750"/>
      <c r="K5" s="750"/>
    </row>
    <row r="6" spans="1:11">
      <c r="A6" s="751" t="s">
        <v>719</v>
      </c>
      <c r="B6" s="752"/>
      <c r="C6" s="752"/>
      <c r="D6" s="752"/>
      <c r="E6" s="753"/>
      <c r="F6" s="754" t="s">
        <v>848</v>
      </c>
      <c r="G6" s="741"/>
      <c r="H6" s="741"/>
      <c r="I6" s="741"/>
      <c r="J6" s="742"/>
      <c r="K6" s="742"/>
    </row>
    <row r="7" spans="1:11">
      <c r="A7" s="755" t="s">
        <v>246</v>
      </c>
      <c r="B7" s="756"/>
      <c r="C7" s="756"/>
      <c r="D7" s="756"/>
      <c r="E7" s="757"/>
      <c r="F7" s="747" t="s">
        <v>849</v>
      </c>
      <c r="G7" s="744"/>
      <c r="H7" s="744"/>
      <c r="I7" s="744"/>
      <c r="J7" s="758"/>
      <c r="K7" s="742">
        <v>142130</v>
      </c>
    </row>
    <row r="8" spans="1:11">
      <c r="A8" s="755" t="s">
        <v>344</v>
      </c>
      <c r="B8" s="756"/>
      <c r="C8" s="756"/>
      <c r="D8" s="756"/>
      <c r="E8" s="757"/>
      <c r="F8" s="747" t="s">
        <v>850</v>
      </c>
      <c r="G8" s="759"/>
      <c r="H8" s="759"/>
      <c r="I8" s="759"/>
      <c r="J8" s="742"/>
      <c r="K8" s="746"/>
    </row>
    <row r="9" spans="1:11">
      <c r="A9" s="755" t="s">
        <v>138</v>
      </c>
      <c r="B9" s="756"/>
      <c r="C9" s="756"/>
      <c r="D9" s="756"/>
      <c r="E9" s="757"/>
      <c r="F9" s="754" t="s">
        <v>852</v>
      </c>
      <c r="G9" s="759"/>
      <c r="H9" s="748"/>
      <c r="I9" s="748"/>
      <c r="J9" s="758"/>
      <c r="K9" s="742">
        <v>151602</v>
      </c>
    </row>
    <row r="10" spans="1:11">
      <c r="A10" s="2245" t="s">
        <v>1785</v>
      </c>
      <c r="B10" s="2246"/>
      <c r="C10" s="2246"/>
      <c r="D10" s="2246"/>
      <c r="E10" s="2248"/>
      <c r="F10" s="760" t="s">
        <v>861</v>
      </c>
      <c r="G10" s="759"/>
      <c r="H10" s="761"/>
      <c r="I10" s="741"/>
      <c r="J10" s="742"/>
      <c r="K10" s="742"/>
    </row>
    <row r="11" spans="1:11">
      <c r="A11" s="2245" t="s">
        <v>160</v>
      </c>
      <c r="B11" s="2246"/>
      <c r="C11" s="2246"/>
      <c r="D11" s="2246"/>
      <c r="E11" s="2247"/>
      <c r="F11" s="747" t="s">
        <v>851</v>
      </c>
      <c r="G11" s="748"/>
      <c r="H11" s="741"/>
      <c r="I11" s="741"/>
      <c r="J11" s="742"/>
      <c r="K11" s="750"/>
    </row>
    <row r="12" spans="1:11" ht="13.5" thickBot="1">
      <c r="A12" s="2272" t="s">
        <v>904</v>
      </c>
      <c r="B12" s="2273"/>
      <c r="C12" s="2273"/>
      <c r="D12" s="2273"/>
      <c r="E12" s="2274"/>
      <c r="F12" s="1664"/>
      <c r="G12" s="1665">
        <f>SUM(G5:G11)</f>
        <v>0</v>
      </c>
      <c r="H12" s="1665">
        <f>SUM(H5:H11)</f>
        <v>100757</v>
      </c>
      <c r="I12" s="1665">
        <f>SUM(I5:I11)</f>
        <v>0</v>
      </c>
      <c r="J12" s="1665">
        <f>SUM(J5:J11)</f>
        <v>0</v>
      </c>
      <c r="K12" s="1665">
        <f>SUM(K5:K11)</f>
        <v>293732</v>
      </c>
    </row>
    <row r="13" spans="1:11" ht="13.5" thickTop="1">
      <c r="A13" s="2269" t="s">
        <v>369</v>
      </c>
      <c r="B13" s="2270"/>
      <c r="C13" s="2270"/>
      <c r="D13" s="2270"/>
      <c r="E13" s="2271"/>
      <c r="F13" s="762"/>
      <c r="G13" s="763"/>
      <c r="H13" s="764"/>
      <c r="I13" s="765"/>
      <c r="J13" s="765"/>
      <c r="K13" s="765"/>
    </row>
    <row r="14" spans="1:11">
      <c r="A14" s="2252" t="s">
        <v>455</v>
      </c>
      <c r="B14" s="2252"/>
      <c r="C14" s="2252"/>
      <c r="D14" s="2252"/>
      <c r="E14" s="2253"/>
      <c r="F14" s="766" t="s">
        <v>853</v>
      </c>
      <c r="G14" s="759"/>
      <c r="H14" s="741">
        <v>100757</v>
      </c>
      <c r="I14" s="748"/>
      <c r="J14" s="750"/>
      <c r="K14" s="742">
        <f>347189+4543</f>
        <v>351732</v>
      </c>
    </row>
    <row r="15" spans="1:11">
      <c r="A15" s="2246" t="s">
        <v>4</v>
      </c>
      <c r="B15" s="2246"/>
      <c r="C15" s="2246"/>
      <c r="D15" s="2246"/>
      <c r="E15" s="2247"/>
      <c r="F15" s="766" t="s">
        <v>854</v>
      </c>
      <c r="G15" s="748"/>
      <c r="H15" s="741"/>
      <c r="I15" s="741"/>
      <c r="J15" s="742"/>
      <c r="K15" s="742"/>
    </row>
    <row r="16" spans="1:11">
      <c r="A16" s="2246" t="s">
        <v>297</v>
      </c>
      <c r="B16" s="2246"/>
      <c r="C16" s="2246"/>
      <c r="D16" s="2246"/>
      <c r="E16" s="2247"/>
      <c r="F16" s="766" t="s">
        <v>922</v>
      </c>
      <c r="G16" s="749"/>
      <c r="H16" s="744"/>
      <c r="I16" s="744"/>
      <c r="J16" s="746"/>
      <c r="K16" s="746"/>
    </row>
    <row r="17" spans="1:11">
      <c r="A17" s="2277" t="s">
        <v>934</v>
      </c>
      <c r="B17" s="2277"/>
      <c r="C17" s="2277"/>
      <c r="D17" s="2277"/>
      <c r="E17" s="2278"/>
      <c r="F17" s="767"/>
      <c r="G17" s="768"/>
      <c r="H17" s="769"/>
      <c r="I17" s="769"/>
      <c r="J17" s="770"/>
      <c r="K17" s="771"/>
    </row>
    <row r="18" spans="1:11">
      <c r="A18" s="2256" t="s">
        <v>367</v>
      </c>
      <c r="B18" s="2257"/>
      <c r="C18" s="2257"/>
      <c r="D18" s="2257"/>
      <c r="E18" s="2258"/>
      <c r="F18" s="766" t="s">
        <v>931</v>
      </c>
      <c r="G18" s="759"/>
      <c r="H18" s="759"/>
      <c r="I18" s="759"/>
      <c r="J18" s="742"/>
      <c r="K18" s="772"/>
    </row>
    <row r="19" spans="1:11" ht="21.75" customHeight="1">
      <c r="A19" s="2254" t="s">
        <v>1781</v>
      </c>
      <c r="B19" s="2254"/>
      <c r="C19" s="2254"/>
      <c r="D19" s="2254"/>
      <c r="E19" s="2255"/>
      <c r="F19" s="766" t="s">
        <v>932</v>
      </c>
      <c r="G19" s="759"/>
      <c r="H19" s="759"/>
      <c r="I19" s="759"/>
      <c r="J19" s="742"/>
      <c r="K19" s="772"/>
    </row>
    <row r="20" spans="1:11">
      <c r="A20" s="2256" t="s">
        <v>1786</v>
      </c>
      <c r="B20" s="2257"/>
      <c r="C20" s="2257"/>
      <c r="D20" s="2257"/>
      <c r="E20" s="2258"/>
      <c r="F20" s="766" t="s">
        <v>933</v>
      </c>
      <c r="G20" s="759"/>
      <c r="H20" s="759"/>
      <c r="I20" s="759"/>
      <c r="J20" s="742"/>
      <c r="K20" s="772"/>
    </row>
    <row r="21" spans="1:11" ht="13.5" thickBot="1">
      <c r="A21" s="2275" t="s">
        <v>637</v>
      </c>
      <c r="B21" s="2275"/>
      <c r="C21" s="2275"/>
      <c r="D21" s="2275"/>
      <c r="E21" s="2275"/>
      <c r="F21" s="1666"/>
      <c r="G21" s="769"/>
      <c r="H21" s="773"/>
      <c r="I21" s="773"/>
      <c r="J21" s="1667">
        <f>SUM(J18:J20)</f>
        <v>0</v>
      </c>
      <c r="K21" s="770"/>
    </row>
    <row r="22" spans="1:11" ht="13.5" thickTop="1">
      <c r="A22" s="2246" t="s">
        <v>1787</v>
      </c>
      <c r="B22" s="2246"/>
      <c r="C22" s="2246"/>
      <c r="D22" s="2246"/>
      <c r="E22" s="2247"/>
      <c r="F22" s="766" t="s">
        <v>861</v>
      </c>
      <c r="G22" s="759"/>
      <c r="H22" s="741"/>
      <c r="I22" s="741"/>
      <c r="J22" s="774"/>
      <c r="K22" s="742"/>
    </row>
    <row r="23" spans="1:11" ht="13.5" thickBot="1">
      <c r="A23" s="2276" t="s">
        <v>905</v>
      </c>
      <c r="B23" s="2275"/>
      <c r="C23" s="2275"/>
      <c r="D23" s="2275"/>
      <c r="E23" s="2275"/>
      <c r="F23" s="1668"/>
      <c r="G23" s="1665">
        <f>SUM(G14:G16,G21,G22)</f>
        <v>0</v>
      </c>
      <c r="H23" s="1665">
        <f>SUM(H14:H16,H21,H22)</f>
        <v>100757</v>
      </c>
      <c r="I23" s="1665">
        <f>SUM(I14:I16,I21,I22)</f>
        <v>0</v>
      </c>
      <c r="J23" s="1665">
        <f>SUM(J14:J16,J21,J22)</f>
        <v>0</v>
      </c>
      <c r="K23" s="1665">
        <f>SUM(K14:K16,K21,K22)</f>
        <v>351732</v>
      </c>
    </row>
    <row r="24" spans="1:11" ht="14.25" thickTop="1" thickBot="1">
      <c r="A24" s="2276" t="s">
        <v>1936</v>
      </c>
      <c r="B24" s="2275"/>
      <c r="C24" s="2275"/>
      <c r="D24" s="2275"/>
      <c r="E24" s="2275"/>
      <c r="F24" s="1669"/>
      <c r="G24" s="1670">
        <f>SUM(G3,G12)-G23</f>
        <v>0</v>
      </c>
      <c r="H24" s="1670">
        <f>SUM(H3,H12)-H23</f>
        <v>0</v>
      </c>
      <c r="I24" s="1670">
        <f>SUM(I3,I12)-I23</f>
        <v>0</v>
      </c>
      <c r="J24" s="1670">
        <f>SUM(J3,J12)-J23</f>
        <v>0</v>
      </c>
      <c r="K24" s="1670">
        <f>SUM(K3,K12)-K23</f>
        <v>181651</v>
      </c>
    </row>
    <row r="25" spans="1:11" ht="13.5" thickTop="1">
      <c r="A25" s="775" t="s">
        <v>419</v>
      </c>
      <c r="B25" s="776"/>
      <c r="C25" s="776"/>
      <c r="D25" s="776"/>
      <c r="E25" s="777"/>
      <c r="F25" s="778">
        <v>714</v>
      </c>
      <c r="G25" s="779"/>
      <c r="H25" s="779"/>
      <c r="I25" s="779"/>
      <c r="J25" s="774"/>
      <c r="K25" s="774"/>
    </row>
    <row r="26" spans="1:11" ht="13.5" thickBot="1">
      <c r="A26" s="775" t="s">
        <v>341</v>
      </c>
      <c r="B26" s="776"/>
      <c r="C26" s="776"/>
      <c r="D26" s="776"/>
      <c r="E26" s="777"/>
      <c r="F26" s="778">
        <v>730</v>
      </c>
      <c r="G26" s="1665">
        <f>G24-G25</f>
        <v>0</v>
      </c>
      <c r="H26" s="1665">
        <f>H24-H25</f>
        <v>0</v>
      </c>
      <c r="I26" s="1665">
        <f>I24-I25</f>
        <v>0</v>
      </c>
      <c r="J26" s="1665">
        <f>J24-J25</f>
        <v>0</v>
      </c>
      <c r="K26" s="1665">
        <f>K24-K25</f>
        <v>181651</v>
      </c>
    </row>
    <row r="27" spans="1:11" ht="5.25" customHeight="1" thickTop="1">
      <c r="I27" s="202"/>
      <c r="J27" s="202"/>
    </row>
    <row r="28" spans="1:11" ht="29.25" customHeight="1">
      <c r="A28" s="1786" t="s">
        <v>1881</v>
      </c>
      <c r="B28" s="1787"/>
      <c r="C28" s="1787"/>
      <c r="D28" s="1787"/>
      <c r="E28" s="1788"/>
      <c r="F28" s="780"/>
      <c r="G28" s="781"/>
    </row>
    <row r="29" spans="1:11">
      <c r="B29" s="501"/>
      <c r="C29" s="501"/>
      <c r="D29" s="501"/>
      <c r="F29" s="202"/>
      <c r="G29" s="782"/>
    </row>
    <row r="30" spans="1:11">
      <c r="A30" s="783" t="s">
        <v>571</v>
      </c>
      <c r="B30" s="784"/>
      <c r="C30" s="783" t="s">
        <v>382</v>
      </c>
      <c r="D30" s="784" t="s">
        <v>2035</v>
      </c>
      <c r="E30" s="785" t="s">
        <v>767</v>
      </c>
      <c r="F30" s="202"/>
      <c r="G30" s="782"/>
    </row>
    <row r="31" spans="1:11">
      <c r="A31" s="786"/>
      <c r="D31" s="237"/>
      <c r="E31" s="787" t="s">
        <v>768</v>
      </c>
      <c r="F31" s="788" t="s">
        <v>538</v>
      </c>
      <c r="G31" s="741"/>
      <c r="H31" s="2249"/>
      <c r="I31" s="2250"/>
      <c r="J31" s="2250"/>
      <c r="K31" s="2250"/>
    </row>
    <row r="32" spans="1:11">
      <c r="A32" s="786"/>
      <c r="B32" s="237"/>
      <c r="C32" s="237"/>
      <c r="D32" s="237"/>
      <c r="E32" s="782"/>
      <c r="F32" s="788" t="s">
        <v>539</v>
      </c>
      <c r="G32" s="741"/>
      <c r="H32" s="2251"/>
      <c r="I32" s="2250"/>
      <c r="J32" s="2250"/>
      <c r="K32" s="2250"/>
    </row>
    <row r="33" spans="1:11" ht="1.5" customHeight="1">
      <c r="A33" s="789" t="s">
        <v>1168</v>
      </c>
      <c r="B33" s="364"/>
      <c r="C33" s="364"/>
      <c r="D33" s="364"/>
      <c r="E33" s="364"/>
      <c r="F33" s="364"/>
      <c r="G33" s="790"/>
      <c r="H33" s="2251"/>
      <c r="I33" s="2250"/>
      <c r="J33" s="2250"/>
      <c r="K33" s="2250"/>
    </row>
    <row r="34" spans="1:11">
      <c r="A34" s="791" t="s">
        <v>1788</v>
      </c>
      <c r="B34" s="364"/>
      <c r="C34" s="364"/>
      <c r="D34" s="364"/>
      <c r="E34" s="364"/>
      <c r="F34" s="364"/>
      <c r="G34" s="790"/>
    </row>
    <row r="35" spans="1:11" ht="15">
      <c r="A35" s="802" t="s">
        <v>906</v>
      </c>
      <c r="B35" s="792"/>
      <c r="C35" s="792"/>
      <c r="D35" s="792"/>
      <c r="E35" s="792"/>
      <c r="F35" s="792"/>
      <c r="G35" s="793"/>
      <c r="H35" s="794"/>
    </row>
    <row r="36" spans="1:11">
      <c r="A36" s="755" t="s">
        <v>1108</v>
      </c>
      <c r="B36" s="795"/>
      <c r="C36" s="795"/>
      <c r="D36" s="795"/>
      <c r="E36" s="795"/>
      <c r="F36" s="796"/>
      <c r="G36" s="742"/>
    </row>
    <row r="37" spans="1:11">
      <c r="A37" s="797" t="s">
        <v>895</v>
      </c>
      <c r="B37" s="795"/>
      <c r="C37" s="795"/>
      <c r="D37" s="795"/>
      <c r="E37" s="795"/>
      <c r="F37" s="796"/>
      <c r="G37" s="742"/>
    </row>
    <row r="38" spans="1:11">
      <c r="A38" s="797" t="s">
        <v>992</v>
      </c>
      <c r="B38" s="795"/>
      <c r="C38" s="795"/>
      <c r="D38" s="795"/>
      <c r="E38" s="795"/>
      <c r="F38" s="796"/>
      <c r="G38" s="742"/>
    </row>
    <row r="39" spans="1:11">
      <c r="A39" s="797" t="s">
        <v>993</v>
      </c>
      <c r="B39" s="795"/>
      <c r="C39" s="795"/>
      <c r="D39" s="795"/>
      <c r="E39" s="795"/>
      <c r="F39" s="796"/>
      <c r="G39" s="742"/>
    </row>
    <row r="40" spans="1:11">
      <c r="A40" s="797" t="s">
        <v>994</v>
      </c>
      <c r="B40" s="795"/>
      <c r="C40" s="795"/>
      <c r="D40" s="795"/>
      <c r="E40" s="795"/>
      <c r="F40" s="796"/>
      <c r="G40" s="742"/>
    </row>
    <row r="41" spans="1:11">
      <c r="A41" s="2246" t="s">
        <v>540</v>
      </c>
      <c r="B41" s="2259"/>
      <c r="C41" s="2259"/>
      <c r="D41" s="2259"/>
      <c r="E41" s="2259"/>
      <c r="F41" s="2260"/>
      <c r="G41" s="742"/>
    </row>
    <row r="42" spans="1:11">
      <c r="A42" s="797" t="s">
        <v>969</v>
      </c>
      <c r="B42" s="795"/>
      <c r="C42" s="795"/>
      <c r="D42" s="795"/>
      <c r="E42" s="795"/>
      <c r="F42" s="796"/>
      <c r="G42" s="742"/>
    </row>
    <row r="43" spans="1:11">
      <c r="A43" s="797" t="s">
        <v>970</v>
      </c>
      <c r="B43" s="795"/>
      <c r="C43" s="795"/>
      <c r="D43" s="795"/>
      <c r="E43" s="795"/>
      <c r="F43" s="796"/>
      <c r="G43" s="742"/>
    </row>
    <row r="44" spans="1:11">
      <c r="A44" s="797" t="s">
        <v>971</v>
      </c>
      <c r="B44" s="795"/>
      <c r="C44" s="795"/>
      <c r="D44" s="795"/>
      <c r="E44" s="795"/>
      <c r="F44" s="796"/>
      <c r="G44" s="742"/>
    </row>
    <row r="45" spans="1:11" ht="6.75" customHeight="1"/>
    <row r="46" spans="1:11" ht="15">
      <c r="A46" s="1440" t="s">
        <v>1782</v>
      </c>
      <c r="B46" s="408" t="s">
        <v>1668</v>
      </c>
    </row>
    <row r="47" spans="1:11" s="800" customFormat="1" ht="12.75" customHeight="1">
      <c r="A47" s="798"/>
      <c r="B47" s="799" t="s">
        <v>1669</v>
      </c>
      <c r="E47" s="799"/>
      <c r="K47" s="801"/>
    </row>
    <row r="48" spans="1:11" ht="12.75" customHeight="1">
      <c r="A48" s="1441" t="s">
        <v>1783</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topLeftCell="A7" colorId="8" zoomScale="110" zoomScaleNormal="110" workbookViewId="0">
      <selection activeCell="A4" sqref="A4:F4"/>
    </sheetView>
  </sheetViews>
  <sheetFormatPr defaultColWidth="9.140625" defaultRowHeight="12.75"/>
  <cols>
    <col min="1" max="1" width="28.85546875" style="78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81" t="s">
        <v>1880</v>
      </c>
      <c r="B1" s="2282"/>
      <c r="C1" s="2283"/>
      <c r="D1" s="803"/>
      <c r="E1" s="804"/>
      <c r="F1" s="804"/>
      <c r="G1" s="805"/>
      <c r="H1" s="806"/>
      <c r="I1" s="807"/>
      <c r="J1" s="2279"/>
      <c r="K1" s="2280"/>
      <c r="L1" s="2280"/>
    </row>
    <row r="2" spans="1:14" ht="69.75" customHeight="1">
      <c r="A2" s="808" t="s">
        <v>1671</v>
      </c>
      <c r="B2" s="809" t="s">
        <v>377</v>
      </c>
      <c r="C2" s="810" t="s">
        <v>1937</v>
      </c>
      <c r="D2" s="810" t="s">
        <v>1938</v>
      </c>
      <c r="E2" s="810" t="s">
        <v>1939</v>
      </c>
      <c r="F2" s="810" t="s">
        <v>1940</v>
      </c>
      <c r="G2" s="810" t="s">
        <v>604</v>
      </c>
      <c r="H2" s="810" t="s">
        <v>1941</v>
      </c>
      <c r="I2" s="810" t="s">
        <v>1942</v>
      </c>
      <c r="J2" s="810" t="s">
        <v>1943</v>
      </c>
      <c r="K2" s="810" t="s">
        <v>1944</v>
      </c>
      <c r="L2" s="810" t="s">
        <v>1945</v>
      </c>
      <c r="M2" s="811"/>
      <c r="N2" s="811"/>
    </row>
    <row r="3" spans="1:14" ht="13.5" thickBot="1">
      <c r="A3" s="1538" t="s">
        <v>891</v>
      </c>
      <c r="B3" s="1539">
        <v>210</v>
      </c>
      <c r="C3" s="812"/>
      <c r="D3" s="812"/>
      <c r="E3" s="812"/>
      <c r="F3" s="1667">
        <f>(C3+D3)-E3</f>
        <v>0</v>
      </c>
      <c r="G3" s="813"/>
      <c r="H3" s="812"/>
      <c r="I3" s="812"/>
      <c r="J3" s="812"/>
      <c r="K3" s="1676">
        <f>(H3+I3)-J3</f>
        <v>0</v>
      </c>
      <c r="L3" s="1676">
        <f>F3-K3</f>
        <v>0</v>
      </c>
      <c r="M3" s="811"/>
      <c r="N3" s="811"/>
    </row>
    <row r="4" spans="1:14" ht="15" customHeight="1" thickTop="1">
      <c r="A4" s="1540" t="s">
        <v>158</v>
      </c>
      <c r="B4" s="1539">
        <v>220</v>
      </c>
      <c r="C4" s="758"/>
      <c r="D4" s="758"/>
      <c r="E4" s="758"/>
      <c r="F4" s="750"/>
      <c r="G4" s="814"/>
      <c r="H4" s="815"/>
      <c r="I4" s="815"/>
      <c r="J4" s="815"/>
      <c r="K4" s="816"/>
      <c r="L4" s="750"/>
    </row>
    <row r="5" spans="1:14" ht="13.5" thickBot="1">
      <c r="A5" s="755" t="s">
        <v>892</v>
      </c>
      <c r="B5" s="817">
        <v>221</v>
      </c>
      <c r="C5" s="818">
        <v>8529255</v>
      </c>
      <c r="D5" s="818"/>
      <c r="E5" s="818"/>
      <c r="F5" s="1667">
        <f>(C5+D5)-E5</f>
        <v>8529255</v>
      </c>
      <c r="G5" s="814"/>
      <c r="H5" s="819"/>
      <c r="I5" s="819"/>
      <c r="J5" s="819"/>
      <c r="K5" s="770"/>
      <c r="L5" s="1676">
        <f>F5-K5</f>
        <v>8529255</v>
      </c>
    </row>
    <row r="6" spans="1:14" ht="14.25" thickTop="1" thickBot="1">
      <c r="A6" s="755" t="s">
        <v>1116</v>
      </c>
      <c r="B6" s="817">
        <v>222</v>
      </c>
      <c r="C6" s="742"/>
      <c r="D6" s="742"/>
      <c r="E6" s="742"/>
      <c r="F6" s="1667">
        <f>(C6+D6)-E6</f>
        <v>0</v>
      </c>
      <c r="G6" s="814">
        <v>50</v>
      </c>
      <c r="H6" s="742"/>
      <c r="I6" s="742"/>
      <c r="J6" s="742"/>
      <c r="K6" s="1676">
        <f>(H6+I6)-J6</f>
        <v>0</v>
      </c>
      <c r="L6" s="1676">
        <f>F6-K6</f>
        <v>0</v>
      </c>
    </row>
    <row r="7" spans="1:14" ht="15" customHeight="1" thickTop="1">
      <c r="A7" s="1540" t="s">
        <v>159</v>
      </c>
      <c r="B7" s="1539">
        <v>230</v>
      </c>
      <c r="C7" s="758"/>
      <c r="D7" s="758"/>
      <c r="E7" s="758"/>
      <c r="F7" s="750"/>
      <c r="G7" s="820"/>
      <c r="H7" s="758"/>
      <c r="I7" s="758"/>
      <c r="J7" s="758"/>
      <c r="K7" s="750"/>
      <c r="L7" s="750"/>
    </row>
    <row r="8" spans="1:14" ht="13.5" thickBot="1">
      <c r="A8" s="755" t="s">
        <v>1117</v>
      </c>
      <c r="B8" s="817">
        <v>231</v>
      </c>
      <c r="C8" s="821">
        <v>156587111</v>
      </c>
      <c r="D8" s="821">
        <v>1561579</v>
      </c>
      <c r="E8" s="821"/>
      <c r="F8" s="1667">
        <f>(C8+D8)-E8</f>
        <v>158148690</v>
      </c>
      <c r="G8" s="820">
        <v>50</v>
      </c>
      <c r="H8" s="742">
        <v>47119677</v>
      </c>
      <c r="I8" s="742">
        <v>4454180</v>
      </c>
      <c r="J8" s="742"/>
      <c r="K8" s="1676">
        <f>(H8+I8)-J8</f>
        <v>51573857</v>
      </c>
      <c r="L8" s="1676">
        <f>F8-K8</f>
        <v>106574833</v>
      </c>
    </row>
    <row r="9" spans="1:14" ht="14.25" thickTop="1" thickBot="1">
      <c r="A9" s="755" t="s">
        <v>1118</v>
      </c>
      <c r="B9" s="817">
        <v>232</v>
      </c>
      <c r="C9" s="742"/>
      <c r="D9" s="742"/>
      <c r="E9" s="742"/>
      <c r="F9" s="1667">
        <f>(C9+D9)-E9</f>
        <v>0</v>
      </c>
      <c r="G9" s="820">
        <v>20</v>
      </c>
      <c r="H9" s="742"/>
      <c r="I9" s="742"/>
      <c r="J9" s="742"/>
      <c r="K9" s="1676">
        <f>(H9+I9)-J9</f>
        <v>0</v>
      </c>
      <c r="L9" s="1676">
        <f>F9-K9</f>
        <v>0</v>
      </c>
    </row>
    <row r="10" spans="1:14" ht="24" thickTop="1" thickBot="1">
      <c r="A10" s="822" t="s">
        <v>1119</v>
      </c>
      <c r="B10" s="817">
        <v>240</v>
      </c>
      <c r="C10" s="823">
        <v>11569366</v>
      </c>
      <c r="D10" s="823">
        <v>486611</v>
      </c>
      <c r="E10" s="823">
        <v>120098</v>
      </c>
      <c r="F10" s="1671">
        <f>(C10+D10)-E10</f>
        <v>11935879</v>
      </c>
      <c r="G10" s="820">
        <v>20</v>
      </c>
      <c r="H10" s="824">
        <v>5597426</v>
      </c>
      <c r="I10" s="824">
        <v>493699</v>
      </c>
      <c r="J10" s="824">
        <v>119860</v>
      </c>
      <c r="K10" s="1676">
        <f>(H10+I10)-J10</f>
        <v>5971265</v>
      </c>
      <c r="L10" s="1676">
        <f>F10-K10</f>
        <v>5964614</v>
      </c>
    </row>
    <row r="11" spans="1:14" ht="13.5" thickTop="1">
      <c r="A11" s="1541" t="s">
        <v>1135</v>
      </c>
      <c r="B11" s="1539">
        <v>250</v>
      </c>
      <c r="C11" s="758"/>
      <c r="D11" s="758"/>
      <c r="E11" s="758"/>
      <c r="F11" s="750"/>
      <c r="G11" s="820"/>
      <c r="H11" s="758"/>
      <c r="I11" s="758"/>
      <c r="J11" s="758"/>
      <c r="K11" s="750"/>
      <c r="L11" s="750"/>
    </row>
    <row r="12" spans="1:14" ht="13.5" thickBot="1">
      <c r="A12" s="825" t="s">
        <v>1120</v>
      </c>
      <c r="B12" s="817">
        <v>251</v>
      </c>
      <c r="C12" s="821">
        <v>19092783</v>
      </c>
      <c r="D12" s="821">
        <v>3617543</v>
      </c>
      <c r="E12" s="821">
        <v>432027</v>
      </c>
      <c r="F12" s="1667">
        <f>(C12+D12)-E12</f>
        <v>22278299</v>
      </c>
      <c r="G12" s="820">
        <v>10</v>
      </c>
      <c r="H12" s="742">
        <v>16590281</v>
      </c>
      <c r="I12" s="742">
        <v>1156306</v>
      </c>
      <c r="J12" s="742">
        <v>407758</v>
      </c>
      <c r="K12" s="1676">
        <f>(H12+I12)-J12</f>
        <v>17338829</v>
      </c>
      <c r="L12" s="1676">
        <f>F12-K12</f>
        <v>4939470</v>
      </c>
    </row>
    <row r="13" spans="1:14" ht="14.25" thickTop="1" thickBot="1">
      <c r="A13" s="825" t="s">
        <v>1121</v>
      </c>
      <c r="B13" s="817">
        <v>252</v>
      </c>
      <c r="C13" s="821">
        <v>3015010</v>
      </c>
      <c r="D13" s="821">
        <f>273673</f>
        <v>273673</v>
      </c>
      <c r="E13" s="821">
        <f>112337</f>
        <v>112337</v>
      </c>
      <c r="F13" s="1667">
        <f>(C13+D13)-E13</f>
        <v>3176346</v>
      </c>
      <c r="G13" s="820">
        <v>5</v>
      </c>
      <c r="H13" s="742">
        <v>2250049</v>
      </c>
      <c r="I13" s="742">
        <f>90826+6747</f>
        <v>97573</v>
      </c>
      <c r="J13" s="742">
        <f>87623</f>
        <v>87623</v>
      </c>
      <c r="K13" s="1676">
        <f>(H13+I13)-J13</f>
        <v>2259999</v>
      </c>
      <c r="L13" s="1676">
        <f>F13-K13</f>
        <v>916347</v>
      </c>
    </row>
    <row r="14" spans="1:14" ht="14.25" thickTop="1" thickBot="1">
      <c r="A14" s="825" t="s">
        <v>1122</v>
      </c>
      <c r="B14" s="817">
        <v>253</v>
      </c>
      <c r="C14" s="742">
        <v>576037</v>
      </c>
      <c r="D14" s="742"/>
      <c r="E14" s="742"/>
      <c r="F14" s="1667">
        <f>(C14+D14)-E14</f>
        <v>576037</v>
      </c>
      <c r="G14" s="820">
        <v>3</v>
      </c>
      <c r="H14" s="742">
        <v>499620</v>
      </c>
      <c r="I14" s="742">
        <v>3316</v>
      </c>
      <c r="J14" s="742"/>
      <c r="K14" s="1676">
        <f>(H14+I14)-J14</f>
        <v>502936</v>
      </c>
      <c r="L14" s="1676">
        <f>F14-K14</f>
        <v>73101</v>
      </c>
    </row>
    <row r="15" spans="1:14" ht="15" customHeight="1" thickTop="1" thickBot="1">
      <c r="A15" s="1540" t="s">
        <v>527</v>
      </c>
      <c r="B15" s="1539">
        <v>260</v>
      </c>
      <c r="C15" s="821">
        <v>3903446</v>
      </c>
      <c r="D15" s="821">
        <v>2118896</v>
      </c>
      <c r="E15" s="821">
        <v>5033090</v>
      </c>
      <c r="F15" s="1667">
        <f>(C15+D15)-E15</f>
        <v>989252</v>
      </c>
      <c r="G15" s="826" t="s">
        <v>861</v>
      </c>
      <c r="H15" s="758"/>
      <c r="I15" s="758"/>
      <c r="J15" s="758"/>
      <c r="K15" s="758"/>
      <c r="L15" s="1676">
        <f>F15-K15</f>
        <v>989252</v>
      </c>
    </row>
    <row r="16" spans="1:14" ht="15" customHeight="1" thickTop="1" thickBot="1">
      <c r="A16" s="1672" t="s">
        <v>642</v>
      </c>
      <c r="B16" s="1673">
        <v>200</v>
      </c>
      <c r="C16" s="1667">
        <f>SUM(C3,C5:C6,C8:C10,C12:C15)</f>
        <v>203273008</v>
      </c>
      <c r="D16" s="1667">
        <f>SUM(D3,D5:D6,D8:D10,D12:D15)</f>
        <v>8058302</v>
      </c>
      <c r="E16" s="1667">
        <f>SUM(E3,E5:E6,E8:E10,E12:E15)</f>
        <v>5697552</v>
      </c>
      <c r="F16" s="1667">
        <f>SUM(F3,F5:F6,F8:F10,F12:F15)</f>
        <v>205633758</v>
      </c>
      <c r="G16" s="820"/>
      <c r="H16" s="1667">
        <f>SUM(H3,H6,H8:H10,H12:H14,)</f>
        <v>72057053</v>
      </c>
      <c r="I16" s="1667">
        <f>SUM(I3,I6,I8:I10,I12:I14,)</f>
        <v>6205074</v>
      </c>
      <c r="J16" s="1667">
        <f>SUM(J3,J6,J8:J10,J12:J14,)</f>
        <v>615241</v>
      </c>
      <c r="K16" s="1667">
        <f>(H16+I16)-J16</f>
        <v>77646886</v>
      </c>
      <c r="L16" s="1667">
        <f>F16-K16</f>
        <v>127986872</v>
      </c>
    </row>
    <row r="17" spans="1:12" ht="15" customHeight="1" thickTop="1" thickBot="1">
      <c r="A17" s="1542" t="s">
        <v>290</v>
      </c>
      <c r="B17" s="1539">
        <v>700</v>
      </c>
      <c r="C17" s="746"/>
      <c r="D17" s="746"/>
      <c r="E17" s="746"/>
      <c r="F17" s="1667">
        <f>SUM('Expenditures 15-22'!I114,'Expenditures 15-22'!I151,'Expenditures 15-22'!I210,'Expenditures 15-22'!I312,'Expenditures 15-22'!I342,'Expenditures 15-22'!I367)</f>
        <v>145574</v>
      </c>
      <c r="G17" s="814">
        <v>10</v>
      </c>
      <c r="H17" s="746"/>
      <c r="I17" s="1676">
        <f>F17/G17</f>
        <v>14557.4</v>
      </c>
      <c r="J17" s="746"/>
      <c r="K17" s="772"/>
      <c r="L17" s="772"/>
    </row>
    <row r="18" spans="1:12" ht="14.25" thickTop="1" thickBot="1">
      <c r="A18" s="1674" t="s">
        <v>684</v>
      </c>
      <c r="B18" s="1675"/>
      <c r="C18" s="748"/>
      <c r="D18" s="748"/>
      <c r="E18" s="748"/>
      <c r="F18" s="827"/>
      <c r="G18" s="828"/>
      <c r="H18" s="750"/>
      <c r="I18" s="1667">
        <f>SUM(I16,I17)</f>
        <v>6219631.4000000004</v>
      </c>
      <c r="J18" s="750"/>
      <c r="K18" s="750"/>
      <c r="L18" s="750"/>
    </row>
    <row r="19" spans="1:12" ht="12" customHeight="1" thickTop="1">
      <c r="F19" s="503"/>
      <c r="L19" s="503"/>
    </row>
    <row r="20" spans="1:12" ht="12" customHeight="1">
      <c r="A20" s="829"/>
      <c r="B20" s="501"/>
      <c r="F20" s="503"/>
      <c r="L20" s="503"/>
    </row>
    <row r="21" spans="1:12" ht="12" customHeight="1">
      <c r="B21" s="501"/>
      <c r="F21" s="503"/>
      <c r="L21" s="503"/>
    </row>
    <row r="22" spans="1:12" ht="12" customHeight="1">
      <c r="B22" s="501"/>
      <c r="F22" s="503"/>
      <c r="L22" s="503"/>
    </row>
    <row r="23" spans="1:12" ht="12" customHeight="1">
      <c r="A23" s="830"/>
      <c r="B23" s="501"/>
      <c r="F23" s="503"/>
      <c r="L23" s="503"/>
    </row>
    <row r="24" spans="1:12" ht="12" customHeight="1">
      <c r="B24" s="501"/>
      <c r="F24" s="503"/>
      <c r="L24" s="503"/>
    </row>
    <row r="25" spans="1:12">
      <c r="F25" s="503"/>
      <c r="L25" s="503"/>
    </row>
    <row r="26" spans="1:12" ht="10.9" customHeight="1">
      <c r="A26" s="831"/>
      <c r="B26" s="247"/>
      <c r="D26" s="347"/>
    </row>
    <row r="27" spans="1:12">
      <c r="A27" s="831"/>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2"/>
  <sheetViews>
    <sheetView showGridLines="0" defaultGridColor="0" topLeftCell="B1" colorId="8" zoomScale="110" zoomScaleNormal="110" workbookViewId="0">
      <pane ySplit="5" topLeftCell="A126" activePane="bottomLeft" state="frozen"/>
      <selection activeCell="A4" sqref="A4:F4"/>
      <selection pane="bottomLeft" activeCell="A4" sqref="A4:F4"/>
    </sheetView>
  </sheetViews>
  <sheetFormatPr defaultColWidth="8.7109375" defaultRowHeight="11.25"/>
  <cols>
    <col min="1" max="1" width="22.140625" style="833" customWidth="1"/>
    <col min="2" max="2" width="31.85546875" style="833" customWidth="1"/>
    <col min="3" max="3" width="6.7109375" style="840" customWidth="1"/>
    <col min="4" max="4" width="55.7109375" style="833" customWidth="1"/>
    <col min="5" max="5" width="3.140625" style="840" customWidth="1"/>
    <col min="6" max="6" width="17.42578125" style="833" customWidth="1"/>
    <col min="7" max="7" width="0.85546875" style="833" customWidth="1"/>
    <col min="8" max="8" width="2.28515625" style="833" customWidth="1"/>
    <col min="9" max="16384" width="8.7109375" style="833"/>
  </cols>
  <sheetData>
    <row r="1" spans="1:7" ht="19.5" customHeight="1" thickTop="1">
      <c r="A1" s="2287" t="s">
        <v>1946</v>
      </c>
      <c r="B1" s="2288"/>
      <c r="C1" s="2288"/>
      <c r="D1" s="2288"/>
      <c r="E1" s="2288"/>
      <c r="F1" s="2289"/>
      <c r="G1" s="832"/>
    </row>
    <row r="2" spans="1:7" ht="15" customHeight="1" thickBot="1">
      <c r="A2" s="2290" t="s">
        <v>476</v>
      </c>
      <c r="B2" s="2291"/>
      <c r="C2" s="2291"/>
      <c r="D2" s="2291"/>
      <c r="E2" s="2291"/>
      <c r="F2" s="2292"/>
      <c r="G2" s="834"/>
    </row>
    <row r="3" spans="1:7" ht="5.25" customHeight="1" thickTop="1">
      <c r="A3" s="835"/>
      <c r="B3" s="836"/>
      <c r="C3" s="837"/>
      <c r="D3" s="836"/>
      <c r="E3" s="837"/>
      <c r="F3" s="836"/>
      <c r="G3" s="836"/>
    </row>
    <row r="4" spans="1:7" ht="12.2" customHeight="1">
      <c r="A4" s="838" t="s">
        <v>1076</v>
      </c>
      <c r="B4" s="839" t="s">
        <v>115</v>
      </c>
      <c r="D4" s="841" t="s">
        <v>510</v>
      </c>
      <c r="F4" s="839" t="s">
        <v>864</v>
      </c>
    </row>
    <row r="5" spans="1:7" ht="7.5" customHeight="1">
      <c r="A5" s="2293"/>
      <c r="B5" s="2294"/>
      <c r="C5" s="2294"/>
      <c r="D5" s="2294"/>
      <c r="E5" s="2294"/>
      <c r="F5" s="2294"/>
    </row>
    <row r="6" spans="1:7" ht="13.5" customHeight="1" thickBot="1">
      <c r="A6" s="2284" t="s">
        <v>1103</v>
      </c>
      <c r="B6" s="2285"/>
      <c r="C6" s="2285"/>
      <c r="D6" s="2285"/>
      <c r="E6" s="2285"/>
      <c r="F6" s="2286"/>
      <c r="G6" s="842"/>
    </row>
    <row r="7" spans="1:7" s="842" customFormat="1" ht="12" thickTop="1">
      <c r="A7" s="843" t="s">
        <v>501</v>
      </c>
      <c r="B7" s="844"/>
      <c r="C7" s="845"/>
      <c r="D7" s="844"/>
      <c r="E7" s="845"/>
      <c r="F7" s="844"/>
    </row>
    <row r="8" spans="1:7">
      <c r="A8" s="846" t="s">
        <v>458</v>
      </c>
      <c r="B8" s="847" t="s">
        <v>1465</v>
      </c>
      <c r="C8" s="848"/>
      <c r="D8" s="846" t="s">
        <v>500</v>
      </c>
      <c r="E8" s="845" t="s">
        <v>957</v>
      </c>
      <c r="F8" s="1814">
        <f>'Expenditures 15-22'!K114</f>
        <v>69583967</v>
      </c>
      <c r="G8" s="842"/>
    </row>
    <row r="9" spans="1:7">
      <c r="A9" s="846" t="s">
        <v>459</v>
      </c>
      <c r="B9" s="847" t="s">
        <v>1848</v>
      </c>
      <c r="C9" s="848"/>
      <c r="D9" s="846" t="s">
        <v>500</v>
      </c>
      <c r="E9" s="845"/>
      <c r="F9" s="1815">
        <f>'Expenditures 15-22'!K151</f>
        <v>8700639</v>
      </c>
      <c r="G9" s="849"/>
    </row>
    <row r="10" spans="1:7">
      <c r="A10" s="846" t="s">
        <v>498</v>
      </c>
      <c r="B10" s="847" t="s">
        <v>1849</v>
      </c>
      <c r="C10" s="848"/>
      <c r="D10" s="846" t="s">
        <v>500</v>
      </c>
      <c r="E10" s="845"/>
      <c r="F10" s="1815">
        <f>'Expenditures 15-22'!K174</f>
        <v>8246060</v>
      </c>
      <c r="G10" s="849"/>
    </row>
    <row r="11" spans="1:7">
      <c r="A11" s="846" t="s">
        <v>460</v>
      </c>
      <c r="B11" s="847" t="s">
        <v>1850</v>
      </c>
      <c r="C11" s="848"/>
      <c r="D11" s="846" t="s">
        <v>500</v>
      </c>
      <c r="E11" s="845"/>
      <c r="F11" s="1815">
        <f>'Expenditures 15-22'!K210</f>
        <v>7557480</v>
      </c>
      <c r="G11" s="849"/>
    </row>
    <row r="12" spans="1:7">
      <c r="A12" s="846" t="s">
        <v>461</v>
      </c>
      <c r="B12" s="847" t="s">
        <v>1851</v>
      </c>
      <c r="C12" s="848"/>
      <c r="D12" s="846" t="s">
        <v>500</v>
      </c>
      <c r="E12" s="845"/>
      <c r="F12" s="1815">
        <f>'Expenditures 15-22'!K295</f>
        <v>3197264</v>
      </c>
      <c r="G12" s="849"/>
    </row>
    <row r="13" spans="1:7">
      <c r="A13" s="846" t="s">
        <v>106</v>
      </c>
      <c r="B13" s="847" t="s">
        <v>1852</v>
      </c>
      <c r="C13" s="848"/>
      <c r="D13" s="846" t="s">
        <v>500</v>
      </c>
      <c r="E13" s="845"/>
      <c r="F13" s="1815">
        <f>'Expenditures 15-22'!K342</f>
        <v>3751455</v>
      </c>
      <c r="G13" s="850"/>
    </row>
    <row r="14" spans="1:7" ht="12" customHeight="1" thickBot="1">
      <c r="A14" s="1677"/>
      <c r="B14" s="1678"/>
      <c r="C14" s="1679"/>
      <c r="D14" s="1680" t="s">
        <v>500</v>
      </c>
      <c r="E14" s="1681" t="s">
        <v>957</v>
      </c>
      <c r="F14" s="1682">
        <f>SUM(F8:F13)</f>
        <v>101036865</v>
      </c>
      <c r="G14" s="842"/>
    </row>
    <row r="15" spans="1:7" ht="3.75" customHeight="1" thickTop="1">
      <c r="A15" s="842"/>
      <c r="B15" s="842"/>
      <c r="C15" s="848"/>
      <c r="D15" s="842"/>
      <c r="E15" s="845"/>
      <c r="F15" s="842"/>
      <c r="G15" s="842"/>
    </row>
    <row r="16" spans="1:7" ht="12" customHeight="1">
      <c r="A16" s="851" t="s">
        <v>511</v>
      </c>
      <c r="B16" s="231"/>
      <c r="C16" s="231"/>
      <c r="D16" s="844"/>
      <c r="E16" s="845"/>
      <c r="F16" s="844"/>
      <c r="G16" s="842"/>
    </row>
    <row r="17" spans="1:7" ht="4.5" customHeight="1">
      <c r="A17" s="851"/>
      <c r="B17" s="231"/>
      <c r="C17" s="231"/>
      <c r="D17" s="844"/>
      <c r="E17" s="845"/>
      <c r="F17" s="844"/>
      <c r="G17" s="842"/>
    </row>
    <row r="18" spans="1:7">
      <c r="A18" s="846" t="s">
        <v>460</v>
      </c>
      <c r="B18" s="847" t="s">
        <v>1009</v>
      </c>
      <c r="C18" s="852">
        <f>'Revenues 9-14'!B43</f>
        <v>1412</v>
      </c>
      <c r="D18" s="853" t="str">
        <f>'Revenues 9-14'!A43</f>
        <v>Regular - Transp Fees from Other Districts (In State)</v>
      </c>
      <c r="E18" s="845" t="s">
        <v>957</v>
      </c>
      <c r="F18" s="1816">
        <f>'Revenues 9-14'!F43</f>
        <v>162590</v>
      </c>
      <c r="G18" s="842"/>
    </row>
    <row r="19" spans="1:7">
      <c r="A19" s="846" t="s">
        <v>460</v>
      </c>
      <c r="B19" s="847" t="s">
        <v>1010</v>
      </c>
      <c r="C19" s="854">
        <f>'Revenues 9-14'!B47</f>
        <v>1421</v>
      </c>
      <c r="D19" s="855" t="str">
        <f>'Revenues 9-14'!A47</f>
        <v>Summer Sch - Transp. Fees from Pupils or Parents (In State)</v>
      </c>
      <c r="E19" s="856"/>
      <c r="F19" s="1817">
        <f>'Revenues 9-14'!F47</f>
        <v>0</v>
      </c>
      <c r="G19" s="842"/>
    </row>
    <row r="20" spans="1:7">
      <c r="A20" s="846" t="s">
        <v>460</v>
      </c>
      <c r="B20" s="847" t="s">
        <v>1011</v>
      </c>
      <c r="C20" s="852">
        <f>'Revenues 9-14'!B48</f>
        <v>1422</v>
      </c>
      <c r="D20" s="853" t="str">
        <f>'Revenues 9-14'!A48</f>
        <v>Summer Sch - Transp. Fees from Other Districts (In State)</v>
      </c>
      <c r="E20" s="845"/>
      <c r="F20" s="1818">
        <f>'Revenues 9-14'!F48</f>
        <v>0</v>
      </c>
      <c r="G20" s="842"/>
    </row>
    <row r="21" spans="1:7">
      <c r="A21" s="846" t="s">
        <v>460</v>
      </c>
      <c r="B21" s="847" t="s">
        <v>1012</v>
      </c>
      <c r="C21" s="854">
        <f>'Revenues 9-14'!B49</f>
        <v>1423</v>
      </c>
      <c r="D21" s="853" t="str">
        <f>'Revenues 9-14'!A49</f>
        <v>Summer Sch - Transp. Fees from Other Sources (In State)</v>
      </c>
      <c r="E21" s="845"/>
      <c r="F21" s="1819">
        <f>'Revenues 9-14'!F49</f>
        <v>0</v>
      </c>
      <c r="G21" s="842"/>
    </row>
    <row r="22" spans="1:7">
      <c r="A22" s="846" t="s">
        <v>460</v>
      </c>
      <c r="B22" s="847" t="s">
        <v>1013</v>
      </c>
      <c r="C22" s="854">
        <f>'Revenues 9-14'!B50</f>
        <v>1424</v>
      </c>
      <c r="D22" s="853" t="str">
        <f>'Revenues 9-14'!A50</f>
        <v>Summer Sch - Transp. Fees from Other Sources (Out of State)</v>
      </c>
      <c r="E22" s="845"/>
      <c r="F22" s="1819">
        <f>'Revenues 9-14'!F50</f>
        <v>0</v>
      </c>
      <c r="G22" s="842"/>
    </row>
    <row r="23" spans="1:7">
      <c r="A23" s="846" t="s">
        <v>460</v>
      </c>
      <c r="B23" s="847" t="s">
        <v>1014</v>
      </c>
      <c r="C23" s="852">
        <f>'Revenues 9-14'!B52</f>
        <v>1432</v>
      </c>
      <c r="D23" s="853" t="str">
        <f>'Revenues 9-14'!A52</f>
        <v>CTE - Transp Fees from Other Districts (In State)</v>
      </c>
      <c r="E23" s="845"/>
      <c r="F23" s="1819">
        <f>'Revenues 9-14'!F52</f>
        <v>0</v>
      </c>
      <c r="G23" s="842"/>
    </row>
    <row r="24" spans="1:7">
      <c r="A24" s="846" t="s">
        <v>460</v>
      </c>
      <c r="B24" s="847" t="s">
        <v>1015</v>
      </c>
      <c r="C24" s="852">
        <f>'Revenues 9-14'!B56</f>
        <v>1442</v>
      </c>
      <c r="D24" s="853" t="str">
        <f>'Revenues 9-14'!A56</f>
        <v>Special Ed - Transp Fees from Other Districts (In State)</v>
      </c>
      <c r="E24" s="845"/>
      <c r="F24" s="1819">
        <f>'Revenues 9-14'!F56</f>
        <v>0</v>
      </c>
      <c r="G24" s="842"/>
    </row>
    <row r="25" spans="1:7">
      <c r="A25" s="846" t="s">
        <v>460</v>
      </c>
      <c r="B25" s="847" t="s">
        <v>1016</v>
      </c>
      <c r="C25" s="852">
        <f>'Revenues 9-14'!B59</f>
        <v>1451</v>
      </c>
      <c r="D25" s="853" t="str">
        <f>'Revenues 9-14'!A59</f>
        <v>Adult - Transp Fees from Pupils or Parents (In State)</v>
      </c>
      <c r="E25" s="845"/>
      <c r="F25" s="1819">
        <f>'Revenues 9-14'!F59</f>
        <v>0</v>
      </c>
      <c r="G25" s="842"/>
    </row>
    <row r="26" spans="1:7">
      <c r="A26" s="846" t="s">
        <v>460</v>
      </c>
      <c r="B26" s="847" t="s">
        <v>1017</v>
      </c>
      <c r="C26" s="852">
        <f>'Revenues 9-14'!B60</f>
        <v>1452</v>
      </c>
      <c r="D26" s="853" t="str">
        <f>'Revenues 9-14'!A60</f>
        <v>Adult - Transp Fees from Other Districts (In State)</v>
      </c>
      <c r="E26" s="845"/>
      <c r="F26" s="1819">
        <f>'Revenues 9-14'!F60</f>
        <v>0</v>
      </c>
      <c r="G26" s="842"/>
    </row>
    <row r="27" spans="1:7">
      <c r="A27" s="846" t="s">
        <v>460</v>
      </c>
      <c r="B27" s="847" t="s">
        <v>1018</v>
      </c>
      <c r="C27" s="852">
        <f>'Revenues 9-14'!B61</f>
        <v>1453</v>
      </c>
      <c r="D27" s="853" t="str">
        <f>'Revenues 9-14'!A61</f>
        <v>Adult - Transp Fees from Other Sources (In State)</v>
      </c>
      <c r="E27" s="845"/>
      <c r="F27" s="1819">
        <f>'Revenues 9-14'!F61</f>
        <v>0</v>
      </c>
      <c r="G27" s="842"/>
    </row>
    <row r="28" spans="1:7">
      <c r="A28" s="846" t="s">
        <v>460</v>
      </c>
      <c r="B28" s="847" t="s">
        <v>1019</v>
      </c>
      <c r="C28" s="852">
        <f>'Revenues 9-14'!B62</f>
        <v>1454</v>
      </c>
      <c r="D28" s="853" t="str">
        <f>'Revenues 9-14'!A62</f>
        <v>Adult - Transp Fees from Other Sources (Out of State)</v>
      </c>
      <c r="E28" s="845"/>
      <c r="F28" s="1819">
        <f>'Revenues 9-14'!F62</f>
        <v>0</v>
      </c>
      <c r="G28" s="842"/>
    </row>
    <row r="29" spans="1:7">
      <c r="A29" s="846" t="s">
        <v>1096</v>
      </c>
      <c r="B29" s="847" t="s">
        <v>809</v>
      </c>
      <c r="C29" s="857">
        <f>'Revenues 9-14'!B149</f>
        <v>3410</v>
      </c>
      <c r="D29" s="858" t="str">
        <f>'Revenues 9-14'!A149</f>
        <v>Adult Ed (from ICCB)</v>
      </c>
      <c r="E29" s="845"/>
      <c r="F29" s="1819">
        <f>SUM('Revenues 9-14'!D149,'Revenues 9-14'!F149)</f>
        <v>0</v>
      </c>
      <c r="G29" s="842"/>
    </row>
    <row r="30" spans="1:7">
      <c r="A30" s="846" t="s">
        <v>1096</v>
      </c>
      <c r="B30" s="847" t="s">
        <v>1970</v>
      </c>
      <c r="C30" s="857">
        <f>'Revenues 9-14'!B150</f>
        <v>3499</v>
      </c>
      <c r="D30" s="858" t="str">
        <f>'Revenues 9-14'!A150</f>
        <v>Adult Ed - Other (Describe &amp; Itemize)</v>
      </c>
      <c r="E30" s="845"/>
      <c r="F30" s="1820">
        <f>('Revenues 9-14'!D150+'Revenues 9-14'!F150)</f>
        <v>0</v>
      </c>
      <c r="G30" s="842"/>
    </row>
    <row r="31" spans="1:7">
      <c r="A31" s="846" t="s">
        <v>1096</v>
      </c>
      <c r="B31" s="847" t="s">
        <v>1971</v>
      </c>
      <c r="C31" s="852">
        <f>'Revenues 9-14'!B211</f>
        <v>4600</v>
      </c>
      <c r="D31" s="860" t="str">
        <f>'Revenues 9-14'!A211</f>
        <v>Fed - Spec Education - Preschool Flow-Through</v>
      </c>
      <c r="E31" s="861"/>
      <c r="F31" s="1819">
        <f>SUM('Revenues 9-14'!D211,'Revenues 9-14'!F211)</f>
        <v>0</v>
      </c>
      <c r="G31" s="842"/>
    </row>
    <row r="32" spans="1:7">
      <c r="A32" s="846" t="s">
        <v>1096</v>
      </c>
      <c r="B32" s="847" t="s">
        <v>1972</v>
      </c>
      <c r="C32" s="852">
        <f>'Revenues 9-14'!B212</f>
        <v>4605</v>
      </c>
      <c r="D32" s="862" t="str">
        <f>'Revenues 9-14'!A212</f>
        <v>Fed - Spec Education - Preschool Discretionary</v>
      </c>
      <c r="E32" s="861"/>
      <c r="F32" s="1819">
        <f>SUM('Revenues 9-14'!D212,'Revenues 9-14'!F212)</f>
        <v>0</v>
      </c>
      <c r="G32" s="842"/>
    </row>
    <row r="33" spans="1:7">
      <c r="A33" s="846" t="s">
        <v>459</v>
      </c>
      <c r="B33" s="847" t="s">
        <v>1973</v>
      </c>
      <c r="C33" s="852">
        <f>'Revenues 9-14'!B222</f>
        <v>4810</v>
      </c>
      <c r="D33" s="860" t="str">
        <f>'Revenues 9-14'!A222</f>
        <v>Federal - Adult Education</v>
      </c>
      <c r="E33" s="845"/>
      <c r="F33" s="1819">
        <f>'Revenues 9-14'!D222</f>
        <v>0</v>
      </c>
      <c r="G33" s="842"/>
    </row>
    <row r="34" spans="1:7">
      <c r="A34" s="846" t="s">
        <v>458</v>
      </c>
      <c r="B34" s="846" t="s">
        <v>1466</v>
      </c>
      <c r="C34" s="863" t="str">
        <f>'Expenditures 15-22'!B7</f>
        <v>1125</v>
      </c>
      <c r="D34" s="864" t="str">
        <f>'Expenditures 15-22'!A7</f>
        <v>Pre-K Programs</v>
      </c>
      <c r="E34" s="845"/>
      <c r="F34" s="1819">
        <f>'Expenditures 15-22'!K7-SUM('Expenditures 15-22'!G7,'Expenditures 15-22'!I7)</f>
        <v>0</v>
      </c>
      <c r="G34" s="842"/>
    </row>
    <row r="35" spans="1:7">
      <c r="A35" s="846" t="s">
        <v>458</v>
      </c>
      <c r="B35" s="846" t="s">
        <v>1467</v>
      </c>
      <c r="C35" s="863" t="str">
        <f>'Expenditures 15-22'!B9</f>
        <v>1225</v>
      </c>
      <c r="D35" s="864" t="str">
        <f>'Expenditures 15-22'!A9</f>
        <v>Special Education Programs Pre-K</v>
      </c>
      <c r="E35" s="845"/>
      <c r="F35" s="1819">
        <f>'Expenditures 15-22'!K9-SUM('Expenditures 15-22'!G9+'Expenditures 15-22'!I9)</f>
        <v>0</v>
      </c>
      <c r="G35" s="842"/>
    </row>
    <row r="36" spans="1:7">
      <c r="A36" s="846" t="s">
        <v>458</v>
      </c>
      <c r="B36" s="846" t="s">
        <v>116</v>
      </c>
      <c r="C36" s="863" t="str">
        <f>'Expenditures 15-22'!B11</f>
        <v>1275</v>
      </c>
      <c r="D36" s="864" t="str">
        <f>'Expenditures 15-22'!A11</f>
        <v>Remedial and Supplemental Programs Pre-K</v>
      </c>
      <c r="E36" s="845"/>
      <c r="F36" s="1819">
        <f>'Expenditures 15-22'!K11-SUM('Expenditures 15-22'!G11,'Expenditures 15-22'!I11)</f>
        <v>0</v>
      </c>
      <c r="G36" s="842"/>
    </row>
    <row r="37" spans="1:7">
      <c r="A37" s="846" t="s">
        <v>458</v>
      </c>
      <c r="B37" s="846" t="s">
        <v>1468</v>
      </c>
      <c r="C37" s="863">
        <f>'Expenditures 15-22'!B12</f>
        <v>1300</v>
      </c>
      <c r="D37" s="865" t="str">
        <f>'Expenditures 15-22'!A12</f>
        <v>Adult/Continuing Education Programs</v>
      </c>
      <c r="E37" s="845"/>
      <c r="F37" s="1819">
        <f>'Expenditures 15-22'!K12-SUM('Expenditures 15-22'!G12+'Expenditures 15-22'!I12)</f>
        <v>97</v>
      </c>
      <c r="G37" s="842"/>
    </row>
    <row r="38" spans="1:7">
      <c r="A38" s="846" t="s">
        <v>458</v>
      </c>
      <c r="B38" s="846" t="s">
        <v>1469</v>
      </c>
      <c r="C38" s="863">
        <f>'Expenditures 15-22'!B15</f>
        <v>1600</v>
      </c>
      <c r="D38" s="865" t="str">
        <f>'Expenditures 15-22'!A15</f>
        <v>Summer School Programs</v>
      </c>
      <c r="E38" s="845"/>
      <c r="F38" s="1819">
        <f>'Expenditures 15-22'!K15-SUM('Expenditures 15-22'!G15,'Expenditures 15-22'!I15)</f>
        <v>79270</v>
      </c>
      <c r="G38" s="842"/>
    </row>
    <row r="39" spans="1:7">
      <c r="A39" s="846" t="s">
        <v>458</v>
      </c>
      <c r="B39" s="846" t="s">
        <v>117</v>
      </c>
      <c r="C39" s="863" t="str">
        <f>'Expenditures 15-22'!B20</f>
        <v>1910</v>
      </c>
      <c r="D39" s="865" t="str">
        <f>'Expenditures 15-22'!A20</f>
        <v>Pre-K Programs - Private Tuition</v>
      </c>
      <c r="E39" s="845"/>
      <c r="F39" s="1819">
        <f>'Expenditures 15-22'!K20</f>
        <v>0</v>
      </c>
      <c r="G39" s="842"/>
    </row>
    <row r="40" spans="1:7">
      <c r="A40" s="846" t="s">
        <v>458</v>
      </c>
      <c r="B40" s="846" t="s">
        <v>118</v>
      </c>
      <c r="C40" s="863" t="str">
        <f>'Expenditures 15-22'!B21</f>
        <v>1911</v>
      </c>
      <c r="D40" s="865" t="str">
        <f>'Expenditures 15-22'!A21</f>
        <v>Regular K-12 Programs - Private Tuition</v>
      </c>
      <c r="E40" s="845"/>
      <c r="F40" s="1819">
        <f>'Expenditures 15-22'!K21</f>
        <v>0</v>
      </c>
      <c r="G40" s="842"/>
    </row>
    <row r="41" spans="1:7">
      <c r="A41" s="846" t="s">
        <v>458</v>
      </c>
      <c r="B41" s="846" t="s">
        <v>119</v>
      </c>
      <c r="C41" s="863" t="str">
        <f>'Expenditures 15-22'!B22</f>
        <v>1912</v>
      </c>
      <c r="D41" s="865" t="str">
        <f>'Expenditures 15-22'!A22</f>
        <v>Special Education Programs K-12 - Private Tuition</v>
      </c>
      <c r="E41" s="845"/>
      <c r="F41" s="1819">
        <f>'Expenditures 15-22'!K22</f>
        <v>4386755</v>
      </c>
      <c r="G41" s="842"/>
    </row>
    <row r="42" spans="1:7">
      <c r="A42" s="846" t="s">
        <v>458</v>
      </c>
      <c r="B42" s="846" t="s">
        <v>120</v>
      </c>
      <c r="C42" s="866" t="str">
        <f>'Expenditures 15-22'!B23</f>
        <v>1913</v>
      </c>
      <c r="D42" s="865" t="str">
        <f>'Expenditures 15-22'!A23</f>
        <v>Special Education Programs Pre-K - Tuition</v>
      </c>
      <c r="E42" s="845"/>
      <c r="F42" s="1819">
        <f>'Expenditures 15-22'!K23</f>
        <v>0</v>
      </c>
      <c r="G42" s="842"/>
    </row>
    <row r="43" spans="1:7">
      <c r="A43" s="846" t="s">
        <v>458</v>
      </c>
      <c r="B43" s="846" t="s">
        <v>121</v>
      </c>
      <c r="C43" s="863" t="str">
        <f>'Expenditures 15-22'!B24</f>
        <v>1914</v>
      </c>
      <c r="D43" s="865" t="str">
        <f>'Expenditures 15-22'!A24</f>
        <v>Remedial/Supplemental Programs K-12 - Private Tuition</v>
      </c>
      <c r="E43" s="845"/>
      <c r="F43" s="1819">
        <f>'Expenditures 15-22'!K24</f>
        <v>0</v>
      </c>
      <c r="G43" s="842"/>
    </row>
    <row r="44" spans="1:7">
      <c r="A44" s="846" t="s">
        <v>458</v>
      </c>
      <c r="B44" s="846" t="s">
        <v>122</v>
      </c>
      <c r="C44" s="866" t="str">
        <f>'Expenditures 15-22'!B25</f>
        <v>1915</v>
      </c>
      <c r="D44" s="865" t="str">
        <f>'Expenditures 15-22'!A25</f>
        <v>Remedial/Supplemental Programs Pre-K - Private Tuition</v>
      </c>
      <c r="E44" s="845"/>
      <c r="F44" s="1819">
        <f>'Expenditures 15-22'!K25</f>
        <v>0</v>
      </c>
      <c r="G44" s="842"/>
    </row>
    <row r="45" spans="1:7">
      <c r="A45" s="846" t="s">
        <v>458</v>
      </c>
      <c r="B45" s="846" t="s">
        <v>123</v>
      </c>
      <c r="C45" s="866" t="str">
        <f>'Expenditures 15-22'!B26</f>
        <v>1916</v>
      </c>
      <c r="D45" s="865" t="str">
        <f>'Expenditures 15-22'!A26</f>
        <v>Adult/Continuing Education Programs - Private Tuition</v>
      </c>
      <c r="E45" s="845"/>
      <c r="F45" s="1819">
        <f>'Expenditures 15-22'!K26</f>
        <v>0</v>
      </c>
      <c r="G45" s="842"/>
    </row>
    <row r="46" spans="1:7">
      <c r="A46" s="846" t="s">
        <v>458</v>
      </c>
      <c r="B46" s="846" t="s">
        <v>124</v>
      </c>
      <c r="C46" s="863" t="str">
        <f>'Expenditures 15-22'!B27</f>
        <v>1917</v>
      </c>
      <c r="D46" s="865" t="str">
        <f>'Expenditures 15-22'!A27</f>
        <v>CTE Programs - Private Tuition</v>
      </c>
      <c r="E46" s="845"/>
      <c r="F46" s="1819">
        <f>'Expenditures 15-22'!K27</f>
        <v>0</v>
      </c>
      <c r="G46" s="842"/>
    </row>
    <row r="47" spans="1:7">
      <c r="A47" s="846" t="s">
        <v>458</v>
      </c>
      <c r="B47" s="846" t="s">
        <v>125</v>
      </c>
      <c r="C47" s="867" t="str">
        <f>'Expenditures 15-22'!B28</f>
        <v>1918</v>
      </c>
      <c r="D47" s="868" t="str">
        <f>'Expenditures 15-22'!A28</f>
        <v>Interscholastic Programs - Private Tuition</v>
      </c>
      <c r="E47" s="845"/>
      <c r="F47" s="1819">
        <f>'Expenditures 15-22'!K28</f>
        <v>0</v>
      </c>
      <c r="G47" s="842"/>
    </row>
    <row r="48" spans="1:7">
      <c r="A48" s="846" t="s">
        <v>458</v>
      </c>
      <c r="B48" s="846" t="s">
        <v>126</v>
      </c>
      <c r="C48" s="866" t="str">
        <f>'Expenditures 15-22'!B29</f>
        <v>1919</v>
      </c>
      <c r="D48" s="865" t="str">
        <f>'Expenditures 15-22'!A29</f>
        <v>Summer School Programs - Private Tuition</v>
      </c>
      <c r="E48" s="845"/>
      <c r="F48" s="1819">
        <f>'Expenditures 15-22'!K29</f>
        <v>0</v>
      </c>
      <c r="G48" s="842"/>
    </row>
    <row r="49" spans="1:7">
      <c r="A49" s="846" t="s">
        <v>458</v>
      </c>
      <c r="B49" s="846" t="s">
        <v>127</v>
      </c>
      <c r="C49" s="863" t="str">
        <f>'Expenditures 15-22'!B30</f>
        <v>1920</v>
      </c>
      <c r="D49" s="865" t="str">
        <f>'Expenditures 15-22'!A30</f>
        <v>Gifted Programs - Private Tuition</v>
      </c>
      <c r="E49" s="845"/>
      <c r="F49" s="1819">
        <f>'Expenditures 15-22'!K30</f>
        <v>0</v>
      </c>
      <c r="G49" s="842"/>
    </row>
    <row r="50" spans="1:7">
      <c r="A50" s="846" t="s">
        <v>458</v>
      </c>
      <c r="B50" s="846" t="s">
        <v>128</v>
      </c>
      <c r="C50" s="863" t="str">
        <f>'Expenditures 15-22'!B31</f>
        <v>1921</v>
      </c>
      <c r="D50" s="865" t="str">
        <f>'Expenditures 15-22'!A31</f>
        <v>Bilingual Programs - Private Tuition</v>
      </c>
      <c r="E50" s="845"/>
      <c r="F50" s="1819">
        <f>'Expenditures 15-22'!K31</f>
        <v>0</v>
      </c>
      <c r="G50" s="842"/>
    </row>
    <row r="51" spans="1:7">
      <c r="A51" s="846" t="s">
        <v>458</v>
      </c>
      <c r="B51" s="846" t="s">
        <v>1470</v>
      </c>
      <c r="C51" s="863" t="str">
        <f>'Expenditures 15-22'!B32</f>
        <v>1922</v>
      </c>
      <c r="D51" s="865" t="str">
        <f>'Expenditures 15-22'!A32</f>
        <v>Truants Alternative/Optional Ed Progms - Private Tuition</v>
      </c>
      <c r="E51" s="845"/>
      <c r="F51" s="1819">
        <f>'Expenditures 15-22'!K32</f>
        <v>0</v>
      </c>
      <c r="G51" s="842"/>
    </row>
    <row r="52" spans="1:7">
      <c r="A52" s="846" t="s">
        <v>458</v>
      </c>
      <c r="B52" s="846" t="s">
        <v>1471</v>
      </c>
      <c r="C52" s="866" t="str">
        <f>'Expenditures 15-22'!B75</f>
        <v>3000</v>
      </c>
      <c r="D52" s="865" t="s">
        <v>448</v>
      </c>
      <c r="E52" s="845"/>
      <c r="F52" s="1819">
        <f>'Expenditures 15-22'!K75-SUM('Expenditures 15-22'!G75,'Expenditures 15-22'!I75)</f>
        <v>151805</v>
      </c>
      <c r="G52" s="842"/>
    </row>
    <row r="53" spans="1:7">
      <c r="A53" s="846" t="s">
        <v>458</v>
      </c>
      <c r="B53" s="846" t="s">
        <v>1472</v>
      </c>
      <c r="C53" s="866">
        <f>'Expenditures 15-22'!B102</f>
        <v>4000</v>
      </c>
      <c r="D53" s="865" t="str">
        <f>'Expenditures 15-22'!A102</f>
        <v>Total Payments to Other Govt Units</v>
      </c>
      <c r="E53" s="845"/>
      <c r="F53" s="1819">
        <f>'Expenditures 15-22'!K102</f>
        <v>238355</v>
      </c>
      <c r="G53" s="842"/>
    </row>
    <row r="54" spans="1:7">
      <c r="A54" s="846" t="s">
        <v>458</v>
      </c>
      <c r="B54" s="846" t="s">
        <v>1473</v>
      </c>
      <c r="C54" s="866" t="s">
        <v>981</v>
      </c>
      <c r="D54" s="862" t="s">
        <v>1094</v>
      </c>
      <c r="E54" s="845"/>
      <c r="F54" s="1819">
        <f>'Expenditures 15-22'!G114</f>
        <v>142134</v>
      </c>
      <c r="G54" s="842"/>
    </row>
    <row r="55" spans="1:7">
      <c r="A55" s="846" t="s">
        <v>458</v>
      </c>
      <c r="B55" s="846" t="s">
        <v>1474</v>
      </c>
      <c r="C55" s="866" t="s">
        <v>981</v>
      </c>
      <c r="D55" s="862" t="s">
        <v>290</v>
      </c>
      <c r="E55" s="845"/>
      <c r="F55" s="1819">
        <f>'Expenditures 15-22'!I114</f>
        <v>145574</v>
      </c>
      <c r="G55" s="842"/>
    </row>
    <row r="56" spans="1:7">
      <c r="A56" s="846" t="s">
        <v>459</v>
      </c>
      <c r="B56" s="846" t="s">
        <v>1475</v>
      </c>
      <c r="C56" s="863" t="str">
        <f>'Expenditures 15-22'!B130</f>
        <v>3000</v>
      </c>
      <c r="D56" s="869" t="s">
        <v>448</v>
      </c>
      <c r="E56" s="845"/>
      <c r="F56" s="1819">
        <f>'Expenditures 15-22'!K130-SUM('Expenditures 15-22'!G130+'Expenditures 15-22'!I130)</f>
        <v>0</v>
      </c>
      <c r="G56" s="842"/>
    </row>
    <row r="57" spans="1:7">
      <c r="A57" s="846" t="s">
        <v>459</v>
      </c>
      <c r="B57" s="846" t="s">
        <v>1853</v>
      </c>
      <c r="C57" s="866">
        <f>'Expenditures 15-22'!B139</f>
        <v>4000</v>
      </c>
      <c r="D57" s="864" t="str">
        <f>'Expenditures 15-22'!A139</f>
        <v>Total Payments to Other Govt Units</v>
      </c>
      <c r="E57" s="845"/>
      <c r="F57" s="1819">
        <f>'Expenditures 15-22'!K139</f>
        <v>0</v>
      </c>
      <c r="G57" s="842"/>
    </row>
    <row r="58" spans="1:7">
      <c r="A58" s="846" t="s">
        <v>459</v>
      </c>
      <c r="B58" s="846" t="s">
        <v>1854</v>
      </c>
      <c r="C58" s="863" t="s">
        <v>981</v>
      </c>
      <c r="D58" s="862" t="s">
        <v>1094</v>
      </c>
      <c r="E58" s="845"/>
      <c r="F58" s="1821">
        <f>'Expenditures 15-22'!G151</f>
        <v>513671</v>
      </c>
      <c r="G58" s="842"/>
    </row>
    <row r="59" spans="1:7">
      <c r="A59" s="870" t="s">
        <v>459</v>
      </c>
      <c r="B59" s="833" t="s">
        <v>1855</v>
      </c>
      <c r="C59" s="871" t="s">
        <v>981</v>
      </c>
      <c r="D59" s="833" t="s">
        <v>290</v>
      </c>
      <c r="F59" s="1822">
        <f>'Expenditures 15-22'!I151</f>
        <v>0</v>
      </c>
      <c r="G59" s="842"/>
    </row>
    <row r="60" spans="1:7">
      <c r="A60" s="870" t="s">
        <v>498</v>
      </c>
      <c r="B60" s="833" t="s">
        <v>1856</v>
      </c>
      <c r="C60" s="871">
        <v>4000</v>
      </c>
      <c r="D60" s="833" t="s">
        <v>311</v>
      </c>
      <c r="F60" s="1820">
        <f>'Expenditures 15-22'!K160</f>
        <v>0</v>
      </c>
      <c r="G60" s="842"/>
    </row>
    <row r="61" spans="1:7">
      <c r="A61" s="872" t="s">
        <v>498</v>
      </c>
      <c r="B61" s="872" t="s">
        <v>1857</v>
      </c>
      <c r="C61" s="873" t="str">
        <f>'Expenditures 15-22'!B170</f>
        <v>5300</v>
      </c>
      <c r="D61" s="874" t="s">
        <v>310</v>
      </c>
      <c r="E61" s="856"/>
      <c r="F61" s="1819">
        <f>'Expenditures 15-22'!K170</f>
        <v>4220380</v>
      </c>
      <c r="G61" s="842"/>
    </row>
    <row r="62" spans="1:7">
      <c r="A62" s="846" t="s">
        <v>460</v>
      </c>
      <c r="B62" s="846" t="s">
        <v>1858</v>
      </c>
      <c r="C62" s="863">
        <f>'Expenditures 15-22'!B185</f>
        <v>3000</v>
      </c>
      <c r="D62" s="853" t="s">
        <v>448</v>
      </c>
      <c r="E62" s="845"/>
      <c r="F62" s="1819">
        <f>'Expenditures 15-22'!K185-SUM('Expenditures 15-22'!G185,'Expenditures 15-22'!I185)</f>
        <v>0</v>
      </c>
      <c r="G62" s="842"/>
    </row>
    <row r="63" spans="1:7">
      <c r="A63" s="846" t="s">
        <v>460</v>
      </c>
      <c r="B63" s="846" t="s">
        <v>1859</v>
      </c>
      <c r="C63" s="863" t="str">
        <f>'Expenditures 15-22'!B196</f>
        <v>4000</v>
      </c>
      <c r="D63" s="864" t="str">
        <f>'Expenditures 15-22'!A196</f>
        <v>Total Payments to Other Govt Units</v>
      </c>
      <c r="E63" s="845"/>
      <c r="F63" s="1819">
        <f>'Expenditures 15-22'!K196</f>
        <v>0</v>
      </c>
      <c r="G63" s="842"/>
    </row>
    <row r="64" spans="1:7">
      <c r="A64" s="872" t="s">
        <v>460</v>
      </c>
      <c r="B64" s="872" t="s">
        <v>1860</v>
      </c>
      <c r="C64" s="873" t="str">
        <f>'Expenditures 15-22'!B206</f>
        <v>5300</v>
      </c>
      <c r="D64" s="869" t="s">
        <v>310</v>
      </c>
      <c r="E64" s="845"/>
      <c r="F64" s="1819">
        <f>'Expenditures 15-22'!K206</f>
        <v>0</v>
      </c>
      <c r="G64" s="842"/>
    </row>
    <row r="65" spans="1:8">
      <c r="A65" s="846" t="s">
        <v>460</v>
      </c>
      <c r="B65" s="846" t="s">
        <v>1861</v>
      </c>
      <c r="C65" s="863" t="s">
        <v>981</v>
      </c>
      <c r="D65" s="862" t="s">
        <v>1094</v>
      </c>
      <c r="E65" s="845"/>
      <c r="F65" s="1819">
        <f>'Expenditures 15-22'!G210</f>
        <v>254408</v>
      </c>
      <c r="G65" s="842"/>
    </row>
    <row r="66" spans="1:8">
      <c r="A66" s="846" t="s">
        <v>460</v>
      </c>
      <c r="B66" s="846" t="s">
        <v>1862</v>
      </c>
      <c r="C66" s="863" t="s">
        <v>981</v>
      </c>
      <c r="D66" s="862" t="s">
        <v>290</v>
      </c>
      <c r="E66" s="845"/>
      <c r="F66" s="1819">
        <f>'Expenditures 15-22'!I210</f>
        <v>0</v>
      </c>
      <c r="G66" s="842"/>
    </row>
    <row r="67" spans="1:8">
      <c r="A67" s="846" t="s">
        <v>461</v>
      </c>
      <c r="B67" s="846" t="s">
        <v>1863</v>
      </c>
      <c r="C67" s="863" t="str">
        <f>'Expenditures 15-22'!B216</f>
        <v>1125</v>
      </c>
      <c r="D67" s="869" t="str">
        <f>'Expenditures 15-22'!A216</f>
        <v>Pre-K Programs</v>
      </c>
      <c r="E67" s="845"/>
      <c r="F67" s="1819">
        <f>'Expenditures 15-22'!K216</f>
        <v>0</v>
      </c>
      <c r="G67" s="842"/>
    </row>
    <row r="68" spans="1:8">
      <c r="A68" s="846" t="s">
        <v>461</v>
      </c>
      <c r="B68" s="846" t="s">
        <v>1476</v>
      </c>
      <c r="C68" s="863" t="str">
        <f>'Expenditures 15-22'!B218</f>
        <v>1225</v>
      </c>
      <c r="D68" s="869" t="str">
        <f>'Expenditures 15-22'!A218</f>
        <v>Special Education Programs - Pre-K</v>
      </c>
      <c r="E68" s="845"/>
      <c r="F68" s="1819">
        <f>'Expenditures 15-22'!K218</f>
        <v>0</v>
      </c>
      <c r="G68" s="842"/>
    </row>
    <row r="69" spans="1:8">
      <c r="A69" s="846" t="s">
        <v>461</v>
      </c>
      <c r="B69" s="846" t="s">
        <v>1864</v>
      </c>
      <c r="C69" s="863" t="str">
        <f>'Expenditures 15-22'!B220</f>
        <v>1275</v>
      </c>
      <c r="D69" s="869" t="str">
        <f>'Expenditures 15-22'!A220</f>
        <v>Remedial and Supplemental Programs - Pre-K</v>
      </c>
      <c r="E69" s="845"/>
      <c r="F69" s="1819">
        <f>'Expenditures 15-22'!K220</f>
        <v>0</v>
      </c>
      <c r="G69" s="842"/>
    </row>
    <row r="70" spans="1:8">
      <c r="A70" s="846" t="s">
        <v>461</v>
      </c>
      <c r="B70" s="846" t="s">
        <v>1865</v>
      </c>
      <c r="C70" s="863">
        <f>'Expenditures 15-22'!B221</f>
        <v>1300</v>
      </c>
      <c r="D70" s="864" t="str">
        <f>'Expenditures 15-22'!A221</f>
        <v>Adult/Continuing Education Programs</v>
      </c>
      <c r="E70" s="845"/>
      <c r="F70" s="1819">
        <f>'Expenditures 15-22'!K221</f>
        <v>0</v>
      </c>
      <c r="G70" s="842"/>
    </row>
    <row r="71" spans="1:8">
      <c r="A71" s="846" t="s">
        <v>461</v>
      </c>
      <c r="B71" s="846" t="s">
        <v>1866</v>
      </c>
      <c r="C71" s="863">
        <f>'Expenditures 15-22'!B224</f>
        <v>1600</v>
      </c>
      <c r="D71" s="864" t="str">
        <f>'Expenditures 15-22'!A224</f>
        <v>Summer School Programs</v>
      </c>
      <c r="E71" s="845"/>
      <c r="F71" s="1819">
        <f>'Expenditures 15-22'!K224</f>
        <v>1664</v>
      </c>
      <c r="G71" s="842"/>
    </row>
    <row r="72" spans="1:8">
      <c r="A72" s="846" t="s">
        <v>461</v>
      </c>
      <c r="B72" s="846" t="s">
        <v>1867</v>
      </c>
      <c r="C72" s="863">
        <f>'Expenditures 15-22'!B280</f>
        <v>3000</v>
      </c>
      <c r="D72" s="853" t="s">
        <v>448</v>
      </c>
      <c r="E72" s="845"/>
      <c r="F72" s="1819">
        <f>'Expenditures 15-22'!K280</f>
        <v>6293</v>
      </c>
      <c r="G72" s="842"/>
    </row>
    <row r="73" spans="1:8">
      <c r="A73" s="846" t="s">
        <v>461</v>
      </c>
      <c r="B73" s="846" t="s">
        <v>1868</v>
      </c>
      <c r="C73" s="863" t="str">
        <f>'Expenditures 15-22'!B285</f>
        <v>4000</v>
      </c>
      <c r="D73" s="864" t="str">
        <f>'Expenditures 15-22'!A285</f>
        <v>Total Payments to Other Govt Units</v>
      </c>
      <c r="E73" s="845"/>
      <c r="F73" s="1819">
        <f>'Expenditures 15-22'!K285</f>
        <v>0</v>
      </c>
      <c r="G73" s="842"/>
    </row>
    <row r="74" spans="1:8">
      <c r="A74" s="846" t="s">
        <v>435</v>
      </c>
      <c r="B74" s="846" t="s">
        <v>1869</v>
      </c>
      <c r="C74" s="863" t="s">
        <v>859</v>
      </c>
      <c r="D74" s="864" t="s">
        <v>1484</v>
      </c>
      <c r="E74" s="845"/>
      <c r="F74" s="1823">
        <f>'Expenditures 15-22'!K334</f>
        <v>0</v>
      </c>
      <c r="G74" s="842"/>
    </row>
    <row r="75" spans="1:8" ht="5.25" customHeight="1">
      <c r="A75" s="842"/>
      <c r="B75" s="852"/>
      <c r="C75" s="852"/>
      <c r="D75" s="842"/>
      <c r="E75" s="845"/>
      <c r="F75" s="859"/>
      <c r="G75" s="844"/>
    </row>
    <row r="76" spans="1:8" ht="12" thickBot="1">
      <c r="A76" s="1677"/>
      <c r="B76" s="1683"/>
      <c r="C76" s="1679"/>
      <c r="D76" s="1684" t="s">
        <v>1870</v>
      </c>
      <c r="E76" s="1681" t="s">
        <v>957</v>
      </c>
      <c r="F76" s="1685">
        <f>SUM(F18:F74)</f>
        <v>10302996</v>
      </c>
      <c r="G76" s="842"/>
    </row>
    <row r="77" spans="1:8" s="870" customFormat="1" ht="12" customHeight="1" thickTop="1" thickBot="1">
      <c r="A77" s="1686"/>
      <c r="B77" s="1683"/>
      <c r="C77" s="1679"/>
      <c r="D77" s="1684" t="s">
        <v>1871</v>
      </c>
      <c r="E77" s="1681"/>
      <c r="F77" s="1687">
        <f>(F14-F76)</f>
        <v>90733869</v>
      </c>
      <c r="G77" s="846"/>
    </row>
    <row r="78" spans="1:8" s="870" customFormat="1" ht="12" customHeight="1" thickTop="1">
      <c r="A78" s="1688"/>
      <c r="B78" s="1683"/>
      <c r="C78" s="1679"/>
      <c r="D78" s="1684" t="s">
        <v>2033</v>
      </c>
      <c r="E78" s="1681"/>
      <c r="F78" s="875">
        <v>5660.3</v>
      </c>
      <c r="G78" s="876"/>
      <c r="H78" s="846"/>
    </row>
    <row r="79" spans="1:8" s="870" customFormat="1" ht="12" customHeight="1" thickBot="1">
      <c r="A79" s="1689"/>
      <c r="B79" s="1683"/>
      <c r="C79" s="1679"/>
      <c r="D79" s="1684" t="s">
        <v>1872</v>
      </c>
      <c r="E79" s="1681" t="s">
        <v>957</v>
      </c>
      <c r="F79" s="1690">
        <f>IF(F78&gt;0,F77/F78," Complete Line 78")</f>
        <v>16029.869264879953</v>
      </c>
      <c r="G79" s="846"/>
    </row>
    <row r="80" spans="1:8" s="870" customFormat="1" ht="8.25" customHeight="1" thickTop="1">
      <c r="A80" s="877"/>
      <c r="B80" s="846"/>
      <c r="C80" s="848"/>
      <c r="D80" s="878"/>
      <c r="E80" s="845"/>
      <c r="F80" s="879"/>
      <c r="G80" s="846"/>
    </row>
    <row r="81" spans="1:7" s="870" customFormat="1" ht="12" thickBot="1">
      <c r="A81" s="2284" t="s">
        <v>1104</v>
      </c>
      <c r="B81" s="2285"/>
      <c r="C81" s="2285"/>
      <c r="D81" s="2285"/>
      <c r="E81" s="2285"/>
      <c r="F81" s="2286"/>
      <c r="G81" s="846"/>
    </row>
    <row r="82" spans="1:7" s="870" customFormat="1" ht="5.25" customHeight="1" thickTop="1">
      <c r="A82" s="846"/>
      <c r="B82" s="846"/>
      <c r="C82" s="848"/>
      <c r="D82" s="846"/>
      <c r="E82" s="848"/>
      <c r="F82" s="846"/>
      <c r="G82" s="880"/>
    </row>
    <row r="83" spans="1:7" ht="12" customHeight="1">
      <c r="A83" s="881" t="s">
        <v>812</v>
      </c>
      <c r="B83" s="882"/>
      <c r="C83" s="883"/>
      <c r="D83" s="884"/>
      <c r="E83" s="883"/>
      <c r="F83" s="882"/>
      <c r="G83" s="882"/>
    </row>
    <row r="84" spans="1:7">
      <c r="A84" s="885" t="s">
        <v>460</v>
      </c>
      <c r="B84" s="886" t="s">
        <v>146</v>
      </c>
      <c r="C84" s="887">
        <f>'Revenues 9-14'!B42</f>
        <v>1411</v>
      </c>
      <c r="D84" s="888" t="str">
        <f>'Revenues 9-14'!A42</f>
        <v>Regular -Transp Fees from Pupils or Parents (In State)</v>
      </c>
      <c r="E84" s="883" t="s">
        <v>957</v>
      </c>
      <c r="F84" s="1813">
        <f>'Revenues 9-14'!F42</f>
        <v>0</v>
      </c>
      <c r="G84" s="889"/>
    </row>
    <row r="85" spans="1:7">
      <c r="A85" s="885" t="s">
        <v>460</v>
      </c>
      <c r="B85" s="885" t="s">
        <v>183</v>
      </c>
      <c r="C85" s="890">
        <f>'Revenues 9-14'!B44</f>
        <v>1413</v>
      </c>
      <c r="D85" s="888" t="str">
        <f>'Revenues 9-14'!A44</f>
        <v>Regular - Transp Fees from Other Sources (In State)</v>
      </c>
      <c r="E85" s="883"/>
      <c r="F85" s="1696">
        <f>'Revenues 9-14'!F44</f>
        <v>0</v>
      </c>
      <c r="G85" s="891"/>
    </row>
    <row r="86" spans="1:7">
      <c r="A86" s="885" t="s">
        <v>460</v>
      </c>
      <c r="B86" s="885" t="s">
        <v>166</v>
      </c>
      <c r="C86" s="887">
        <f>'Revenues 9-14'!B45</f>
        <v>1415</v>
      </c>
      <c r="D86" s="888" t="str">
        <f>'Revenues 9-14'!A45</f>
        <v>Regular - Transp Fees from Co-curricular Activities (In State)</v>
      </c>
      <c r="E86" s="883"/>
      <c r="F86" s="1696">
        <f>'Revenues 9-14'!F45</f>
        <v>0</v>
      </c>
      <c r="G86" s="891"/>
    </row>
    <row r="87" spans="1:7">
      <c r="A87" s="885" t="s">
        <v>460</v>
      </c>
      <c r="B87" s="885" t="s">
        <v>167</v>
      </c>
      <c r="C87" s="887">
        <v>1416</v>
      </c>
      <c r="D87" s="888" t="str">
        <f>'Revenues 9-14'!A46</f>
        <v>Regular Transp Fees from Other Sources (Out of State)</v>
      </c>
      <c r="E87" s="883"/>
      <c r="F87" s="1696">
        <f>'Revenues 9-14'!F46</f>
        <v>0</v>
      </c>
      <c r="G87" s="891"/>
    </row>
    <row r="88" spans="1:7">
      <c r="A88" s="885" t="s">
        <v>460</v>
      </c>
      <c r="B88" s="885" t="s">
        <v>168</v>
      </c>
      <c r="C88" s="887">
        <f>'Revenues 9-14'!B51</f>
        <v>1431</v>
      </c>
      <c r="D88" s="888" t="str">
        <f>'Revenues 9-14'!A51</f>
        <v>CTE - Transp Fees from Pupils or Parents (In State)</v>
      </c>
      <c r="E88" s="883"/>
      <c r="F88" s="1696">
        <f>'Revenues 9-14'!F51</f>
        <v>0</v>
      </c>
      <c r="G88" s="891"/>
    </row>
    <row r="89" spans="1:7">
      <c r="A89" s="885" t="s">
        <v>460</v>
      </c>
      <c r="B89" s="885" t="s">
        <v>169</v>
      </c>
      <c r="C89" s="887">
        <f>'Revenues 9-14'!B53</f>
        <v>1433</v>
      </c>
      <c r="D89" s="888" t="str">
        <f>'Revenues 9-14'!A53</f>
        <v>CTE - Transp Fees from Other Sources (In State)</v>
      </c>
      <c r="E89" s="883"/>
      <c r="F89" s="1696">
        <f>'Revenues 9-14'!F53</f>
        <v>0</v>
      </c>
      <c r="G89" s="891"/>
    </row>
    <row r="90" spans="1:7">
      <c r="A90" s="885" t="s">
        <v>460</v>
      </c>
      <c r="B90" s="885" t="s">
        <v>170</v>
      </c>
      <c r="C90" s="887">
        <f>'Revenues 9-14'!B54</f>
        <v>1434</v>
      </c>
      <c r="D90" s="888" t="str">
        <f>'Revenues 9-14'!A54</f>
        <v>CTE - Transp Fees from Other Sources (Out of State)</v>
      </c>
      <c r="E90" s="883"/>
      <c r="F90" s="1696">
        <f>'Revenues 9-14'!F54</f>
        <v>0</v>
      </c>
      <c r="G90" s="891"/>
    </row>
    <row r="91" spans="1:7">
      <c r="A91" s="885" t="s">
        <v>460</v>
      </c>
      <c r="B91" s="885" t="s">
        <v>171</v>
      </c>
      <c r="C91" s="892">
        <f>'Revenues 9-14'!B55</f>
        <v>1441</v>
      </c>
      <c r="D91" s="888" t="str">
        <f>'Revenues 9-14'!A55</f>
        <v>Special Ed - Transp Fees from Pupils or Parents (In State)</v>
      </c>
      <c r="E91" s="883"/>
      <c r="F91" s="1696">
        <f>'Revenues 9-14'!F55</f>
        <v>0</v>
      </c>
      <c r="G91" s="891"/>
    </row>
    <row r="92" spans="1:7">
      <c r="A92" s="885" t="s">
        <v>460</v>
      </c>
      <c r="B92" s="885" t="s">
        <v>172</v>
      </c>
      <c r="C92" s="887">
        <f>'Revenues 9-14'!B57</f>
        <v>1443</v>
      </c>
      <c r="D92" s="888" t="str">
        <f>'Revenues 9-14'!A57</f>
        <v>Special Ed - Transp Fees from Other Sources (In State)</v>
      </c>
      <c r="E92" s="883"/>
      <c r="F92" s="1696">
        <f>'Revenues 9-14'!F57</f>
        <v>0</v>
      </c>
      <c r="G92" s="893"/>
    </row>
    <row r="93" spans="1:7">
      <c r="A93" s="885" t="s">
        <v>460</v>
      </c>
      <c r="B93" s="885" t="s">
        <v>173</v>
      </c>
      <c r="C93" s="887">
        <f>'Revenues 9-14'!B58</f>
        <v>1444</v>
      </c>
      <c r="D93" s="888" t="str">
        <f>'Revenues 9-14'!A58</f>
        <v>Special Ed - Transp Fees from Other Sources (Out of State)</v>
      </c>
      <c r="E93" s="883"/>
      <c r="F93" s="1696">
        <f>'Revenues 9-14'!F58</f>
        <v>0</v>
      </c>
      <c r="G93" s="893"/>
    </row>
    <row r="94" spans="1:7">
      <c r="A94" s="885" t="s">
        <v>458</v>
      </c>
      <c r="B94" s="885" t="s">
        <v>174</v>
      </c>
      <c r="C94" s="887">
        <v>1600</v>
      </c>
      <c r="D94" s="894" t="str">
        <f>'Revenues 9-14'!A75</f>
        <v>Total Food Service</v>
      </c>
      <c r="E94" s="883"/>
      <c r="F94" s="1696">
        <f>'Revenues 9-14'!C75</f>
        <v>602552</v>
      </c>
      <c r="G94" s="889"/>
    </row>
    <row r="95" spans="1:7">
      <c r="A95" s="885" t="s">
        <v>140</v>
      </c>
      <c r="B95" s="885" t="s">
        <v>175</v>
      </c>
      <c r="C95" s="887">
        <v>1700</v>
      </c>
      <c r="D95" s="895" t="str">
        <f>'Revenues 9-14'!A82</f>
        <v>Total District/School Activity Income</v>
      </c>
      <c r="E95" s="883"/>
      <c r="F95" s="1696">
        <f>SUM('Revenues 9-14'!C82,'Revenues 9-14'!D82)</f>
        <v>327796</v>
      </c>
      <c r="G95" s="889"/>
    </row>
    <row r="96" spans="1:7">
      <c r="A96" s="885" t="s">
        <v>458</v>
      </c>
      <c r="B96" s="885" t="s">
        <v>176</v>
      </c>
      <c r="C96" s="887">
        <f>'Revenues 9-14'!B84</f>
        <v>1811</v>
      </c>
      <c r="D96" s="888" t="str">
        <f>'Revenues 9-14'!A84</f>
        <v>Rentals - Regular Textbooks</v>
      </c>
      <c r="E96" s="883"/>
      <c r="F96" s="1696">
        <f>'Revenues 9-14'!C84</f>
        <v>423369</v>
      </c>
      <c r="G96" s="889"/>
    </row>
    <row r="97" spans="1:7">
      <c r="A97" s="885" t="s">
        <v>458</v>
      </c>
      <c r="B97" s="885" t="s">
        <v>177</v>
      </c>
      <c r="C97" s="887">
        <f>'Revenues 9-14'!B87</f>
        <v>1819</v>
      </c>
      <c r="D97" s="888" t="str">
        <f>'Revenues 9-14'!A87</f>
        <v>Rentals - Other (Describe &amp; Itemize)</v>
      </c>
      <c r="E97" s="883"/>
      <c r="F97" s="1696">
        <f>'Revenues 9-14'!C87</f>
        <v>0</v>
      </c>
      <c r="G97" s="889"/>
    </row>
    <row r="98" spans="1:7">
      <c r="A98" s="885" t="s">
        <v>458</v>
      </c>
      <c r="B98" s="885" t="s">
        <v>178</v>
      </c>
      <c r="C98" s="887">
        <f>'Revenues 9-14'!B88</f>
        <v>1821</v>
      </c>
      <c r="D98" s="888" t="str">
        <f>'Revenues 9-14'!A88</f>
        <v>Sales - Regular Textbooks</v>
      </c>
      <c r="E98" s="883"/>
      <c r="F98" s="1696">
        <f>'Revenues 9-14'!C88</f>
        <v>7259</v>
      </c>
      <c r="G98" s="889"/>
    </row>
    <row r="99" spans="1:7">
      <c r="A99" s="885" t="s">
        <v>458</v>
      </c>
      <c r="B99" s="885" t="s">
        <v>179</v>
      </c>
      <c r="C99" s="887">
        <f>'Revenues 9-14'!B91</f>
        <v>1829</v>
      </c>
      <c r="D99" s="888" t="str">
        <f>'Revenues 9-14'!A91</f>
        <v>Sales - Other (Describe &amp; Itemize)</v>
      </c>
      <c r="E99" s="883"/>
      <c r="F99" s="1696">
        <f>'Revenues 9-14'!C91</f>
        <v>0</v>
      </c>
      <c r="G99" s="889"/>
    </row>
    <row r="100" spans="1:7">
      <c r="A100" s="885" t="s">
        <v>458</v>
      </c>
      <c r="B100" s="885" t="s">
        <v>180</v>
      </c>
      <c r="C100" s="887">
        <f>'Revenues 9-14'!B92</f>
        <v>1890</v>
      </c>
      <c r="D100" s="888" t="str">
        <f>'Revenues 9-14'!A92</f>
        <v>Other (Describe &amp; Itemize)</v>
      </c>
      <c r="E100" s="883"/>
      <c r="F100" s="1696">
        <f>'Revenues 9-14'!C92</f>
        <v>0</v>
      </c>
      <c r="G100" s="889"/>
    </row>
    <row r="101" spans="1:7">
      <c r="A101" s="885" t="s">
        <v>140</v>
      </c>
      <c r="B101" s="885" t="s">
        <v>181</v>
      </c>
      <c r="C101" s="887">
        <f>'Revenues 9-14'!B95</f>
        <v>1910</v>
      </c>
      <c r="D101" s="888" t="str">
        <f>'Revenues 9-14'!A95</f>
        <v>Rentals</v>
      </c>
      <c r="E101" s="883"/>
      <c r="F101" s="1696">
        <f>SUM('Revenues 9-14'!C95:D95)</f>
        <v>85817</v>
      </c>
      <c r="G101" s="889"/>
    </row>
    <row r="102" spans="1:7">
      <c r="A102" s="885" t="s">
        <v>502</v>
      </c>
      <c r="B102" s="885" t="s">
        <v>182</v>
      </c>
      <c r="C102" s="887">
        <f>'Revenues 9-14'!B98</f>
        <v>1940</v>
      </c>
      <c r="D102" s="888" t="str">
        <f>'Revenues 9-14'!A98</f>
        <v>Services Provided Other Districts</v>
      </c>
      <c r="E102" s="883"/>
      <c r="F102" s="1696">
        <f>SUM('Revenues 9-14'!C98,'Revenues 9-14'!D98,'Revenues 9-14'!F98)</f>
        <v>0</v>
      </c>
      <c r="G102" s="889"/>
    </row>
    <row r="103" spans="1:7">
      <c r="A103" s="885" t="s">
        <v>1008</v>
      </c>
      <c r="B103" s="885" t="s">
        <v>800</v>
      </c>
      <c r="C103" s="887">
        <f>'Revenues 9-14'!B104</f>
        <v>1991</v>
      </c>
      <c r="D103" s="896" t="str">
        <f>'Revenues 9-14'!A104</f>
        <v>Payment from Other Districts</v>
      </c>
      <c r="E103" s="883"/>
      <c r="F103" s="1696">
        <f>SUM('Revenues 9-14'!C104,'Revenues 9-14'!D104,'Revenues 9-14'!E104,'Revenues 9-14'!F104,'Revenues 9-14'!G104)</f>
        <v>0</v>
      </c>
      <c r="G103" s="889"/>
    </row>
    <row r="104" spans="1:7">
      <c r="A104" s="885" t="s">
        <v>458</v>
      </c>
      <c r="B104" s="885" t="s">
        <v>807</v>
      </c>
      <c r="C104" s="887">
        <f>'Revenues 9-14'!B106</f>
        <v>1993</v>
      </c>
      <c r="D104" s="888" t="str">
        <f>'Revenues 9-14'!A106</f>
        <v>Other Local Fees (Describe &amp; Itemize)</v>
      </c>
      <c r="E104" s="883"/>
      <c r="F104" s="1696">
        <f>('Revenues 9-14'!C106)</f>
        <v>0</v>
      </c>
      <c r="G104" s="889"/>
    </row>
    <row r="105" spans="1:7">
      <c r="A105" s="885" t="s">
        <v>502</v>
      </c>
      <c r="B105" s="885" t="s">
        <v>1974</v>
      </c>
      <c r="C105" s="890">
        <v>3100</v>
      </c>
      <c r="D105" s="896" t="str">
        <f>'Revenues 9-14'!A132</f>
        <v>Total Special Education</v>
      </c>
      <c r="E105" s="883"/>
      <c r="F105" s="1696">
        <f>SUM('Revenues 9-14'!C132:D132,'Revenues 9-14'!F132)</f>
        <v>2228317</v>
      </c>
      <c r="G105" s="889"/>
    </row>
    <row r="106" spans="1:7">
      <c r="A106" s="885" t="s">
        <v>672</v>
      </c>
      <c r="B106" s="885" t="s">
        <v>1975</v>
      </c>
      <c r="C106" s="897">
        <v>3200</v>
      </c>
      <c r="D106" s="888" t="str">
        <f>'Revenues 9-14'!A141</f>
        <v>Total Career and Technical Education</v>
      </c>
      <c r="E106" s="883"/>
      <c r="F106" s="1696">
        <f>SUM('Revenues 9-14'!C141,'Revenues 9-14'!D141,'Revenues 9-14'!G141)</f>
        <v>179354</v>
      </c>
      <c r="G106" s="889"/>
    </row>
    <row r="107" spans="1:7">
      <c r="A107" s="898" t="s">
        <v>663</v>
      </c>
      <c r="B107" s="885" t="s">
        <v>1976</v>
      </c>
      <c r="C107" s="897">
        <v>3300</v>
      </c>
      <c r="D107" s="888" t="str">
        <f>'Revenues 9-14'!A145</f>
        <v>Total Bilingual Ed</v>
      </c>
      <c r="E107" s="883"/>
      <c r="F107" s="1696">
        <f>SUM('Revenues 9-14'!C145,'Revenues 9-14'!G145)</f>
        <v>0</v>
      </c>
      <c r="G107" s="889"/>
    </row>
    <row r="108" spans="1:7">
      <c r="A108" s="885" t="s">
        <v>458</v>
      </c>
      <c r="B108" s="885" t="s">
        <v>1977</v>
      </c>
      <c r="C108" s="897">
        <f>'Revenues 9-14'!B146</f>
        <v>3360</v>
      </c>
      <c r="D108" s="888" t="str">
        <f>'Revenues 9-14'!A146</f>
        <v>State Free Lunch &amp; Breakfast</v>
      </c>
      <c r="E108" s="883"/>
      <c r="F108" s="1696">
        <f>'Revenues 9-14'!C146</f>
        <v>23860</v>
      </c>
      <c r="G108" s="889"/>
    </row>
    <row r="109" spans="1:7">
      <c r="A109" s="885" t="s">
        <v>672</v>
      </c>
      <c r="B109" s="885" t="s">
        <v>1978</v>
      </c>
      <c r="C109" s="897">
        <f>'Revenues 9-14'!B147</f>
        <v>3365</v>
      </c>
      <c r="D109" s="888" t="str">
        <f>'Revenues 9-14'!A147</f>
        <v>School Breakfast Initiative</v>
      </c>
      <c r="E109" s="883"/>
      <c r="F109" s="1696">
        <f>SUM('Revenues 9-14'!C147,'Revenues 9-14'!D147,'Revenues 9-14'!G147)</f>
        <v>0</v>
      </c>
      <c r="G109" s="889"/>
    </row>
    <row r="110" spans="1:7">
      <c r="A110" s="885" t="s">
        <v>140</v>
      </c>
      <c r="B110" s="885" t="s">
        <v>1979</v>
      </c>
      <c r="C110" s="897">
        <f>'Revenues 9-14'!B148</f>
        <v>3370</v>
      </c>
      <c r="D110" s="888" t="str">
        <f>'Revenues 9-14'!A148</f>
        <v>Driver Education</v>
      </c>
      <c r="E110" s="883"/>
      <c r="F110" s="1696">
        <f>SUM('Revenues 9-14'!C148,'Revenues 9-14'!D148)</f>
        <v>151602</v>
      </c>
      <c r="G110" s="889"/>
    </row>
    <row r="111" spans="1:7">
      <c r="A111" s="885" t="s">
        <v>667</v>
      </c>
      <c r="B111" s="885" t="s">
        <v>1980</v>
      </c>
      <c r="C111" s="899">
        <v>3500</v>
      </c>
      <c r="D111" s="888" t="str">
        <f>'Revenues 9-14'!A155</f>
        <v>Total Transportation</v>
      </c>
      <c r="E111" s="883"/>
      <c r="F111" s="1696">
        <f>SUM('Revenues 9-14'!C155,'Revenues 9-14'!D155,'Revenues 9-14'!F155,'Revenues 9-14'!G155)</f>
        <v>4102303</v>
      </c>
      <c r="G111" s="889"/>
    </row>
    <row r="112" spans="1:7">
      <c r="A112" s="885" t="s">
        <v>458</v>
      </c>
      <c r="B112" s="885" t="s">
        <v>1981</v>
      </c>
      <c r="C112" s="897">
        <f>'Revenues 9-14'!B156</f>
        <v>3610</v>
      </c>
      <c r="D112" s="888" t="str">
        <f>'Revenues 9-14'!A156</f>
        <v>Learning Improvement - Change Grants</v>
      </c>
      <c r="E112" s="883"/>
      <c r="F112" s="1696">
        <f>'Revenues 9-14'!C156</f>
        <v>0</v>
      </c>
      <c r="G112" s="889"/>
    </row>
    <row r="113" spans="1:7">
      <c r="A113" s="885" t="s">
        <v>667</v>
      </c>
      <c r="B113" s="885" t="s">
        <v>1982</v>
      </c>
      <c r="C113" s="897">
        <f>'Revenues 9-14'!B157</f>
        <v>3660</v>
      </c>
      <c r="D113" s="888" t="str">
        <f>'Revenues 9-14'!A157</f>
        <v>Scientific Literacy</v>
      </c>
      <c r="E113" s="883"/>
      <c r="F113" s="1696">
        <f>SUM('Revenues 9-14'!C157,'Revenues 9-14'!D157,'Revenues 9-14'!F157,'Revenues 9-14'!G157)</f>
        <v>0</v>
      </c>
      <c r="G113" s="889"/>
    </row>
    <row r="114" spans="1:7">
      <c r="A114" s="885" t="s">
        <v>5</v>
      </c>
      <c r="B114" s="885" t="s">
        <v>1983</v>
      </c>
      <c r="C114" s="897">
        <f>'Revenues 9-14'!B158</f>
        <v>3695</v>
      </c>
      <c r="D114" s="888" t="str">
        <f>'Revenues 9-14'!A158</f>
        <v>Truant Alternative/Optional Education</v>
      </c>
      <c r="E114" s="883"/>
      <c r="F114" s="1696">
        <f>SUM('Revenues 9-14'!C158,'Revenues 9-14'!F158,'Revenues 9-14'!G158)</f>
        <v>0</v>
      </c>
      <c r="G114" s="889"/>
    </row>
    <row r="115" spans="1:7">
      <c r="A115" s="885" t="s">
        <v>667</v>
      </c>
      <c r="B115" s="885" t="s">
        <v>1984</v>
      </c>
      <c r="C115" s="897">
        <f>'Revenues 9-14'!B160</f>
        <v>3766</v>
      </c>
      <c r="D115" s="888" t="str">
        <f>'Revenues 9-14'!A160</f>
        <v>Chicago General Education Block Grant</v>
      </c>
      <c r="E115" s="883"/>
      <c r="F115" s="1696">
        <f>SUM('Revenues 9-14'!C160,'Revenues 9-14'!D160,'Revenues 9-14'!F160,'Revenues 9-14'!G160)</f>
        <v>0</v>
      </c>
      <c r="G115" s="889"/>
    </row>
    <row r="116" spans="1:7">
      <c r="A116" s="885" t="s">
        <v>667</v>
      </c>
      <c r="B116" s="885" t="s">
        <v>1985</v>
      </c>
      <c r="C116" s="897">
        <f>'Revenues 9-14'!B161</f>
        <v>3767</v>
      </c>
      <c r="D116" s="888" t="str">
        <f>'Revenues 9-14'!A161</f>
        <v>Chicago Educational Services Block Grant</v>
      </c>
      <c r="E116" s="883"/>
      <c r="F116" s="1696">
        <f>SUM('Revenues 9-14'!C161,'Revenues 9-14'!D161,'Revenues 9-14'!F161,'Revenues 9-14'!G161)</f>
        <v>0</v>
      </c>
      <c r="G116" s="889"/>
    </row>
    <row r="117" spans="1:7">
      <c r="A117" s="900" t="s">
        <v>1008</v>
      </c>
      <c r="B117" s="900" t="s">
        <v>1986</v>
      </c>
      <c r="C117" s="901">
        <f>'Revenues 9-14'!B162</f>
        <v>3775</v>
      </c>
      <c r="D117" s="902" t="str">
        <f>'Revenues 9-14'!A162</f>
        <v>School Safety &amp; Educational Improvement Block Grant</v>
      </c>
      <c r="E117" s="883"/>
      <c r="F117" s="1813">
        <f>SUM('Revenues 9-14'!C162,'Revenues 9-14'!D162,'Revenues 9-14'!E162,'Revenues 9-14'!F162,'Revenues 9-14'!G162)</f>
        <v>0</v>
      </c>
      <c r="G117" s="889"/>
    </row>
    <row r="118" spans="1:7">
      <c r="A118" s="900" t="s">
        <v>1008</v>
      </c>
      <c r="B118" s="900" t="s">
        <v>1987</v>
      </c>
      <c r="C118" s="901">
        <f>'Revenues 9-14'!B163</f>
        <v>3780</v>
      </c>
      <c r="D118" s="902" t="str">
        <f>'Revenues 9-14'!A163</f>
        <v>Technology - Technology for Success</v>
      </c>
      <c r="E118" s="883"/>
      <c r="F118" s="1813">
        <f>SUM('Revenues 9-14'!C163:G163)</f>
        <v>0</v>
      </c>
      <c r="G118" s="889"/>
    </row>
    <row r="119" spans="1:7">
      <c r="A119" s="900" t="s">
        <v>503</v>
      </c>
      <c r="B119" s="900" t="s">
        <v>1988</v>
      </c>
      <c r="C119" s="901">
        <f>'Revenues 9-14'!B164</f>
        <v>3815</v>
      </c>
      <c r="D119" s="902" t="str">
        <f>'Revenues 9-14'!A164</f>
        <v>State Charter Schools</v>
      </c>
      <c r="E119" s="883"/>
      <c r="F119" s="1813">
        <f>SUM('Revenues 9-14'!C164,'Revenues 9-14'!F164)</f>
        <v>0</v>
      </c>
      <c r="G119" s="889"/>
    </row>
    <row r="120" spans="1:7">
      <c r="A120" s="904" t="s">
        <v>459</v>
      </c>
      <c r="B120" s="904" t="s">
        <v>1989</v>
      </c>
      <c r="C120" s="905">
        <f>'Revenues 9-14'!B167</f>
        <v>3925</v>
      </c>
      <c r="D120" s="906" t="str">
        <f>'Revenues 9-14'!A167</f>
        <v>School Infrastructure - Maintenance Projects</v>
      </c>
      <c r="E120" s="883"/>
      <c r="F120" s="1696">
        <f>'Revenues 9-14'!D167</f>
        <v>0</v>
      </c>
      <c r="G120" s="907"/>
    </row>
    <row r="121" spans="1:7">
      <c r="A121" s="904" t="s">
        <v>499</v>
      </c>
      <c r="B121" s="904" t="s">
        <v>1990</v>
      </c>
      <c r="C121" s="905">
        <f>'Revenues 9-14'!B168</f>
        <v>3999</v>
      </c>
      <c r="D121" s="906" t="s">
        <v>542</v>
      </c>
      <c r="E121" s="908"/>
      <c r="F121" s="1696">
        <f>SUM('Revenues 9-14'!C168:G168,'Revenues 9-14'!J168)</f>
        <v>157362</v>
      </c>
      <c r="G121" s="907"/>
    </row>
    <row r="122" spans="1:7">
      <c r="A122" s="904" t="s">
        <v>458</v>
      </c>
      <c r="B122" s="904" t="s">
        <v>1991</v>
      </c>
      <c r="C122" s="909">
        <f>'Revenues 9-14'!B177</f>
        <v>4045</v>
      </c>
      <c r="D122" s="906" t="str">
        <f>'Revenues 9-14'!A177 &amp; " (Subtract)"</f>
        <v>Head Start (Subtract)</v>
      </c>
      <c r="E122" s="883"/>
      <c r="F122" s="1696">
        <f>SUM(-'Revenues 9-14'!C177)</f>
        <v>0</v>
      </c>
      <c r="G122" s="907"/>
    </row>
    <row r="123" spans="1:7">
      <c r="A123" s="904" t="s">
        <v>667</v>
      </c>
      <c r="B123" s="904" t="s">
        <v>1992</v>
      </c>
      <c r="C123" s="909" t="s">
        <v>981</v>
      </c>
      <c r="D123" s="906" t="str">
        <f>('Revenues 9-14'!A181)</f>
        <v>Total Restricted Grants-In-Aid Received Directly from Federal Govt</v>
      </c>
      <c r="E123" s="883"/>
      <c r="F123" s="1696">
        <f>SUM('Revenues 9-14'!C181,'Revenues 9-14'!D181,'Revenues 9-14'!F181,'Revenues 9-14'!G181)</f>
        <v>0</v>
      </c>
      <c r="G123" s="907"/>
    </row>
    <row r="124" spans="1:7">
      <c r="A124" s="904" t="s">
        <v>667</v>
      </c>
      <c r="B124" s="904" t="s">
        <v>1993</v>
      </c>
      <c r="C124" s="909">
        <v>4100</v>
      </c>
      <c r="D124" s="910" t="str">
        <f>'Revenues 9-14'!A188</f>
        <v>Total Title V</v>
      </c>
      <c r="E124" s="883"/>
      <c r="F124" s="1696">
        <f>SUM('Revenues 9-14'!C188,'Revenues 9-14'!D188,'Revenues 9-14'!F188,'Revenues 9-14'!G188)</f>
        <v>0</v>
      </c>
      <c r="G124" s="907"/>
    </row>
    <row r="125" spans="1:7">
      <c r="A125" s="904" t="s">
        <v>663</v>
      </c>
      <c r="B125" s="904" t="s">
        <v>1994</v>
      </c>
      <c r="C125" s="909">
        <v>4200</v>
      </c>
      <c r="D125" s="906" t="str">
        <f>'Revenues 9-14'!A198</f>
        <v>Total Food Service</v>
      </c>
      <c r="E125" s="883"/>
      <c r="F125" s="1696">
        <f>SUM('Revenues 9-14'!C198,'Revenues 9-14'!G198)</f>
        <v>1471966</v>
      </c>
      <c r="G125" s="907"/>
    </row>
    <row r="126" spans="1:7">
      <c r="A126" s="904" t="s">
        <v>667</v>
      </c>
      <c r="B126" s="904" t="s">
        <v>1995</v>
      </c>
      <c r="C126" s="909">
        <v>4300</v>
      </c>
      <c r="D126" s="910" t="str">
        <f>'Revenues 9-14'!A204</f>
        <v>Total Title I</v>
      </c>
      <c r="E126" s="883"/>
      <c r="F126" s="1696">
        <f>SUM('Revenues 9-14'!C204,'Revenues 9-14'!D204,'Revenues 9-14'!F204,'Revenues 9-14'!G204)</f>
        <v>1511933</v>
      </c>
      <c r="G126" s="907"/>
    </row>
    <row r="127" spans="1:7">
      <c r="A127" s="904" t="s">
        <v>667</v>
      </c>
      <c r="B127" s="904" t="s">
        <v>1996</v>
      </c>
      <c r="C127" s="909">
        <v>4400</v>
      </c>
      <c r="D127" s="910" t="str">
        <f>'Revenues 9-14'!A209</f>
        <v>Total Title IV</v>
      </c>
      <c r="E127" s="883"/>
      <c r="F127" s="1696">
        <f>SUM('Revenues 9-14'!C209,'Revenues 9-14'!D209,'Revenues 9-14'!F209,'Revenues 9-14'!G209)</f>
        <v>61669</v>
      </c>
      <c r="G127" s="907"/>
    </row>
    <row r="128" spans="1:7">
      <c r="A128" s="904" t="s">
        <v>667</v>
      </c>
      <c r="B128" s="904" t="s">
        <v>1997</v>
      </c>
      <c r="C128" s="909">
        <f>'Revenues 9-14'!B213</f>
        <v>4620</v>
      </c>
      <c r="D128" s="910" t="str">
        <f>'Revenues 9-14'!A213</f>
        <v>Fed - Spec Education - IDEA - Flow Through</v>
      </c>
      <c r="E128" s="883"/>
      <c r="F128" s="1696">
        <f>SUM('Revenues 9-14'!C213:D213,'Revenues 9-14'!F213:G213)</f>
        <v>1468744</v>
      </c>
      <c r="G128" s="907"/>
    </row>
    <row r="129" spans="1:7">
      <c r="A129" s="904" t="s">
        <v>667</v>
      </c>
      <c r="B129" s="904" t="s">
        <v>1998</v>
      </c>
      <c r="C129" s="909">
        <f>'Revenues 9-14'!B214</f>
        <v>4625</v>
      </c>
      <c r="D129" s="910" t="str">
        <f>'Revenues 9-14'!A214</f>
        <v>Fed - Spec Education - IDEA - Room &amp; Board</v>
      </c>
      <c r="E129" s="883"/>
      <c r="F129" s="1696">
        <f>SUM('Revenues 9-14'!C214,'Revenues 9-14'!D214,'Revenues 9-14'!F214,'Revenues 9-14'!G214)</f>
        <v>12452</v>
      </c>
      <c r="G129" s="907"/>
    </row>
    <row r="130" spans="1:7">
      <c r="A130" s="904" t="s">
        <v>667</v>
      </c>
      <c r="B130" s="904" t="s">
        <v>1999</v>
      </c>
      <c r="C130" s="909">
        <f>'Revenues 9-14'!B215</f>
        <v>4630</v>
      </c>
      <c r="D130" s="910" t="str">
        <f>'Revenues 9-14'!A215</f>
        <v>Fed - Spec Education - IDEA - Discretionary</v>
      </c>
      <c r="E130" s="883"/>
      <c r="F130" s="1696">
        <f>SUM('Revenues 9-14'!C215:D215,'Revenues 9-14'!F215:G215)</f>
        <v>0</v>
      </c>
      <c r="G130" s="907">
        <v>6297</v>
      </c>
    </row>
    <row r="131" spans="1:7">
      <c r="A131" s="904" t="s">
        <v>667</v>
      </c>
      <c r="B131" s="904" t="s">
        <v>775</v>
      </c>
      <c r="C131" s="909">
        <f>'Revenues 9-14'!B216</f>
        <v>4699</v>
      </c>
      <c r="D131" s="910" t="str">
        <f>'Revenues 9-14'!A216</f>
        <v>Fed - Spec Education - IDEA - Other (Describe &amp; Itemize)</v>
      </c>
      <c r="E131" s="883"/>
      <c r="F131" s="1696">
        <f>SUM('Revenues 9-14'!C216:D216,'Revenues 9-14'!F216:G216)</f>
        <v>0</v>
      </c>
      <c r="G131" s="907"/>
    </row>
    <row r="132" spans="1:7">
      <c r="A132" s="904" t="s">
        <v>672</v>
      </c>
      <c r="B132" s="904" t="s">
        <v>2000</v>
      </c>
      <c r="C132" s="909">
        <v>4700</v>
      </c>
      <c r="D132" s="906" t="str">
        <f>'Revenues 9-14'!A221</f>
        <v>Total CTE - Perkins</v>
      </c>
      <c r="E132" s="883"/>
      <c r="F132" s="1696">
        <f>SUM('Revenues 9-14'!C221,'Revenues 9-14'!D221,'Revenues 9-14'!G221)</f>
        <v>218070</v>
      </c>
      <c r="G132" s="907">
        <v>6303</v>
      </c>
    </row>
    <row r="133" spans="1:7" s="844" customFormat="1" hidden="1">
      <c r="A133" s="911" t="s">
        <v>206</v>
      </c>
      <c r="B133" s="911" t="s">
        <v>2001</v>
      </c>
      <c r="C133" s="912" t="s">
        <v>207</v>
      </c>
      <c r="D133" s="913" t="str">
        <f>'Revenues 9-14'!A224</f>
        <v>ARRA - Title I - Low Income</v>
      </c>
      <c r="E133" s="914"/>
      <c r="F133" s="1813">
        <f>SUM('Revenues 9-14'!$C$224:$D$224,'Revenues 9-14'!$F$224:$G$224)</f>
        <v>0</v>
      </c>
      <c r="G133" s="882"/>
    </row>
    <row r="134" spans="1:7" s="844" customFormat="1" hidden="1">
      <c r="A134" s="911" t="s">
        <v>206</v>
      </c>
      <c r="B134" s="911" t="s">
        <v>2002</v>
      </c>
      <c r="C134" s="912" t="s">
        <v>208</v>
      </c>
      <c r="D134" s="913" t="str">
        <f>'Revenues 9-14'!A225</f>
        <v>ARRA - Title I - Neglected, Private</v>
      </c>
      <c r="E134" s="914"/>
      <c r="F134" s="1696">
        <f>SUM('Revenues 9-14'!C225:G225,'Revenues 9-14'!J225)</f>
        <v>0</v>
      </c>
      <c r="G134" s="882"/>
    </row>
    <row r="135" spans="1:7" s="844" customFormat="1" hidden="1">
      <c r="A135" s="911" t="s">
        <v>206</v>
      </c>
      <c r="B135" s="911" t="s">
        <v>2003</v>
      </c>
      <c r="C135" s="912" t="s">
        <v>209</v>
      </c>
      <c r="D135" s="913" t="str">
        <f>'Revenues 9-14'!A226</f>
        <v>ARRA - Title I - Delinquent, Private</v>
      </c>
      <c r="E135" s="914"/>
      <c r="F135" s="1696">
        <f>SUM('Revenues 9-14'!C226:G226,'Revenues 9-14'!J226)</f>
        <v>0</v>
      </c>
      <c r="G135" s="882"/>
    </row>
    <row r="136" spans="1:7" s="844" customFormat="1" hidden="1">
      <c r="A136" s="911" t="s">
        <v>206</v>
      </c>
      <c r="B136" s="911" t="s">
        <v>2004</v>
      </c>
      <c r="C136" s="912" t="s">
        <v>210</v>
      </c>
      <c r="D136" s="913" t="str">
        <f>'Revenues 9-14'!A227</f>
        <v>ARRA - Title I - School Improvement (Part A)</v>
      </c>
      <c r="E136" s="914"/>
      <c r="F136" s="1696">
        <f>SUM('Revenues 9-14'!C227:G227,'Revenues 9-14'!J227)</f>
        <v>0</v>
      </c>
      <c r="G136" s="882"/>
    </row>
    <row r="137" spans="1:7" s="844" customFormat="1" hidden="1">
      <c r="A137" s="911" t="s">
        <v>206</v>
      </c>
      <c r="B137" s="911" t="s">
        <v>2005</v>
      </c>
      <c r="C137" s="912" t="s">
        <v>211</v>
      </c>
      <c r="D137" s="913" t="str">
        <f>'Revenues 9-14'!A228</f>
        <v>ARRA - Title I - School Improvement (Section 1003g)</v>
      </c>
      <c r="E137" s="914"/>
      <c r="F137" s="1696">
        <f>SUM('Revenues 9-14'!C228:G228,'Revenues 9-14'!J228)</f>
        <v>0</v>
      </c>
      <c r="G137" s="882"/>
    </row>
    <row r="138" spans="1:7" s="844" customFormat="1" hidden="1">
      <c r="A138" s="911" t="s">
        <v>206</v>
      </c>
      <c r="B138" s="911" t="s">
        <v>2006</v>
      </c>
      <c r="C138" s="912" t="s">
        <v>212</v>
      </c>
      <c r="D138" s="913" t="str">
        <f>'Revenues 9-14'!A229</f>
        <v>ARRA - IDEA - Part B - Preschool</v>
      </c>
      <c r="E138" s="914"/>
      <c r="F138" s="1696">
        <v>0</v>
      </c>
      <c r="G138" s="882"/>
    </row>
    <row r="139" spans="1:7" s="844" customFormat="1" hidden="1">
      <c r="A139" s="911" t="s">
        <v>206</v>
      </c>
      <c r="B139" s="911" t="s">
        <v>2007</v>
      </c>
      <c r="C139" s="912" t="s">
        <v>213</v>
      </c>
      <c r="D139" s="913" t="str">
        <f>'Revenues 9-14'!A230</f>
        <v>ARRA - IDEA - Part B - Flow-Through</v>
      </c>
      <c r="E139" s="914"/>
      <c r="F139" s="1696">
        <f>SUM('Revenues 9-14'!C230:G230,'Revenues 9-14'!J230)</f>
        <v>0</v>
      </c>
      <c r="G139" s="882"/>
    </row>
    <row r="140" spans="1:7" s="844" customFormat="1" hidden="1">
      <c r="A140" s="911" t="s">
        <v>206</v>
      </c>
      <c r="B140" s="911" t="s">
        <v>2008</v>
      </c>
      <c r="C140" s="912" t="s">
        <v>214</v>
      </c>
      <c r="D140" s="913" t="str">
        <f>'Revenues 9-14'!A231</f>
        <v>ARRA - Title IID - Technology-Formula</v>
      </c>
      <c r="E140" s="914"/>
      <c r="F140" s="1696">
        <f>SUM('Revenues 9-14'!C231:G231,'Revenues 9-14'!J231)</f>
        <v>0</v>
      </c>
      <c r="G140" s="882"/>
    </row>
    <row r="141" spans="1:7" s="844" customFormat="1" hidden="1">
      <c r="A141" s="911" t="s">
        <v>206</v>
      </c>
      <c r="B141" s="911" t="s">
        <v>2009</v>
      </c>
      <c r="C141" s="912" t="s">
        <v>216</v>
      </c>
      <c r="D141" s="913" t="str">
        <f>'Revenues 9-14'!A232</f>
        <v>ARRA - Title IID - Technology-Competitive</v>
      </c>
      <c r="E141" s="914"/>
      <c r="F141" s="1696">
        <f>SUM('Revenues 9-14'!C232:G232,'Revenues 9-14'!J232)</f>
        <v>0</v>
      </c>
      <c r="G141" s="882"/>
    </row>
    <row r="142" spans="1:7" s="844" customFormat="1" hidden="1">
      <c r="A142" s="911" t="s">
        <v>667</v>
      </c>
      <c r="B142" s="911" t="s">
        <v>2010</v>
      </c>
      <c r="C142" s="912" t="s">
        <v>217</v>
      </c>
      <c r="D142" s="913" t="str">
        <f>'Revenues 9-14'!A233</f>
        <v>ARRA - McKinney - Vento Homeless Education</v>
      </c>
      <c r="E142" s="914"/>
      <c r="F142" s="1696">
        <f>SUM('Revenues 9-14'!C233:G233,'Revenues 9-14'!J233)</f>
        <v>0</v>
      </c>
      <c r="G142" s="882"/>
    </row>
    <row r="143" spans="1:7" s="844" customFormat="1" hidden="1">
      <c r="A143" s="911" t="s">
        <v>206</v>
      </c>
      <c r="B143" s="911" t="s">
        <v>215</v>
      </c>
      <c r="C143" s="912" t="s">
        <v>218</v>
      </c>
      <c r="D143" s="913" t="str">
        <f>'Revenues 9-14'!A237</f>
        <v>Qualified Zone Academy Bond Tax Credits</v>
      </c>
      <c r="E143" s="914"/>
      <c r="F143" s="1696">
        <f>SUM('Revenues 9-14'!C237:G237,'Revenues 9-14'!J237)</f>
        <v>0</v>
      </c>
      <c r="G143" s="882"/>
    </row>
    <row r="144" spans="1:7" s="844" customFormat="1" hidden="1">
      <c r="A144" s="911" t="s">
        <v>206</v>
      </c>
      <c r="B144" s="911" t="s">
        <v>808</v>
      </c>
      <c r="C144" s="912" t="s">
        <v>219</v>
      </c>
      <c r="D144" s="913" t="str">
        <f>'Revenues 9-14'!A238</f>
        <v>Qualified School Construction Bond Credits</v>
      </c>
      <c r="E144" s="914"/>
      <c r="F144" s="1696">
        <f>SUM('Revenues 9-14'!C238:G238,'Revenues 9-14'!J238)</f>
        <v>0</v>
      </c>
      <c r="G144" s="882"/>
    </row>
    <row r="145" spans="1:7" s="844" customFormat="1" hidden="1">
      <c r="A145" s="911" t="s">
        <v>206</v>
      </c>
      <c r="B145" s="911" t="s">
        <v>1413</v>
      </c>
      <c r="C145" s="912" t="s">
        <v>221</v>
      </c>
      <c r="D145" s="913" t="str">
        <f>'Revenues 9-14'!A239</f>
        <v>Build America Bond Tax Credits</v>
      </c>
      <c r="E145" s="914"/>
      <c r="F145" s="1696">
        <f>SUM('Revenues 9-14'!C239:G239,'Revenues 9-14'!J239)</f>
        <v>0</v>
      </c>
      <c r="G145" s="882"/>
    </row>
    <row r="146" spans="1:7" s="844" customFormat="1" hidden="1">
      <c r="A146" s="911" t="s">
        <v>206</v>
      </c>
      <c r="B146" s="911" t="s">
        <v>2011</v>
      </c>
      <c r="C146" s="912" t="s">
        <v>223</v>
      </c>
      <c r="D146" s="913" t="str">
        <f>'Revenues 9-14'!A240</f>
        <v>Build America Bond Interest Reimbursement</v>
      </c>
      <c r="E146" s="914"/>
      <c r="F146" s="1696">
        <f>SUM('Revenues 9-14'!C240:G240,'Revenues 9-14'!J240)</f>
        <v>314076</v>
      </c>
      <c r="G146" s="882"/>
    </row>
    <row r="147" spans="1:7" s="844" customFormat="1" hidden="1">
      <c r="A147" s="911" t="s">
        <v>206</v>
      </c>
      <c r="B147" s="911" t="s">
        <v>2012</v>
      </c>
      <c r="C147" s="912" t="s">
        <v>225</v>
      </c>
      <c r="D147" s="913" t="str">
        <f>'Revenues 9-14'!A242</f>
        <v>Other ARRA Funds - II</v>
      </c>
      <c r="E147" s="914"/>
      <c r="F147" s="1696">
        <f>SUM('Revenues 9-14'!C242:G242,'Revenues 9-14'!J242)</f>
        <v>0</v>
      </c>
      <c r="G147" s="882"/>
    </row>
    <row r="148" spans="1:7" s="844" customFormat="1" hidden="1">
      <c r="A148" s="911" t="s">
        <v>206</v>
      </c>
      <c r="B148" s="911" t="s">
        <v>2013</v>
      </c>
      <c r="C148" s="912" t="s">
        <v>226</v>
      </c>
      <c r="D148" s="913" t="str">
        <f>'Revenues 9-14'!A243</f>
        <v>Other ARRA Funds - III</v>
      </c>
      <c r="E148" s="914"/>
      <c r="F148" s="1696">
        <f>SUM('Revenues 9-14'!C243:G243,'Revenues 9-14'!J243)</f>
        <v>0</v>
      </c>
      <c r="G148" s="882"/>
    </row>
    <row r="149" spans="1:7" s="844" customFormat="1" hidden="1">
      <c r="A149" s="911" t="s">
        <v>206</v>
      </c>
      <c r="B149" s="911" t="s">
        <v>220</v>
      </c>
      <c r="C149" s="912" t="s">
        <v>228</v>
      </c>
      <c r="D149" s="913" t="str">
        <f>'Revenues 9-14'!A244</f>
        <v>Other ARRA Funds - IV</v>
      </c>
      <c r="E149" s="914"/>
      <c r="F149" s="1696">
        <f>SUM('Revenues 9-14'!C244:G244,'Revenues 9-14'!J244)</f>
        <v>0</v>
      </c>
      <c r="G149" s="882"/>
    </row>
    <row r="150" spans="1:7" s="844" customFormat="1" hidden="1">
      <c r="A150" s="911" t="s">
        <v>206</v>
      </c>
      <c r="B150" s="911" t="s">
        <v>222</v>
      </c>
      <c r="C150" s="912" t="s">
        <v>230</v>
      </c>
      <c r="D150" s="913" t="str">
        <f>'Revenues 9-14'!A245</f>
        <v>Other ARRA Funds - V</v>
      </c>
      <c r="E150" s="914"/>
      <c r="F150" s="1696">
        <f>SUM('Revenues 9-14'!C245:G245,'Revenues 9-14'!J245)</f>
        <v>0</v>
      </c>
      <c r="G150" s="882"/>
    </row>
    <row r="151" spans="1:7" s="844" customFormat="1" hidden="1">
      <c r="A151" s="911" t="s">
        <v>206</v>
      </c>
      <c r="B151" s="911" t="s">
        <v>224</v>
      </c>
      <c r="C151" s="912" t="s">
        <v>232</v>
      </c>
      <c r="D151" s="913" t="str">
        <f>'Revenues 9-14'!A246</f>
        <v>ARRA - Early Childhood</v>
      </c>
      <c r="E151" s="914"/>
      <c r="F151" s="1696">
        <v>0</v>
      </c>
      <c r="G151" s="882"/>
    </row>
    <row r="152" spans="1:7" s="844" customFormat="1" hidden="1">
      <c r="A152" s="911" t="s">
        <v>206</v>
      </c>
      <c r="B152" s="911" t="s">
        <v>1414</v>
      </c>
      <c r="C152" s="912" t="s">
        <v>233</v>
      </c>
      <c r="D152" s="913" t="str">
        <f>'Revenues 9-14'!A247</f>
        <v>Other ARRA Funds VII</v>
      </c>
      <c r="E152" s="914"/>
      <c r="F152" s="1696">
        <f>SUM('Revenues 9-14'!C247:G247,'Revenues 9-14'!J247)</f>
        <v>0</v>
      </c>
      <c r="G152" s="882"/>
    </row>
    <row r="153" spans="1:7" s="844" customFormat="1" hidden="1">
      <c r="A153" s="911" t="s">
        <v>206</v>
      </c>
      <c r="B153" s="911" t="s">
        <v>2014</v>
      </c>
      <c r="C153" s="912" t="s">
        <v>234</v>
      </c>
      <c r="D153" s="913" t="str">
        <f>'Revenues 9-14'!A248</f>
        <v>Other ARRA Funds VIII</v>
      </c>
      <c r="E153" s="914"/>
      <c r="F153" s="1696">
        <f>SUM('Revenues 9-14'!C248:G248,'Revenues 9-14'!J248)</f>
        <v>0</v>
      </c>
      <c r="G153" s="882"/>
    </row>
    <row r="154" spans="1:7" s="844" customFormat="1" hidden="1">
      <c r="A154" s="911" t="s">
        <v>206</v>
      </c>
      <c r="B154" s="911" t="s">
        <v>227</v>
      </c>
      <c r="C154" s="912" t="s">
        <v>235</v>
      </c>
      <c r="D154" s="913" t="str">
        <f>'Revenues 9-14'!A249</f>
        <v>Other ARRA Funds IX</v>
      </c>
      <c r="E154" s="914"/>
      <c r="F154" s="1696">
        <f>SUM('Revenues 9-14'!C249:G249,'Revenues 9-14'!J249)</f>
        <v>0</v>
      </c>
      <c r="G154" s="882"/>
    </row>
    <row r="155" spans="1:7" s="844" customFormat="1" hidden="1">
      <c r="A155" s="911" t="s">
        <v>206</v>
      </c>
      <c r="B155" s="911" t="s">
        <v>229</v>
      </c>
      <c r="C155" s="912" t="s">
        <v>236</v>
      </c>
      <c r="D155" s="913" t="str">
        <f>'Revenues 9-14'!A250</f>
        <v>Other ARRA Funds X</v>
      </c>
      <c r="E155" s="914"/>
      <c r="F155" s="1696">
        <f>SUM('Revenues 9-14'!C250:G250,'Revenues 9-14'!J250)</f>
        <v>0</v>
      </c>
      <c r="G155" s="882"/>
    </row>
    <row r="156" spans="1:7" s="844" customFormat="1" hidden="1">
      <c r="A156" s="911" t="s">
        <v>206</v>
      </c>
      <c r="B156" s="911" t="s">
        <v>231</v>
      </c>
      <c r="C156" s="912" t="s">
        <v>237</v>
      </c>
      <c r="D156" s="913" t="str">
        <f>'Revenues 9-14'!A251</f>
        <v>Other ARRA Funds Ed Job Fund Program</v>
      </c>
      <c r="E156" s="914"/>
      <c r="F156" s="1696">
        <f>SUM('Revenues 9-14'!C251:G251,'Revenues 9-14'!J251)</f>
        <v>0</v>
      </c>
      <c r="G156" s="882"/>
    </row>
    <row r="157" spans="1:7" s="844" customFormat="1">
      <c r="A157" s="915" t="s">
        <v>499</v>
      </c>
      <c r="B157" s="916" t="s">
        <v>2015</v>
      </c>
      <c r="C157" s="917" t="s">
        <v>840</v>
      </c>
      <c r="D157" s="918" t="s">
        <v>776</v>
      </c>
      <c r="E157" s="919"/>
      <c r="F157" s="1696">
        <f>SUM(F133:F156)</f>
        <v>314076</v>
      </c>
      <c r="G157" s="882"/>
    </row>
    <row r="158" spans="1:7" s="844" customFormat="1">
      <c r="A158" s="915" t="s">
        <v>458</v>
      </c>
      <c r="B158" s="916" t="s">
        <v>2016</v>
      </c>
      <c r="C158" s="917" t="s">
        <v>1424</v>
      </c>
      <c r="D158" s="918" t="s">
        <v>1425</v>
      </c>
      <c r="E158" s="919"/>
      <c r="F158" s="1696">
        <f>SUM('Revenues 9-14'!C253)</f>
        <v>0</v>
      </c>
      <c r="G158" s="882"/>
    </row>
    <row r="159" spans="1:7" s="844" customFormat="1">
      <c r="A159" s="915" t="s">
        <v>499</v>
      </c>
      <c r="B159" s="916" t="s">
        <v>2017</v>
      </c>
      <c r="C159" s="917" t="s">
        <v>1463</v>
      </c>
      <c r="D159" s="918" t="s">
        <v>1464</v>
      </c>
      <c r="E159" s="919"/>
      <c r="F159" s="1696">
        <f>SUM('Revenues 9-14'!C254:H254,'Revenues 9-14'!J254:K254)</f>
        <v>0</v>
      </c>
      <c r="G159" s="882"/>
    </row>
    <row r="160" spans="1:7">
      <c r="A160" s="904" t="s">
        <v>5</v>
      </c>
      <c r="B160" s="904" t="s">
        <v>2018</v>
      </c>
      <c r="C160" s="909">
        <f>'Revenues 9-14'!B255</f>
        <v>4905</v>
      </c>
      <c r="D160" s="906" t="str">
        <f>'Revenues 9-14'!A255</f>
        <v>Title III - Immigrant Education Program (IEP)</v>
      </c>
      <c r="E160" s="883"/>
      <c r="F160" s="1696">
        <f>SUM('Revenues 9-14'!C255,'Revenues 9-14'!F255,'Revenues 9-14'!G255)</f>
        <v>2470</v>
      </c>
      <c r="G160" s="920">
        <v>6306</v>
      </c>
    </row>
    <row r="161" spans="1:7">
      <c r="A161" s="904" t="s">
        <v>5</v>
      </c>
      <c r="B161" s="904" t="s">
        <v>2019</v>
      </c>
      <c r="C161" s="909">
        <f>'Revenues 9-14'!B256</f>
        <v>4909</v>
      </c>
      <c r="D161" s="906" t="str">
        <f>'Revenues 9-14'!A256</f>
        <v>Title III - Language Inst Program - Limited Eng (LIPLEP)</v>
      </c>
      <c r="E161" s="883"/>
      <c r="F161" s="1696">
        <f>SUM('Revenues 9-14'!C256,'Revenues 9-14'!F256,'Revenues 9-14'!G256)</f>
        <v>23496</v>
      </c>
      <c r="G161" s="920"/>
    </row>
    <row r="162" spans="1:7">
      <c r="A162" s="904" t="s">
        <v>667</v>
      </c>
      <c r="B162" s="904" t="s">
        <v>2020</v>
      </c>
      <c r="C162" s="909">
        <f>'Revenues 9-14'!B257</f>
        <v>4920</v>
      </c>
      <c r="D162" s="906" t="str">
        <f>'Revenues 9-14'!A257</f>
        <v>McKinney Education for Homeless Children</v>
      </c>
      <c r="E162" s="883"/>
      <c r="F162" s="1696">
        <f>SUM('Revenues 9-14'!C257,'Revenues 9-14'!D257,'Revenues 9-14'!F257,'Revenues 9-14'!G257)</f>
        <v>0</v>
      </c>
      <c r="G162" s="907"/>
    </row>
    <row r="163" spans="1:7">
      <c r="A163" s="921" t="s">
        <v>667</v>
      </c>
      <c r="B163" s="921" t="s">
        <v>2021</v>
      </c>
      <c r="C163" s="922">
        <f>'Revenues 9-14'!B258</f>
        <v>4930</v>
      </c>
      <c r="D163" s="923" t="str">
        <f>'Revenues 9-14'!A258</f>
        <v>Title II - Eisenhower Professional Development Formula</v>
      </c>
      <c r="E163" s="903"/>
      <c r="F163" s="1813">
        <f>SUM('Revenues 9-14'!C258:D258,'Revenues 9-14'!F258,'Revenues 9-14'!G258)</f>
        <v>0</v>
      </c>
      <c r="G163" s="907"/>
    </row>
    <row r="164" spans="1:7">
      <c r="A164" s="904" t="s">
        <v>667</v>
      </c>
      <c r="B164" s="904" t="s">
        <v>2022</v>
      </c>
      <c r="C164" s="909">
        <f>'Revenues 9-14'!B259</f>
        <v>4932</v>
      </c>
      <c r="D164" s="910" t="str">
        <f>'Revenues 9-14'!A259</f>
        <v>Title II - Teacher Quality</v>
      </c>
      <c r="E164" s="883"/>
      <c r="F164" s="1813">
        <f>SUM('Revenues 9-14'!C259,'Revenues 9-14'!D259,'Revenues 9-14'!F259,'Revenues 9-14'!G259)</f>
        <v>199204</v>
      </c>
      <c r="G164" s="907"/>
    </row>
    <row r="165" spans="1:7">
      <c r="A165" s="904" t="s">
        <v>667</v>
      </c>
      <c r="B165" s="904" t="s">
        <v>2023</v>
      </c>
      <c r="C165" s="909">
        <f>'Revenues 9-14'!B260</f>
        <v>4960</v>
      </c>
      <c r="D165" s="906" t="str">
        <f>'Revenues 9-14'!A260</f>
        <v>Federal Charter Schools</v>
      </c>
      <c r="E165" s="883"/>
      <c r="F165" s="1696">
        <f>SUM('Revenues 9-14'!C260:D260,'Revenues 9-14'!F260:G260)</f>
        <v>0</v>
      </c>
      <c r="G165" s="907"/>
    </row>
    <row r="166" spans="1:7">
      <c r="A166" s="904" t="s">
        <v>667</v>
      </c>
      <c r="B166" s="904" t="s">
        <v>1968</v>
      </c>
      <c r="C166" s="909">
        <f>'Revenues 9-14'!B261</f>
        <v>4981</v>
      </c>
      <c r="D166" s="906" t="str">
        <f>'Revenues 9-14'!A261</f>
        <v>State Assessment Grants</v>
      </c>
      <c r="E166" s="883"/>
      <c r="F166" s="1696">
        <f>SUM('Revenues 9-14'!C261:D261,'Revenues 9-14'!F261:G261)</f>
        <v>0</v>
      </c>
      <c r="G166" s="907"/>
    </row>
    <row r="167" spans="1:7">
      <c r="A167" s="904" t="s">
        <v>667</v>
      </c>
      <c r="B167" s="904" t="s">
        <v>1969</v>
      </c>
      <c r="C167" s="909">
        <f>'Revenues 9-14'!B262</f>
        <v>4982</v>
      </c>
      <c r="D167" s="906" t="str">
        <f>'Revenues 9-14'!A262</f>
        <v>Grant for State Assessments and Related Activities</v>
      </c>
      <c r="E167" s="883"/>
      <c r="F167" s="1696">
        <f>SUM('Revenues 9-14'!C262:D262,'Revenues 9-14'!F262:G262)</f>
        <v>0</v>
      </c>
      <c r="G167" s="907"/>
    </row>
    <row r="168" spans="1:7">
      <c r="A168" s="904" t="s">
        <v>667</v>
      </c>
      <c r="B168" s="904" t="s">
        <v>2024</v>
      </c>
      <c r="C168" s="909">
        <f>'Revenues 9-14'!B263</f>
        <v>4991</v>
      </c>
      <c r="D168" s="910" t="str">
        <f>'Revenues 9-14'!A263</f>
        <v>Medicaid Matching Funds - Administrative Outreach</v>
      </c>
      <c r="E168" s="883"/>
      <c r="F168" s="1696">
        <f>SUM('Revenues 9-14'!C263:D263,'Revenues 9-14'!F263:G263)</f>
        <v>0</v>
      </c>
      <c r="G168" s="924">
        <v>6320</v>
      </c>
    </row>
    <row r="169" spans="1:7">
      <c r="A169" s="904" t="s">
        <v>667</v>
      </c>
      <c r="B169" s="904" t="s">
        <v>2025</v>
      </c>
      <c r="C169" s="909">
        <f>'Revenues 9-14'!B264</f>
        <v>4992</v>
      </c>
      <c r="D169" s="910" t="str">
        <f>'Revenues 9-14'!A264</f>
        <v>Medicaid Matching Funds - Fee-for-Service Program</v>
      </c>
      <c r="E169" s="883"/>
      <c r="F169" s="1696">
        <f>SUM('Revenues 9-14'!C264:D264,'Revenues 9-14'!F264:G264)</f>
        <v>155290</v>
      </c>
      <c r="G169" s="924"/>
    </row>
    <row r="170" spans="1:7">
      <c r="A170" s="925" t="s">
        <v>667</v>
      </c>
      <c r="B170" s="921" t="s">
        <v>2026</v>
      </c>
      <c r="C170" s="922">
        <f>'Revenues 9-14'!B265</f>
        <v>4999</v>
      </c>
      <c r="D170" s="923" t="str">
        <f>'Revenues 9-14'!A265</f>
        <v>Other Restricted Revenue from Federal Sources (Describe &amp; Itemize)</v>
      </c>
      <c r="E170" s="883"/>
      <c r="F170" s="1696">
        <f>SUM('Revenues 9-14'!C265:D265,'Revenues 9-14'!F265:G265)</f>
        <v>654408</v>
      </c>
      <c r="G170" s="904"/>
    </row>
    <row r="171" spans="1:7">
      <c r="A171" s="1824" t="s">
        <v>5</v>
      </c>
      <c r="B171" s="1825" t="s">
        <v>1891</v>
      </c>
      <c r="C171" s="1826">
        <v>3100</v>
      </c>
      <c r="D171" s="1827" t="s">
        <v>1893</v>
      </c>
      <c r="E171" s="883"/>
      <c r="F171" s="1812">
        <v>2498461</v>
      </c>
      <c r="G171" s="904"/>
    </row>
    <row r="172" spans="1:7">
      <c r="A172" s="1824" t="s">
        <v>663</v>
      </c>
      <c r="B172" s="1825" t="s">
        <v>1891</v>
      </c>
      <c r="C172" s="1826">
        <v>3300</v>
      </c>
      <c r="D172" s="1827" t="s">
        <v>1894</v>
      </c>
      <c r="E172" s="883"/>
      <c r="F172" s="1812">
        <v>104044</v>
      </c>
      <c r="G172" s="904"/>
    </row>
    <row r="173" spans="1:7" ht="6" customHeight="1">
      <c r="A173" s="904"/>
      <c r="B173" s="904"/>
      <c r="C173" s="926"/>
      <c r="D173" s="904"/>
      <c r="E173" s="883"/>
      <c r="F173" s="927"/>
      <c r="G173" s="924"/>
    </row>
    <row r="174" spans="1:7">
      <c r="A174" s="1677"/>
      <c r="B174" s="1691"/>
      <c r="C174" s="1692"/>
      <c r="D174" s="1693" t="s">
        <v>2027</v>
      </c>
      <c r="E174" s="1694" t="s">
        <v>957</v>
      </c>
      <c r="F174" s="1695">
        <f>SUM(F84:F132,F157:F172)</f>
        <v>16985874</v>
      </c>
    </row>
    <row r="175" spans="1:7" ht="12" customHeight="1">
      <c r="A175" s="1677"/>
      <c r="B175" s="1691"/>
      <c r="C175" s="1692"/>
      <c r="D175" s="1693" t="s">
        <v>2028</v>
      </c>
      <c r="E175" s="1694"/>
      <c r="F175" s="1696">
        <f>'PCTC-OEPP 27-28'!F77-F174</f>
        <v>73747995</v>
      </c>
    </row>
    <row r="176" spans="1:7" ht="12" customHeight="1">
      <c r="A176" s="1677"/>
      <c r="B176" s="1691"/>
      <c r="C176" s="1692"/>
      <c r="D176" s="1693" t="s">
        <v>1789</v>
      </c>
      <c r="E176" s="1694"/>
      <c r="F176" s="1696">
        <f>'Cap Outlay Deprec 26'!I18</f>
        <v>6219631.4000000004</v>
      </c>
    </row>
    <row r="177" spans="1:7" ht="12" customHeight="1">
      <c r="A177" s="1677"/>
      <c r="B177" s="1691"/>
      <c r="C177" s="1692"/>
      <c r="D177" s="1693" t="s">
        <v>2029</v>
      </c>
      <c r="E177" s="1694"/>
      <c r="F177" s="1696">
        <f>F175+F176</f>
        <v>79967626.400000006</v>
      </c>
    </row>
    <row r="178" spans="1:7" ht="12" customHeight="1">
      <c r="A178" s="1677"/>
      <c r="B178" s="1697"/>
      <c r="C178" s="1692"/>
      <c r="D178" s="1693" t="str">
        <f>D78</f>
        <v>9 Month ADA from District Average Daily Attendance/Prior General State Aid Inquiry 2018-2019</v>
      </c>
      <c r="E178" s="1694"/>
      <c r="F178" s="1698">
        <f>'PCTC-OEPP 27-28'!F78</f>
        <v>5660.3</v>
      </c>
      <c r="G178" s="907"/>
    </row>
    <row r="179" spans="1:7" ht="12" customHeight="1" thickBot="1">
      <c r="A179" s="1677"/>
      <c r="B179" s="1697"/>
      <c r="C179" s="1692"/>
      <c r="D179" s="1693" t="s">
        <v>2030</v>
      </c>
      <c r="E179" s="1694" t="s">
        <v>1542</v>
      </c>
      <c r="F179" s="1699">
        <f>F177/F178</f>
        <v>14127.807077363392</v>
      </c>
      <c r="G179" s="833">
        <v>6323</v>
      </c>
    </row>
    <row r="180" spans="1:7" ht="12" thickTop="1">
      <c r="B180" s="907"/>
      <c r="C180" s="926"/>
      <c r="D180" s="907"/>
      <c r="E180" s="926"/>
      <c r="F180" s="907"/>
      <c r="G180" s="928">
        <v>6326</v>
      </c>
    </row>
    <row r="181" spans="1:7" ht="12.2" customHeight="1">
      <c r="A181" s="907" t="s">
        <v>1892</v>
      </c>
      <c r="B181" s="907"/>
      <c r="C181" s="926"/>
      <c r="D181" s="907"/>
      <c r="E181" s="926"/>
      <c r="F181" s="907"/>
      <c r="G181" s="907"/>
    </row>
    <row r="182" spans="1:7" s="1828" customFormat="1" ht="12.2" customHeight="1">
      <c r="A182" s="1828" t="s">
        <v>1965</v>
      </c>
      <c r="B182" s="1829"/>
      <c r="C182" s="1830"/>
      <c r="D182" s="1829"/>
      <c r="E182" s="1830"/>
      <c r="F182" s="1829"/>
      <c r="G182" s="1829"/>
    </row>
    <row r="183" spans="1:7" s="1828" customFormat="1" ht="12.2" customHeight="1">
      <c r="A183" s="1831" t="s">
        <v>1967</v>
      </c>
      <c r="C183" s="1830"/>
      <c r="D183" s="1829"/>
      <c r="E183" s="1830"/>
      <c r="F183" s="1829"/>
      <c r="G183" s="1829"/>
    </row>
    <row r="184" spans="1:7" ht="12" customHeight="1">
      <c r="C184" s="926"/>
      <c r="D184" s="907"/>
      <c r="E184" s="926"/>
      <c r="F184" s="907"/>
      <c r="G184" s="907"/>
    </row>
    <row r="185" spans="1:7">
      <c r="A185" s="1832" t="s">
        <v>1896</v>
      </c>
      <c r="B185" s="1833" t="s">
        <v>1895</v>
      </c>
      <c r="C185" s="926"/>
      <c r="D185" s="907"/>
      <c r="E185" s="926"/>
      <c r="F185" s="907"/>
      <c r="G185" s="907"/>
    </row>
    <row r="186" spans="1:7">
      <c r="A186" s="907"/>
      <c r="B186" s="907"/>
      <c r="C186" s="926"/>
      <c r="D186" s="907"/>
      <c r="E186" s="926"/>
      <c r="F186" s="907"/>
      <c r="G186" s="907"/>
    </row>
    <row r="187" spans="1:7">
      <c r="A187" s="907"/>
      <c r="B187" s="907"/>
      <c r="C187" s="926"/>
      <c r="D187" s="907"/>
      <c r="E187" s="926"/>
      <c r="F187" s="907"/>
      <c r="G187" s="907"/>
    </row>
    <row r="188" spans="1:7">
      <c r="A188" s="907"/>
      <c r="B188" s="907"/>
      <c r="C188" s="926"/>
      <c r="D188" s="907"/>
      <c r="E188" s="926"/>
      <c r="F188" s="907"/>
      <c r="G188" s="907"/>
    </row>
    <row r="189" spans="1:7">
      <c r="A189" s="907"/>
      <c r="B189" s="907"/>
      <c r="C189" s="926"/>
      <c r="D189" s="907"/>
      <c r="E189" s="926"/>
      <c r="F189" s="907"/>
      <c r="G189" s="907"/>
    </row>
    <row r="190" spans="1:7">
      <c r="A190" s="907"/>
      <c r="B190" s="907"/>
      <c r="C190" s="926"/>
      <c r="D190" s="907"/>
      <c r="E190" s="926"/>
      <c r="F190" s="907"/>
      <c r="G190" s="907"/>
    </row>
    <row r="191" spans="1:7">
      <c r="A191" s="907"/>
      <c r="B191" s="907"/>
      <c r="C191" s="926"/>
      <c r="D191" s="907"/>
      <c r="E191" s="926"/>
      <c r="F191" s="907"/>
      <c r="G191" s="907"/>
    </row>
    <row r="192" spans="1:7">
      <c r="A192" s="907"/>
      <c r="B192" s="907"/>
      <c r="C192" s="926"/>
      <c r="D192" s="907"/>
      <c r="E192" s="926"/>
      <c r="F192" s="907"/>
      <c r="G192" s="907"/>
    </row>
    <row r="193" spans="1:7">
      <c r="A193" s="907"/>
      <c r="B193" s="907"/>
      <c r="C193" s="926"/>
      <c r="D193" s="907"/>
      <c r="E193" s="926"/>
      <c r="F193" s="907"/>
      <c r="G193" s="907"/>
    </row>
    <row r="194" spans="1:7">
      <c r="A194" s="907"/>
      <c r="B194" s="907"/>
      <c r="C194" s="926"/>
      <c r="D194" s="907"/>
      <c r="E194" s="926"/>
      <c r="F194" s="907"/>
      <c r="G194" s="907"/>
    </row>
    <row r="195" spans="1:7">
      <c r="A195" s="907"/>
      <c r="B195" s="907"/>
      <c r="C195" s="926"/>
      <c r="D195" s="907"/>
      <c r="E195" s="926"/>
      <c r="F195" s="907"/>
      <c r="G195" s="907"/>
    </row>
    <row r="196" spans="1:7">
      <c r="A196" s="907"/>
      <c r="B196" s="907"/>
      <c r="C196" s="926"/>
      <c r="D196" s="907"/>
      <c r="E196" s="926"/>
      <c r="F196" s="907"/>
      <c r="G196" s="907"/>
    </row>
    <row r="197" spans="1:7">
      <c r="A197" s="907"/>
      <c r="B197" s="907"/>
      <c r="C197" s="926"/>
      <c r="D197" s="907"/>
      <c r="E197" s="926"/>
      <c r="F197" s="907"/>
      <c r="G197" s="907"/>
    </row>
    <row r="198" spans="1:7">
      <c r="A198" s="907"/>
      <c r="B198" s="907"/>
      <c r="C198" s="926"/>
      <c r="D198" s="907"/>
      <c r="E198" s="926"/>
      <c r="F198" s="907"/>
      <c r="G198" s="907"/>
    </row>
    <row r="199" spans="1:7">
      <c r="A199" s="907"/>
      <c r="B199" s="907"/>
      <c r="C199" s="926"/>
      <c r="D199" s="907"/>
      <c r="E199" s="926"/>
      <c r="F199" s="907"/>
      <c r="G199" s="907"/>
    </row>
    <row r="200" spans="1:7">
      <c r="A200" s="907"/>
      <c r="B200" s="907"/>
      <c r="C200" s="926"/>
      <c r="D200" s="907"/>
      <c r="E200" s="926"/>
      <c r="F200" s="907"/>
      <c r="G200" s="907"/>
    </row>
    <row r="201" spans="1:7">
      <c r="A201" s="907"/>
      <c r="B201" s="907"/>
      <c r="C201" s="926"/>
      <c r="D201" s="907"/>
      <c r="E201" s="926"/>
      <c r="F201" s="907"/>
      <c r="G201" s="907"/>
    </row>
    <row r="202" spans="1:7">
      <c r="A202" s="907"/>
      <c r="B202" s="907"/>
      <c r="C202" s="926"/>
      <c r="D202" s="907"/>
      <c r="E202" s="926"/>
      <c r="F202" s="907"/>
      <c r="G202" s="907"/>
    </row>
  </sheetData>
  <sheetProtection password="F60E" sheet="1" objects="1" scenarios="1"/>
  <mergeCells count="5">
    <mergeCell ref="A6:F6"/>
    <mergeCell ref="A1:F1"/>
    <mergeCell ref="A81:F81"/>
    <mergeCell ref="A2:F2"/>
    <mergeCell ref="A5:F5"/>
  </mergeCells>
  <phoneticPr fontId="17"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H31"/>
  <sheetViews>
    <sheetView showGridLines="0" topLeftCell="A10" zoomScaleNormal="100" workbookViewId="0">
      <selection activeCell="A4" sqref="A4:F4"/>
    </sheetView>
  </sheetViews>
  <sheetFormatPr defaultColWidth="9.140625" defaultRowHeight="15"/>
  <cols>
    <col min="1" max="1" width="52" style="1451" customWidth="1"/>
    <col min="2" max="2" width="16.42578125" style="1452" bestFit="1" customWidth="1"/>
    <col min="3" max="3" width="33.7109375" style="1452" customWidth="1"/>
    <col min="4" max="4" width="16.28515625" style="1453" customWidth="1"/>
    <col min="5" max="5" width="30" style="1453" hidden="1" customWidth="1"/>
    <col min="6" max="6" width="23.5703125" style="1453" customWidth="1"/>
    <col min="7" max="7" width="23.28515625" style="1452" customWidth="1"/>
    <col min="8" max="16384" width="9.140625" style="1442"/>
  </cols>
  <sheetData>
    <row r="1" spans="1:7" ht="15" customHeight="1">
      <c r="A1" s="1567" t="s">
        <v>1804</v>
      </c>
      <c r="B1" s="1568"/>
      <c r="C1" s="1568"/>
      <c r="D1" s="1568"/>
      <c r="E1" s="1568"/>
      <c r="F1" s="1568"/>
      <c r="G1" s="1568"/>
    </row>
    <row r="2" spans="1:7">
      <c r="A2" s="1565"/>
      <c r="B2" s="1565"/>
      <c r="C2" s="1566" t="s">
        <v>978</v>
      </c>
      <c r="D2" s="1565"/>
      <c r="E2" s="1565"/>
      <c r="F2" s="1565"/>
      <c r="G2" s="1565"/>
    </row>
    <row r="3" spans="1:7" ht="5.25" customHeight="1">
      <c r="A3" s="1454"/>
      <c r="B3" s="1454"/>
      <c r="C3" s="1454"/>
      <c r="D3" s="1454"/>
      <c r="E3" s="1454"/>
      <c r="F3" s="1454"/>
      <c r="G3" s="1454"/>
    </row>
    <row r="4" spans="1:7" ht="18.75" customHeight="1">
      <c r="A4" s="2298" t="s">
        <v>1790</v>
      </c>
      <c r="B4" s="2299"/>
      <c r="C4" s="2299"/>
      <c r="D4" s="2299"/>
      <c r="E4" s="2299"/>
      <c r="F4" s="2299"/>
      <c r="G4" s="2300"/>
    </row>
    <row r="5" spans="1:7">
      <c r="A5" s="2301"/>
      <c r="B5" s="2302"/>
      <c r="C5" s="2302"/>
      <c r="D5" s="2302"/>
      <c r="E5" s="2302"/>
      <c r="F5" s="2302"/>
      <c r="G5" s="2303"/>
    </row>
    <row r="6" spans="1:7" ht="18.75">
      <c r="A6" s="1443" t="s">
        <v>1791</v>
      </c>
      <c r="B6" s="1444"/>
      <c r="C6" s="1444"/>
      <c r="D6" s="1444"/>
      <c r="E6" s="1444"/>
      <c r="F6" s="1444"/>
      <c r="G6" s="1445"/>
    </row>
    <row r="7" spans="1:7" ht="30.75" customHeight="1">
      <c r="A7" s="2304" t="s">
        <v>1903</v>
      </c>
      <c r="B7" s="2305"/>
      <c r="C7" s="2305"/>
      <c r="D7" s="2305"/>
      <c r="E7" s="2305"/>
      <c r="F7" s="2305"/>
      <c r="G7" s="2306"/>
    </row>
    <row r="8" spans="1:7" ht="15.75" customHeight="1">
      <c r="A8" s="2307" t="s">
        <v>1878</v>
      </c>
      <c r="B8" s="2308"/>
      <c r="C8" s="2308"/>
      <c r="D8" s="2308"/>
      <c r="E8" s="2308"/>
      <c r="F8" s="2308"/>
      <c r="G8" s="2309"/>
    </row>
    <row r="9" spans="1:7" ht="35.25" customHeight="1">
      <c r="A9" s="2304" t="s">
        <v>1906</v>
      </c>
      <c r="B9" s="2305"/>
      <c r="C9" s="2305"/>
      <c r="D9" s="2305"/>
      <c r="E9" s="2305"/>
      <c r="F9" s="2305"/>
      <c r="G9" s="2306"/>
    </row>
    <row r="10" spans="1:7" ht="15" customHeight="1">
      <c r="A10" s="1446" t="s">
        <v>1792</v>
      </c>
      <c r="B10" s="1447"/>
      <c r="C10" s="1447"/>
      <c r="D10" s="1447"/>
      <c r="E10" s="1447"/>
      <c r="F10" s="1447"/>
      <c r="G10" s="1448"/>
    </row>
    <row r="11" spans="1:7" ht="17.25" customHeight="1">
      <c r="A11" s="2304" t="s">
        <v>1905</v>
      </c>
      <c r="B11" s="2305"/>
      <c r="C11" s="2305"/>
      <c r="D11" s="2305"/>
      <c r="E11" s="2305"/>
      <c r="F11" s="2305"/>
      <c r="G11" s="2306"/>
    </row>
    <row r="12" spans="1:7" ht="15" customHeight="1">
      <c r="A12" s="1446" t="s">
        <v>1797</v>
      </c>
      <c r="B12" s="1447"/>
      <c r="C12" s="1447"/>
      <c r="D12" s="1447"/>
      <c r="E12" s="1447"/>
      <c r="F12" s="1447"/>
      <c r="G12" s="1448"/>
    </row>
    <row r="13" spans="1:7" ht="32.25" customHeight="1">
      <c r="A13" s="2295" t="s">
        <v>1947</v>
      </c>
      <c r="B13" s="2296"/>
      <c r="C13" s="2296"/>
      <c r="D13" s="2296"/>
      <c r="E13" s="2296"/>
      <c r="F13" s="2296"/>
      <c r="G13" s="2297"/>
    </row>
    <row r="14" spans="1:7">
      <c r="A14" s="1569" t="s">
        <v>1805</v>
      </c>
      <c r="B14" s="1570"/>
      <c r="C14" s="1570"/>
      <c r="D14" s="1570"/>
      <c r="E14" s="1570"/>
      <c r="F14" s="1570"/>
      <c r="G14" s="1571"/>
    </row>
    <row r="15" spans="1:7" ht="61.5" customHeight="1">
      <c r="A15" s="1455" t="s">
        <v>1798</v>
      </c>
      <c r="B15" s="1455" t="s">
        <v>1799</v>
      </c>
      <c r="C15" s="1455" t="s">
        <v>1800</v>
      </c>
      <c r="D15" s="1456" t="s">
        <v>1801</v>
      </c>
      <c r="E15" s="1456" t="s">
        <v>1793</v>
      </c>
      <c r="F15" s="1456" t="s">
        <v>1802</v>
      </c>
      <c r="G15" s="1456" t="s">
        <v>1803</v>
      </c>
    </row>
    <row r="16" spans="1:7">
      <c r="A16" s="1557" t="s">
        <v>1806</v>
      </c>
      <c r="B16" s="1558" t="s">
        <v>1796</v>
      </c>
      <c r="C16" s="1559" t="s">
        <v>1794</v>
      </c>
      <c r="D16" s="1560">
        <v>500000</v>
      </c>
      <c r="E16" s="1560">
        <f>IF(D16&lt;=25000,D16,IF(D16&gt;25000,25000,0))</f>
        <v>25000</v>
      </c>
      <c r="F16" s="156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61">
        <f>IF(F16=0,"0",D16-F16)</f>
        <v>475000</v>
      </c>
    </row>
    <row r="17" spans="1:8">
      <c r="A17" s="1950" t="s">
        <v>2171</v>
      </c>
      <c r="B17" s="1564" t="s">
        <v>2174</v>
      </c>
      <c r="C17" s="1951" t="s">
        <v>2175</v>
      </c>
      <c r="D17" s="1750">
        <v>656043</v>
      </c>
      <c r="E17" s="1449">
        <f t="shared" ref="E17:E31" si="0">IF(D17&lt;=25000,D17,IF(D17&gt;25000,25000,0))</f>
        <v>25000</v>
      </c>
      <c r="F17" s="1838">
        <f t="shared" ref="F17:F28"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00">
        <f>IF(F17=0,0,D17-F17)</f>
        <v>631043</v>
      </c>
      <c r="H17" s="1556"/>
    </row>
    <row r="18" spans="1:8">
      <c r="A18" s="1950" t="s">
        <v>2171</v>
      </c>
      <c r="B18" s="1564" t="s">
        <v>2174</v>
      </c>
      <c r="C18" s="1951" t="s">
        <v>2175</v>
      </c>
      <c r="D18" s="1750">
        <v>289748</v>
      </c>
      <c r="E18" s="1449">
        <f t="shared" ref="E18:E30" si="2">IF(D18&lt;=25000,D18,IF(D18&gt;25000,25000,0))</f>
        <v>25000</v>
      </c>
      <c r="F18" s="1838">
        <f t="shared" si="1"/>
        <v>25000</v>
      </c>
      <c r="G18" s="1700">
        <f t="shared" ref="G18:G30" si="3">IF(F18=0,0,D18-F18)</f>
        <v>264748</v>
      </c>
    </row>
    <row r="19" spans="1:8">
      <c r="A19" s="1950" t="s">
        <v>2171</v>
      </c>
      <c r="B19" s="1564" t="s">
        <v>2174</v>
      </c>
      <c r="C19" s="1951" t="s">
        <v>2176</v>
      </c>
      <c r="D19" s="1750">
        <v>163135</v>
      </c>
      <c r="E19" s="1449">
        <f t="shared" si="2"/>
        <v>25000</v>
      </c>
      <c r="F19" s="1838">
        <f t="shared" si="1"/>
        <v>25000</v>
      </c>
      <c r="G19" s="1700">
        <f t="shared" si="3"/>
        <v>138135</v>
      </c>
    </row>
    <row r="20" spans="1:8">
      <c r="A20" s="1950" t="s">
        <v>2171</v>
      </c>
      <c r="B20" s="1564" t="s">
        <v>2174</v>
      </c>
      <c r="C20" s="1951" t="s">
        <v>2177</v>
      </c>
      <c r="D20" s="1750">
        <v>314457</v>
      </c>
      <c r="E20" s="1449">
        <f t="shared" si="2"/>
        <v>25000</v>
      </c>
      <c r="F20" s="1838">
        <f t="shared" si="1"/>
        <v>25000</v>
      </c>
      <c r="G20" s="1700">
        <f t="shared" si="3"/>
        <v>289457</v>
      </c>
    </row>
    <row r="21" spans="1:8">
      <c r="A21" s="1950" t="s">
        <v>2172</v>
      </c>
      <c r="B21" s="1966" t="s">
        <v>2198</v>
      </c>
      <c r="C21" s="1951" t="s">
        <v>2178</v>
      </c>
      <c r="D21" s="1750">
        <v>50000</v>
      </c>
      <c r="E21" s="1449">
        <f t="shared" si="2"/>
        <v>25000</v>
      </c>
      <c r="F21" s="1838">
        <f t="shared" si="1"/>
        <v>25000</v>
      </c>
      <c r="G21" s="1700">
        <f t="shared" si="3"/>
        <v>25000</v>
      </c>
    </row>
    <row r="22" spans="1:8">
      <c r="A22" s="1950" t="s">
        <v>2173</v>
      </c>
      <c r="B22" s="1564" t="s">
        <v>2174</v>
      </c>
      <c r="C22" s="1951" t="s">
        <v>2179</v>
      </c>
      <c r="D22" s="1750">
        <v>41160</v>
      </c>
      <c r="E22" s="1449">
        <f t="shared" si="2"/>
        <v>25000</v>
      </c>
      <c r="F22" s="1838">
        <f t="shared" si="1"/>
        <v>25000</v>
      </c>
      <c r="G22" s="1700">
        <f t="shared" si="3"/>
        <v>16160</v>
      </c>
    </row>
    <row r="23" spans="1:8">
      <c r="A23" s="1950" t="s">
        <v>2172</v>
      </c>
      <c r="B23" s="1966" t="s">
        <v>2198</v>
      </c>
      <c r="C23" s="1951" t="s">
        <v>2180</v>
      </c>
      <c r="D23" s="1750">
        <v>40000</v>
      </c>
      <c r="E23" s="1449">
        <f t="shared" si="2"/>
        <v>25000</v>
      </c>
      <c r="F23" s="1838">
        <f t="shared" si="1"/>
        <v>25000</v>
      </c>
      <c r="G23" s="1700">
        <f t="shared" si="3"/>
        <v>15000</v>
      </c>
    </row>
    <row r="24" spans="1:8">
      <c r="A24" s="1950" t="s">
        <v>2172</v>
      </c>
      <c r="B24" s="1966" t="s">
        <v>2198</v>
      </c>
      <c r="C24" s="1951" t="s">
        <v>2181</v>
      </c>
      <c r="D24" s="1750">
        <v>45000</v>
      </c>
      <c r="E24" s="1449">
        <f t="shared" si="2"/>
        <v>25000</v>
      </c>
      <c r="F24" s="1838">
        <f t="shared" si="1"/>
        <v>25000</v>
      </c>
      <c r="G24" s="1700">
        <f t="shared" si="3"/>
        <v>20000</v>
      </c>
    </row>
    <row r="25" spans="1:8">
      <c r="A25" s="1562"/>
      <c r="B25" s="1840"/>
      <c r="C25" s="1564"/>
      <c r="D25" s="1750"/>
      <c r="E25" s="1449">
        <f t="shared" si="2"/>
        <v>0</v>
      </c>
      <c r="F25" s="1838">
        <f t="shared" si="1"/>
        <v>0</v>
      </c>
      <c r="G25" s="1700">
        <f t="shared" si="3"/>
        <v>0</v>
      </c>
    </row>
    <row r="26" spans="1:8">
      <c r="A26" s="1562"/>
      <c r="B26" s="1840"/>
      <c r="C26" s="1563"/>
      <c r="D26" s="1750"/>
      <c r="E26" s="1449">
        <f t="shared" si="2"/>
        <v>0</v>
      </c>
      <c r="F26" s="1838">
        <f t="shared" si="1"/>
        <v>0</v>
      </c>
      <c r="G26" s="1700">
        <f t="shared" si="3"/>
        <v>0</v>
      </c>
    </row>
    <row r="27" spans="1:8">
      <c r="A27" s="1562"/>
      <c r="B27" s="1840"/>
      <c r="C27" s="1563"/>
      <c r="D27" s="1750"/>
      <c r="E27" s="1449">
        <f t="shared" si="2"/>
        <v>0</v>
      </c>
      <c r="F27" s="1838">
        <f t="shared" si="1"/>
        <v>0</v>
      </c>
      <c r="G27" s="1700">
        <f t="shared" si="3"/>
        <v>0</v>
      </c>
    </row>
    <row r="28" spans="1:8">
      <c r="A28" s="1562"/>
      <c r="B28" s="1840"/>
      <c r="C28" s="1563"/>
      <c r="D28" s="1750"/>
      <c r="E28" s="1449">
        <f t="shared" si="2"/>
        <v>0</v>
      </c>
      <c r="F28" s="1838">
        <f t="shared" si="1"/>
        <v>0</v>
      </c>
      <c r="G28" s="1700">
        <f t="shared" si="3"/>
        <v>0</v>
      </c>
    </row>
    <row r="29" spans="1:8">
      <c r="A29" s="1562"/>
      <c r="B29" s="1574"/>
      <c r="C29" s="1563"/>
      <c r="D29" s="1750"/>
      <c r="E29" s="1449">
        <f t="shared" ref="E29" si="4">IF(D29&lt;=25000,D29,IF(D29&gt;25000,25000,0))</f>
        <v>0</v>
      </c>
      <c r="F29" s="1838">
        <f t="shared" ref="F29:F30" si="5">IF(OR(B29="10-1000-100",B29="10-1000-200",B29="10-1000-300",B29="10-1000-400",B29="10-1000-600",B29="10-1000-800",B29="50-1000-200",B29="10-2100-100",B29="10-2100-200",B29="10-2100-300",B29="10-2100-400",B29="10-2100-600",B29="10-2100-800",B29="20-2100-100",B29="20-2100-200",B29="20-2100-300",B29="20-2100-400",B29="20-2100-600",B29="20-2100-800",B29="40-2100-100",B29="40-2100-200",B29="40-2100-300",B29="40-2100-400",B29="40-2100-600",B29="40-2100-800",B29="50-2100-200",B29="10-2200-100",B29="10-2200-200",B29="10-2200-300",B29="10-2200-400",B29="10-2200-600",B29="10-2200-800",B29="50-2200-200",B29="10-2300-100",B29="10-2300-200",B29="10-2300-300",B29="10-2300-400",B29="10-2300-600",B29="10-2300-800",B29="50-2300-200",B29="80-2300-100",B29="80-2300-200",B29="80-2300-300",B29="80-2300-400",B29="80-2300-600",B29="80-2300-800",B29="10-2400-100",B29="10-2400-200",B29="10-2400-300",B29="10-2400-400",B29="10-2400-600",B29="10-2400-800",B29="50-2400-200",B29="10-2510-100",B29="10-2510-200",B29="10-2510-300",B29="10-2510-400",B29="10-2510-600",B29="10-2510-800",B29="20-2510-100",B29="20-2510-200",B29="20-2510-300",B29="20-2510-400",B29="20-2510-600",B29="20-2510-800",B29="50-2510-200",B29="10-2520-100",B29="10-2520-200",B29="10-2520-300",B29="10-2520-400",B29="10-2520-600",B29="10-2520-800",B29="50-2520-200",B29="10-2540-100",B29="10-2540-200",B29="10-2540-300",B29="10-2540-400",B29="10-2540-600",B29="10-2540-800",B29="20-2540-100",B29="20-2540-200",B29="20-2540-300",B29="20-2540-400",B29="20-2540-600",B29="20-2540-800",B29="50-2540-200",B29="10-2550-100",B29="10-2550-200",B29="10-2550-300",B29="10-2550-400",B29="10-2550-600",B29="10-2550-800",B29="20-2550-100",B29="20-2550-200",B29="20-2550-300",B29="20-2550-400",B29="20-2550-600",B29="20-2550-800",B29="40-2550-100",B29="40-2550-200",B29="40-2550-300",B29="40-2550-400",B29="40-2550-600",B29="40-2550-800",B29="50-2550-200",B29="10-2560-100",B29="10-2560-200",B29="10-2560-300",B29="10-2560-400",B29="10-2560-600",B29="10-2560-800",B29="50-2560-200",B29="10-2570-100",B29="10-2570-200",B29="10-2570-300",B29="10-2570-400",B29="10-2570-600",B29="10-2570-800",B29="50-2570-200",B29="10-2610-100",B29="10-2610-200",B29="10-2610-300",B29="10-2610-400",B29="10-2610-600",B29="10-2610-800",B29="50-2610-200",B29="10-2620-100",B29="10-2620-200",B29="10-2620-300",B29="10-2620-400",B29="10-2620-600",B29="10-2620-800",B29="50-2620-200",B29="10-2630-100",B29="10-2630-200",B29="10-2630-300",B29="10-2630-400",B29="10-2630-600",B29="10-2630-800",B29="50-2630-200",B29="10-2640-100",B29="10-2640-200",B29="10-2640-300",B29="10-2640-400",B29="10-2640-600",B29="10-2640-800",B29="50-2640-200",B29="10-2660-100",B29="10-2660-200",B29="10-2660-300",B29="10-2660-400",B29="10-2660-600",B29="10-2660-800",B29="50-2660-200",B29="10-2900-100",B29="10-2900-200",B29="10-2900-300",B29="10-2900-400",B29="10-2900-600",B29="10-2900-800",B29="20-2900-100",B29="20-2900-200",B29="20-2900-300",B29="20-2900-400",B29="20-2900-600",B29="20-2900-800",B29="40-2900-100",B29="40-2900-200",B29="40-2900-300",B29="40-2900-400",B29="40-2900-600",B29="40-2900-800",B29="50-2900-200",B29="10-3000-100",B29="10-3000-200",B29="10-3000-300",B29="10-3000-400",B29="10-3000-600",B29="10-3000-800",B29="20-3000-100",B29="20-3000-200",B29="20-3000-300",B29="20-3000-400",B29="20-3000-600",B29="20-3000-800",B29="40-3000-100",B29="40-3000-200",B29="40-3000-300",B29="40-3000-400",B29="40-3000-600",B29="40-3000-800",B29="50-3000-200"),E29,0)</f>
        <v>0</v>
      </c>
      <c r="G29" s="1700">
        <f t="shared" ref="G29" si="6">IF(F29=0,0,D29-F29)</f>
        <v>0</v>
      </c>
    </row>
    <row r="30" spans="1:8">
      <c r="A30" s="1562"/>
      <c r="B30" s="1573"/>
      <c r="C30" s="1563"/>
      <c r="D30" s="1750"/>
      <c r="E30" s="1449">
        <f t="shared" si="2"/>
        <v>0</v>
      </c>
      <c r="F30" s="1838">
        <f t="shared" si="5"/>
        <v>0</v>
      </c>
      <c r="G30" s="1700">
        <f t="shared" si="3"/>
        <v>0</v>
      </c>
    </row>
    <row r="31" spans="1:8">
      <c r="A31" s="1703" t="s">
        <v>156</v>
      </c>
      <c r="B31" s="1704"/>
      <c r="C31" s="1705"/>
      <c r="D31" s="1701">
        <f>SUM(D17:D30)</f>
        <v>1599543</v>
      </c>
      <c r="E31" s="1450">
        <f t="shared" si="0"/>
        <v>25000</v>
      </c>
      <c r="F31" s="1839">
        <f>SUM(F17:F30)</f>
        <v>200000</v>
      </c>
      <c r="G31" s="1702">
        <f>SUM(G17:G30)</f>
        <v>1399543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7" colorId="8" zoomScale="110" zoomScaleNormal="110" workbookViewId="0">
      <selection activeCell="A4" sqref="A4:F4"/>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43" t="s">
        <v>1114</v>
      </c>
      <c r="B1" s="1544"/>
      <c r="C1" s="1545"/>
    </row>
    <row r="2" spans="1:9">
      <c r="A2" s="929" t="s">
        <v>1115</v>
      </c>
      <c r="B2" s="930"/>
      <c r="C2" s="930"/>
      <c r="D2" s="930"/>
      <c r="E2" s="931"/>
      <c r="F2" s="931"/>
      <c r="G2" s="932"/>
    </row>
    <row r="3" spans="1:9" ht="12" customHeight="1">
      <c r="A3" s="933" t="s">
        <v>1353</v>
      </c>
      <c r="B3" s="934"/>
      <c r="C3" s="934"/>
      <c r="D3" s="934"/>
      <c r="E3" s="935"/>
      <c r="F3" s="935"/>
      <c r="G3" s="936"/>
    </row>
    <row r="4" spans="1:9">
      <c r="A4" s="937" t="s">
        <v>754</v>
      </c>
      <c r="B4" s="938"/>
      <c r="C4" s="938"/>
      <c r="D4" s="938"/>
      <c r="E4" s="939"/>
      <c r="F4" s="940"/>
      <c r="G4" s="941"/>
      <c r="H4" s="252"/>
      <c r="I4" s="252"/>
    </row>
    <row r="5" spans="1:9" s="343" customFormat="1" ht="57" customHeight="1">
      <c r="A5" s="2310" t="s">
        <v>1672</v>
      </c>
      <c r="B5" s="2311"/>
      <c r="C5" s="2311"/>
      <c r="D5" s="2311"/>
      <c r="E5" s="2311"/>
      <c r="F5" s="2311"/>
      <c r="G5" s="2312"/>
      <c r="H5" s="252"/>
      <c r="I5" s="592"/>
    </row>
    <row r="6" spans="1:9" s="648" customFormat="1">
      <c r="A6" s="1546" t="s">
        <v>205</v>
      </c>
      <c r="B6" s="943"/>
      <c r="C6" s="943"/>
      <c r="D6" s="944"/>
      <c r="E6" s="944"/>
      <c r="F6" s="945"/>
      <c r="G6" s="946"/>
      <c r="H6" s="162"/>
      <c r="I6" s="162"/>
    </row>
    <row r="7" spans="1:9" s="648" customFormat="1" ht="12" customHeight="1">
      <c r="A7" s="947" t="s">
        <v>907</v>
      </c>
      <c r="B7" s="948"/>
      <c r="C7" s="948"/>
      <c r="D7" s="949"/>
      <c r="E7" s="950"/>
      <c r="F7" s="951"/>
      <c r="G7" s="952"/>
      <c r="H7" s="162"/>
      <c r="I7" s="162"/>
    </row>
    <row r="8" spans="1:9" s="648" customFormat="1" ht="12" customHeight="1">
      <c r="A8" s="947" t="s">
        <v>129</v>
      </c>
      <c r="B8" s="948"/>
      <c r="C8" s="948"/>
      <c r="D8" s="949"/>
      <c r="E8" s="950"/>
      <c r="F8" s="951"/>
      <c r="G8" s="952"/>
      <c r="H8" s="162"/>
      <c r="I8" s="162"/>
    </row>
    <row r="9" spans="1:9" s="648" customFormat="1" ht="12" customHeight="1">
      <c r="A9" s="947" t="s">
        <v>130</v>
      </c>
      <c r="B9" s="948"/>
      <c r="C9" s="948"/>
      <c r="D9" s="949"/>
      <c r="E9" s="950"/>
      <c r="F9" s="951"/>
      <c r="G9" s="952"/>
      <c r="H9" s="162"/>
      <c r="I9" s="162"/>
    </row>
    <row r="10" spans="1:9" s="648" customFormat="1" ht="12" customHeight="1">
      <c r="A10" s="947" t="s">
        <v>1904</v>
      </c>
      <c r="B10" s="948"/>
      <c r="C10" s="953"/>
      <c r="D10" s="949"/>
      <c r="E10" s="950">
        <f>1106099-178670</f>
        <v>927429</v>
      </c>
      <c r="F10" s="951"/>
      <c r="G10" s="952"/>
      <c r="H10" s="162"/>
      <c r="I10" s="162"/>
    </row>
    <row r="11" spans="1:9" s="648" customFormat="1" ht="22.5" customHeight="1">
      <c r="A11" s="2315" t="s">
        <v>1948</v>
      </c>
      <c r="B11" s="2316"/>
      <c r="C11" s="2316"/>
      <c r="D11" s="2317"/>
      <c r="E11" s="954">
        <v>178670</v>
      </c>
      <c r="F11" s="951"/>
      <c r="G11" s="955"/>
      <c r="H11" s="162"/>
      <c r="I11" s="162"/>
    </row>
    <row r="12" spans="1:9" s="648" customFormat="1" ht="12" customHeight="1">
      <c r="A12" s="947" t="s">
        <v>131</v>
      </c>
      <c r="B12" s="948"/>
      <c r="C12" s="948"/>
      <c r="D12" s="949"/>
      <c r="E12" s="950"/>
      <c r="F12" s="951"/>
      <c r="G12" s="952"/>
      <c r="H12" s="162"/>
      <c r="I12" s="162"/>
    </row>
    <row r="13" spans="1:9" s="648" customFormat="1" ht="12" customHeight="1">
      <c r="A13" s="947" t="s">
        <v>203</v>
      </c>
      <c r="B13" s="948"/>
      <c r="C13" s="948"/>
      <c r="D13" s="949"/>
      <c r="E13" s="950"/>
      <c r="F13" s="951"/>
      <c r="G13" s="952"/>
      <c r="H13" s="162"/>
      <c r="I13" s="162"/>
    </row>
    <row r="14" spans="1:9" s="648" customFormat="1" ht="12" customHeight="1">
      <c r="A14" s="947" t="s">
        <v>204</v>
      </c>
      <c r="B14" s="948"/>
      <c r="C14" s="948"/>
      <c r="D14" s="949"/>
      <c r="E14" s="950"/>
      <c r="F14" s="956"/>
      <c r="G14" s="957"/>
      <c r="H14" s="162"/>
      <c r="I14" s="162"/>
    </row>
    <row r="15" spans="1:9" s="648" customFormat="1" ht="12" customHeight="1">
      <c r="A15" s="942" t="s">
        <v>370</v>
      </c>
      <c r="B15" s="944"/>
      <c r="C15" s="944"/>
      <c r="D15" s="944"/>
      <c r="E15" s="944"/>
      <c r="F15" s="944"/>
      <c r="G15" s="958"/>
      <c r="H15" s="162"/>
      <c r="I15" s="162"/>
    </row>
    <row r="16" spans="1:9" s="648" customFormat="1">
      <c r="A16" s="959" t="s">
        <v>1373</v>
      </c>
      <c r="B16" s="960"/>
      <c r="C16" s="961"/>
      <c r="D16" s="940"/>
      <c r="E16" s="935"/>
      <c r="F16" s="935"/>
      <c r="G16" s="936"/>
      <c r="H16" s="162"/>
      <c r="I16" s="162"/>
    </row>
    <row r="17" spans="1:9" s="648" customFormat="1" ht="12" customHeight="1">
      <c r="A17" s="962"/>
      <c r="B17" s="963"/>
      <c r="C17" s="329"/>
      <c r="D17" s="1547" t="s">
        <v>531</v>
      </c>
      <c r="E17" s="1548"/>
      <c r="F17" s="1547" t="s">
        <v>432</v>
      </c>
      <c r="G17" s="1549"/>
      <c r="H17" s="162"/>
      <c r="I17" s="162"/>
    </row>
    <row r="18" spans="1:9" s="259" customFormat="1" ht="11.25">
      <c r="A18" s="965"/>
      <c r="C18" s="966" t="s">
        <v>433</v>
      </c>
      <c r="D18" s="1550" t="s">
        <v>434</v>
      </c>
      <c r="E18" s="1550" t="s">
        <v>53</v>
      </c>
      <c r="F18" s="1550" t="s">
        <v>434</v>
      </c>
      <c r="G18" s="1550" t="s">
        <v>53</v>
      </c>
      <c r="H18" s="178"/>
      <c r="I18" s="178"/>
    </row>
    <row r="19" spans="1:9" s="648" customFormat="1" ht="12" customHeight="1">
      <c r="A19" s="967" t="s">
        <v>455</v>
      </c>
      <c r="B19" s="968"/>
      <c r="C19" s="969" t="s">
        <v>569</v>
      </c>
      <c r="D19" s="1706"/>
      <c r="E19" s="1707">
        <f>'Expenditures 15-22'!K33-SUM('Expenditures 15-22'!G33,'Expenditures 15-22'!I33)+'Expenditures 15-22'!D229</f>
        <v>50388141</v>
      </c>
      <c r="F19" s="1706"/>
      <c r="G19" s="1708">
        <f>'Expenditures 15-22'!K33-SUM('Expenditures 15-22'!G33,'Expenditures 15-22'!I33)+'Expenditures 15-22'!D229</f>
        <v>50388141</v>
      </c>
      <c r="H19" s="964"/>
      <c r="I19" s="162"/>
    </row>
    <row r="20" spans="1:9" s="648" customFormat="1" ht="12" customHeight="1">
      <c r="A20" s="967" t="s">
        <v>54</v>
      </c>
      <c r="B20" s="968"/>
      <c r="C20" s="970"/>
      <c r="D20" s="1709"/>
      <c r="E20" s="1709"/>
      <c r="F20" s="1709"/>
      <c r="G20" s="1710"/>
      <c r="H20" s="964"/>
      <c r="I20" s="162"/>
    </row>
    <row r="21" spans="1:9" s="648" customFormat="1" ht="12" customHeight="1">
      <c r="A21" s="971" t="s">
        <v>400</v>
      </c>
      <c r="B21" s="972"/>
      <c r="C21" s="970">
        <v>2100</v>
      </c>
      <c r="D21" s="1709"/>
      <c r="E21" s="1711">
        <f>'Expenditures 15-22'!K42-SUM('Expenditures 15-22'!G42,'Expenditures 15-22'!I42)+'Expenditures 15-22'!K120-SUM('Expenditures 15-22'!G120,'Expenditures 15-22'!I120)+'Expenditures 15-22'!K180-SUM('Expenditures 15-22'!G180,'Expenditures 15-22'!I180)+'Expenditures 15-22'!D238</f>
        <v>5511200</v>
      </c>
      <c r="F21" s="1709"/>
      <c r="G21" s="1712">
        <f>'Expenditures 15-22'!K42-SUM('Expenditures 15-22'!G42,'Expenditures 15-22'!I42)+'Expenditures 15-22'!K120-SUM('Expenditures 15-22'!G120,'Expenditures 15-22'!I120)+'Expenditures 15-22'!K180-SUM('Expenditures 15-22'!G180,'Expenditures 15-22'!I180)+'Expenditures 15-22'!D238</f>
        <v>5511200</v>
      </c>
      <c r="H21" s="964"/>
      <c r="I21" s="162"/>
    </row>
    <row r="22" spans="1:9" s="648" customFormat="1" ht="12" customHeight="1">
      <c r="A22" s="971" t="s">
        <v>563</v>
      </c>
      <c r="B22" s="972"/>
      <c r="C22" s="970">
        <v>2200</v>
      </c>
      <c r="D22" s="1709"/>
      <c r="E22" s="1711">
        <f>'Expenditures 15-22'!K47-SUM('Expenditures 15-22'!G47,'Expenditures 15-22'!I47)+'Expenditures 15-22'!D243</f>
        <v>2072681</v>
      </c>
      <c r="F22" s="1709"/>
      <c r="G22" s="1712">
        <f>'Expenditures 15-22'!K47-SUM('Expenditures 15-22'!G47,'Expenditures 15-22'!I47)+'Expenditures 15-22'!D243</f>
        <v>2072681</v>
      </c>
      <c r="H22" s="964"/>
      <c r="I22" s="162"/>
    </row>
    <row r="23" spans="1:9" s="648" customFormat="1" ht="12" customHeight="1">
      <c r="A23" s="971" t="s">
        <v>564</v>
      </c>
      <c r="B23" s="972"/>
      <c r="C23" s="970">
        <v>2300</v>
      </c>
      <c r="D23" s="1709"/>
      <c r="E23" s="1711">
        <f>'Expenditures 15-22'!K53-SUM('Expenditures 15-22'!G53,'Expenditures 15-22'!I53)+'Expenditures 15-22'!D257+'Expenditures 15-22'!K330-SUM('Expenditures 15-22'!G330,'Expenditures 15-22'!I330)</f>
        <v>4613156</v>
      </c>
      <c r="F23" s="1709"/>
      <c r="G23" s="1711">
        <f>'Expenditures 15-22'!K53-SUM('Expenditures 15-22'!G53,'Expenditures 15-22'!I53)+'Expenditures 15-22'!D257+'Expenditures 15-22'!K330-SUM('Expenditures 15-22'!G330,'Expenditures 15-22'!I330)</f>
        <v>4613156</v>
      </c>
      <c r="H23" s="964"/>
      <c r="I23" s="162"/>
    </row>
    <row r="24" spans="1:9" s="648" customFormat="1" ht="12" customHeight="1">
      <c r="A24" s="971" t="s">
        <v>565</v>
      </c>
      <c r="B24" s="972"/>
      <c r="C24" s="970">
        <v>2400</v>
      </c>
      <c r="D24" s="1709"/>
      <c r="E24" s="1711">
        <f>'Expenditures 15-22'!K57-SUM('Expenditures 15-22'!G57,'Expenditures 15-22'!I57)+'Expenditures 15-22'!D261</f>
        <v>3399833</v>
      </c>
      <c r="F24" s="1709"/>
      <c r="G24" s="1712">
        <f>'Expenditures 15-22'!K57-SUM('Expenditures 15-22'!G57,'Expenditures 15-22'!I57)+'Expenditures 15-22'!D261</f>
        <v>3399833</v>
      </c>
      <c r="H24" s="964"/>
      <c r="I24" s="162"/>
    </row>
    <row r="25" spans="1:9" s="648" customFormat="1" ht="12" customHeight="1">
      <c r="A25" s="967" t="s">
        <v>566</v>
      </c>
      <c r="B25" s="973"/>
      <c r="C25" s="970"/>
      <c r="D25" s="1709"/>
      <c r="E25" s="1711"/>
      <c r="F25" s="1709"/>
      <c r="G25" s="1712"/>
      <c r="H25" s="964"/>
      <c r="I25" s="162"/>
    </row>
    <row r="26" spans="1:9" s="648" customFormat="1" ht="12" customHeight="1">
      <c r="A26" s="971" t="s">
        <v>514</v>
      </c>
      <c r="B26" s="974"/>
      <c r="C26" s="970">
        <v>2510</v>
      </c>
      <c r="D26" s="1711">
        <f>'Expenditures 15-22'!K59-SUM('Expenditures 15-22'!G59,'Expenditures 15-22'!I59)+'Expenditures 15-22'!D263-E7</f>
        <v>250194</v>
      </c>
      <c r="E26" s="1711">
        <f>'Expenditures 15-22'!K122-SUM('Expenditures 15-22'!G122,'Expenditures 15-22'!I122)+E7</f>
        <v>0</v>
      </c>
      <c r="F26" s="1711">
        <f>'Expenditures 15-22'!K59-SUM('Expenditures 15-22'!G59,'Expenditures 15-22'!I59)+'Expenditures 15-22'!D263-E7</f>
        <v>250194</v>
      </c>
      <c r="G26" s="1712">
        <f>'Expenditures 15-22'!K122-SUM('Expenditures 15-22'!G122,'Expenditures 15-22'!I122)+E7</f>
        <v>0</v>
      </c>
      <c r="H26" s="964"/>
      <c r="I26" s="162"/>
    </row>
    <row r="27" spans="1:9" s="648" customFormat="1" ht="12" customHeight="1">
      <c r="A27" s="971" t="s">
        <v>462</v>
      </c>
      <c r="B27" s="974"/>
      <c r="C27" s="970">
        <v>2520</v>
      </c>
      <c r="D27" s="1711">
        <f>'Expenditures 15-22'!K60-SUM('Expenditures 15-22'!G60,'Expenditures 15-22'!I60)+'Expenditures 15-22'!D264-E8</f>
        <v>808600</v>
      </c>
      <c r="E27" s="1711">
        <f>E8</f>
        <v>0</v>
      </c>
      <c r="F27" s="1711">
        <f>'Expenditures 15-22'!K60-SUM('Expenditures 15-22'!G60,'Expenditures 15-22'!I60)+'Expenditures 15-22'!D264-E8</f>
        <v>808600</v>
      </c>
      <c r="G27" s="1712">
        <f>E8</f>
        <v>0</v>
      </c>
      <c r="H27" s="964"/>
      <c r="I27" s="162"/>
    </row>
    <row r="28" spans="1:9" s="648" customFormat="1" ht="12" customHeight="1">
      <c r="A28" s="971" t="s">
        <v>515</v>
      </c>
      <c r="B28" s="974"/>
      <c r="C28" s="970">
        <v>2540</v>
      </c>
      <c r="D28" s="1713"/>
      <c r="E28" s="1711">
        <f>'Expenditures 15-22'!K61-SUM('Expenditures 15-22'!G61,'Expenditures 15-22'!I61)+'Expenditures 15-22'!K124-SUM('Expenditures 15-22'!G124,'Expenditures 15-22'!I124)+'Expenditures 15-22'!D266</f>
        <v>8627396</v>
      </c>
      <c r="F28" s="1713">
        <f>'Expenditures 15-22'!K61-SUM('Expenditures 15-22'!G61,'Expenditures 15-22'!I61)+'Expenditures 15-22'!K124-SUM('Expenditures 15-22'!G124,'Expenditures 15-22'!I124)+'Expenditures 15-22'!D266-E9</f>
        <v>8627396</v>
      </c>
      <c r="G28" s="1712">
        <f>E9</f>
        <v>0</v>
      </c>
      <c r="H28" s="964"/>
      <c r="I28" s="162"/>
    </row>
    <row r="29" spans="1:9" ht="12" customHeight="1">
      <c r="A29" s="971" t="s">
        <v>516</v>
      </c>
      <c r="B29" s="974"/>
      <c r="C29" s="970">
        <v>2550</v>
      </c>
      <c r="D29" s="1709"/>
      <c r="E29" s="1711">
        <f>'Expenditures 15-22'!K62-SUM('Expenditures 15-22'!G62,'Expenditures 15-22'!I62)+'Expenditures 15-22'!K125-SUM('Expenditures 15-22'!G125,'Expenditures 15-22'!I125)+'Expenditures 15-22'!K182-SUM('Expenditures 15-22'!G182,'Expenditures 15-22'!I182)+'Expenditures 15-22'!D267</f>
        <v>7949601</v>
      </c>
      <c r="F29" s="1709"/>
      <c r="G29" s="1712">
        <f>'Expenditures 15-22'!K62-SUM('Expenditures 15-22'!G62,'Expenditures 15-22'!I62)+'Expenditures 15-22'!K125-SUM('Expenditures 15-22'!G125,'Expenditures 15-22'!I125)+'Expenditures 15-22'!K182-SUM('Expenditures 15-22'!G182,'Expenditures 15-22'!I182)+'Expenditures 15-22'!D267</f>
        <v>7949601</v>
      </c>
      <c r="H29" s="962"/>
    </row>
    <row r="30" spans="1:9" ht="12" customHeight="1">
      <c r="A30" s="971" t="s">
        <v>100</v>
      </c>
      <c r="B30" s="974"/>
      <c r="C30" s="970">
        <v>2560</v>
      </c>
      <c r="D30" s="1709"/>
      <c r="E30" s="1711">
        <f>'Expenditures 15-22'!K63-SUM('Expenditures 15-22'!G63,'Expenditures 15-22'!I63)+'Expenditures 15-22'!D268-E10</f>
        <v>1184103</v>
      </c>
      <c r="F30" s="1709"/>
      <c r="G30" s="1711">
        <f>'Expenditures 15-22'!K63-SUM('Expenditures 15-22'!G63,'Expenditures 15-22'!I63)+'Expenditures 15-22'!D268-E10</f>
        <v>1184103</v>
      </c>
    </row>
    <row r="31" spans="1:9" ht="12" customHeight="1">
      <c r="A31" s="971" t="s">
        <v>101</v>
      </c>
      <c r="B31" s="974"/>
      <c r="C31" s="970">
        <v>2570</v>
      </c>
      <c r="D31" s="1711">
        <f>'Expenditures 15-22'!K64-SUM('Expenditures 15-22'!G64,'Expenditures 15-22'!I64)+'Expenditures 15-22'!D269-E12</f>
        <v>0</v>
      </c>
      <c r="E31" s="1711">
        <f>E12</f>
        <v>0</v>
      </c>
      <c r="F31" s="1711">
        <f>'Expenditures 15-22'!K64-SUM('Expenditures 15-22'!G64,'Expenditures 15-22'!I64)+'Expenditures 15-22'!D269-E12</f>
        <v>0</v>
      </c>
      <c r="G31" s="1711">
        <f>E12</f>
        <v>0</v>
      </c>
    </row>
    <row r="32" spans="1:9" ht="12" customHeight="1">
      <c r="A32" s="967" t="s">
        <v>517</v>
      </c>
      <c r="B32" s="973"/>
      <c r="C32" s="970"/>
      <c r="D32" s="1709"/>
      <c r="E32" s="1709"/>
      <c r="F32" s="1709"/>
      <c r="G32" s="1709"/>
    </row>
    <row r="33" spans="1:7" ht="12" customHeight="1">
      <c r="A33" s="971" t="s">
        <v>518</v>
      </c>
      <c r="B33" s="974"/>
      <c r="C33" s="970">
        <v>2610</v>
      </c>
      <c r="D33" s="1709"/>
      <c r="E33" s="1711">
        <f>'Expenditures 15-22'!K67-SUM('Expenditures 15-22'!G67,'Expenditures 15-22'!I67)+'Expenditures 15-22'!D272</f>
        <v>0</v>
      </c>
      <c r="F33" s="1709"/>
      <c r="G33" s="1711">
        <f>'Expenditures 15-22'!K67-SUM('Expenditures 15-22'!G67,'Expenditures 15-22'!I67)+'Expenditures 15-22'!D272</f>
        <v>0</v>
      </c>
    </row>
    <row r="34" spans="1:7" ht="12" customHeight="1">
      <c r="A34" s="971" t="s">
        <v>519</v>
      </c>
      <c r="B34" s="974"/>
      <c r="C34" s="970">
        <v>2620</v>
      </c>
      <c r="D34" s="1709"/>
      <c r="E34" s="1711">
        <f>'Expenditures 15-22'!K68-SUM('Expenditures 15-22'!G68,'Expenditures 15-22'!I68)+'Expenditures 15-22'!D273</f>
        <v>0</v>
      </c>
      <c r="F34" s="1709"/>
      <c r="G34" s="1711">
        <f>'Expenditures 15-22'!K68-SUM('Expenditures 15-22'!G68,'Expenditures 15-22'!I68)+'Expenditures 15-22'!D273</f>
        <v>0</v>
      </c>
    </row>
    <row r="35" spans="1:7" ht="12" customHeight="1">
      <c r="A35" s="971" t="s">
        <v>1060</v>
      </c>
      <c r="B35" s="974"/>
      <c r="C35" s="970">
        <v>2630</v>
      </c>
      <c r="D35" s="1709"/>
      <c r="E35" s="1711">
        <f>'Expenditures 15-22'!K69-SUM('Expenditures 15-22'!G69,'Expenditures 15-22'!I69)+'Expenditures 15-22'!D274</f>
        <v>521093</v>
      </c>
      <c r="F35" s="1709"/>
      <c r="G35" s="1711">
        <f>'Expenditures 15-22'!K69-SUM('Expenditures 15-22'!G69,'Expenditures 15-22'!I69)+'Expenditures 15-22'!D274</f>
        <v>521093</v>
      </c>
    </row>
    <row r="36" spans="1:7" ht="12" customHeight="1">
      <c r="A36" s="971" t="s">
        <v>402</v>
      </c>
      <c r="B36" s="974"/>
      <c r="C36" s="970">
        <v>2640</v>
      </c>
      <c r="D36" s="1711">
        <f>'Expenditures 15-22'!K70-SUM('Expenditures 15-22'!G70,'Expenditures 15-22'!I70)+'Expenditures 15-22'!D275-E13</f>
        <v>263745</v>
      </c>
      <c r="E36" s="1711">
        <f>E13</f>
        <v>0</v>
      </c>
      <c r="F36" s="1711">
        <f>'Expenditures 15-22'!K70-SUM('Expenditures 15-22'!G70,'Expenditures 15-22'!I70)+'Expenditures 15-22'!D275-E13</f>
        <v>263745</v>
      </c>
      <c r="G36" s="1711">
        <f>E13</f>
        <v>0</v>
      </c>
    </row>
    <row r="37" spans="1:7" ht="12" customHeight="1">
      <c r="A37" s="971" t="s">
        <v>403</v>
      </c>
      <c r="B37" s="974"/>
      <c r="C37" s="970">
        <v>2660</v>
      </c>
      <c r="D37" s="1711">
        <f>'Expenditures 15-22'!K71-SUM('Expenditures 15-22'!G71,'Expenditures 15-22'!I71)+'Expenditures 15-22'!D276-E14</f>
        <v>4308054</v>
      </c>
      <c r="E37" s="1711">
        <f>E14</f>
        <v>0</v>
      </c>
      <c r="F37" s="1711">
        <f>'Expenditures 15-22'!K71-SUM('Expenditures 15-22'!G71,'Expenditures 15-22'!I71)+'Expenditures 15-22'!D276-E14</f>
        <v>4308054</v>
      </c>
      <c r="G37" s="1711">
        <f>E14</f>
        <v>0</v>
      </c>
    </row>
    <row r="38" spans="1:7" ht="12" customHeight="1">
      <c r="A38" s="967" t="s">
        <v>520</v>
      </c>
      <c r="B38" s="968"/>
      <c r="C38" s="970">
        <v>2900</v>
      </c>
      <c r="D38" s="1709"/>
      <c r="E38" s="1711">
        <f>'Expenditures 15-22'!K73-SUM('Expenditures 15-22'!G73,'Expenditures 15-22'!I73)+'Expenditures 15-22'!K128-SUM('Expenditures 15-22'!G128,'Expenditures 15-22'!I128)+'Expenditures 15-22'!K183-SUM('Expenditures 15-22'!G183,'Expenditures 15-22'!I183)+'Expenditures 15-22'!D278</f>
        <v>363085</v>
      </c>
      <c r="F38" s="1709"/>
      <c r="G38" s="1711">
        <f>'Expenditures 15-22'!K73-SUM('Expenditures 15-22'!G73,'Expenditures 15-22'!I73)+'Expenditures 15-22'!K128-SUM('Expenditures 15-22'!G128,'Expenditures 15-22'!I128)+'Expenditures 15-22'!K183-SUM('Expenditures 15-22'!G183,'Expenditures 15-22'!I183)+'Expenditures 15-22'!D278</f>
        <v>363085</v>
      </c>
    </row>
    <row r="39" spans="1:7" ht="12" customHeight="1">
      <c r="A39" s="967" t="s">
        <v>448</v>
      </c>
      <c r="B39" s="968"/>
      <c r="C39" s="970">
        <v>3000</v>
      </c>
      <c r="D39" s="1709"/>
      <c r="E39" s="1711">
        <f>'Expenditures 15-22'!K75-SUM('Expenditures 15-22'!G75,'Expenditures 15-22'!I75)+'Expenditures 15-22'!K130-SUM('Expenditures 15-22'!G130,'Expenditures 15-22'!I130)+'Expenditures 15-22'!K185-SUM('Expenditures 15-22'!G185,'Expenditures 15-22'!I185)+'Expenditures 15-22'!D280</f>
        <v>158098</v>
      </c>
      <c r="F39" s="1709"/>
      <c r="G39" s="1711">
        <f>'Expenditures 15-22'!K75-SUM('Expenditures 15-22'!G75,'Expenditures 15-22'!I75)+'Expenditures 15-22'!K130-SUM('Expenditures 15-22'!G130,'Expenditures 15-22'!I130)+'Expenditures 15-22'!K185-SUM('Expenditures 15-22'!G185,'Expenditures 15-22'!I185)+'Expenditures 15-22'!D280</f>
        <v>158098</v>
      </c>
    </row>
    <row r="40" spans="1:7" ht="12" customHeight="1">
      <c r="A40" s="967" t="s">
        <v>1795</v>
      </c>
      <c r="B40" s="968"/>
      <c r="C40" s="970"/>
      <c r="D40" s="1709"/>
      <c r="E40" s="1713">
        <f>-'Contracts Paid in CY 29'!G31</f>
        <v>-1399543</v>
      </c>
      <c r="F40" s="1709"/>
      <c r="G40" s="1713">
        <f>-'Contracts Paid in CY 29'!G31</f>
        <v>-1399543</v>
      </c>
    </row>
    <row r="41" spans="1:7" ht="12" customHeight="1">
      <c r="A41" s="975" t="s">
        <v>156</v>
      </c>
      <c r="B41" s="976"/>
      <c r="C41" s="977"/>
      <c r="D41" s="1713">
        <f>SUM(D19:D39)</f>
        <v>5630593</v>
      </c>
      <c r="E41" s="1713">
        <f>SUM(E19:E40)</f>
        <v>83388844</v>
      </c>
      <c r="F41" s="1713">
        <f>SUM(F19:F39)</f>
        <v>14257989</v>
      </c>
      <c r="G41" s="1713">
        <f>SUM(G19:G40)</f>
        <v>74761448</v>
      </c>
    </row>
    <row r="42" spans="1:7">
      <c r="A42" s="964"/>
      <c r="B42" s="162"/>
      <c r="C42" s="978"/>
      <c r="D42" s="2313" t="s">
        <v>521</v>
      </c>
      <c r="E42" s="2314"/>
      <c r="F42" s="979" t="s">
        <v>522</v>
      </c>
      <c r="G42" s="980"/>
    </row>
    <row r="43" spans="1:7" ht="12" customHeight="1">
      <c r="A43" s="964"/>
      <c r="B43" s="162"/>
      <c r="C43" s="978"/>
      <c r="D43" s="1714" t="s">
        <v>472</v>
      </c>
      <c r="E43" s="1715">
        <f>D41</f>
        <v>5630593</v>
      </c>
      <c r="F43" s="1714" t="s">
        <v>472</v>
      </c>
      <c r="G43" s="1715">
        <f>F41</f>
        <v>14257989</v>
      </c>
    </row>
    <row r="44" spans="1:7" ht="12" customHeight="1">
      <c r="A44" s="964"/>
      <c r="B44" s="162"/>
      <c r="C44" s="978"/>
      <c r="D44" s="1714" t="s">
        <v>473</v>
      </c>
      <c r="E44" s="1715">
        <f>E41</f>
        <v>83388844</v>
      </c>
      <c r="F44" s="1714" t="s">
        <v>473</v>
      </c>
      <c r="G44" s="1715">
        <f>G41</f>
        <v>74761448</v>
      </c>
    </row>
    <row r="45" spans="1:7" ht="12" customHeight="1">
      <c r="A45" s="964"/>
      <c r="B45" s="162"/>
      <c r="C45" s="162"/>
      <c r="D45" s="1716" t="s">
        <v>1005</v>
      </c>
      <c r="E45" s="1717">
        <f>(E43/E44)</f>
        <v>6.752213761351579E-2</v>
      </c>
      <c r="F45" s="1716" t="s">
        <v>1005</v>
      </c>
      <c r="G45" s="1717">
        <f>(G43/G44)</f>
        <v>0.19071311994920162</v>
      </c>
    </row>
    <row r="46" spans="1:7">
      <c r="A46" s="981"/>
      <c r="B46" s="982"/>
      <c r="C46" s="982"/>
      <c r="D46" s="983"/>
      <c r="E46" s="984"/>
      <c r="F46" s="983"/>
      <c r="G46" s="98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8" activePane="bottomLeft" state="frozen"/>
      <selection activeCell="A4" sqref="A4:F4"/>
      <selection pane="bottomLeft" activeCell="A4" sqref="A4:F4"/>
    </sheetView>
  </sheetViews>
  <sheetFormatPr defaultColWidth="9.140625" defaultRowHeight="12.75"/>
  <cols>
    <col min="1" max="1" width="54.5703125" style="1782" customWidth="1"/>
    <col min="2" max="2" width="4.140625" style="1782" customWidth="1"/>
    <col min="3" max="4" width="9.85546875" style="1753" customWidth="1"/>
    <col min="5" max="5" width="12.5703125" style="1783" customWidth="1"/>
    <col min="6" max="6" width="67.5703125" style="1753" customWidth="1"/>
    <col min="7" max="7" width="9.140625" style="1753" customWidth="1"/>
    <col min="8" max="8" width="5.5703125" style="1784" bestFit="1" customWidth="1"/>
    <col min="9" max="10" width="2" style="1784" bestFit="1" customWidth="1"/>
    <col min="11" max="11" width="9" style="1784" customWidth="1"/>
    <col min="12" max="16384" width="9.140625" style="1753"/>
  </cols>
  <sheetData>
    <row r="1" spans="1:10">
      <c r="A1" s="2332" t="s">
        <v>1376</v>
      </c>
      <c r="B1" s="2332"/>
      <c r="C1" s="2332"/>
      <c r="D1" s="2332"/>
      <c r="E1" s="2332"/>
      <c r="F1" s="2332"/>
    </row>
    <row r="2" spans="1:10">
      <c r="A2" s="1793" t="s">
        <v>1883</v>
      </c>
      <c r="B2" s="1754"/>
      <c r="C2" s="1793"/>
      <c r="D2" s="1754"/>
      <c r="E2" s="1754"/>
      <c r="F2" s="1755"/>
    </row>
    <row r="3" spans="1:10">
      <c r="A3" s="1793" t="s">
        <v>1949</v>
      </c>
      <c r="B3" s="1754"/>
      <c r="C3" s="1793"/>
      <c r="D3" s="1754"/>
      <c r="E3" s="1754"/>
      <c r="F3" s="1755"/>
    </row>
    <row r="4" spans="1:10" ht="3.75" customHeight="1">
      <c r="A4" s="1754"/>
      <c r="B4" s="1754"/>
      <c r="C4" s="1754"/>
      <c r="D4" s="1754"/>
      <c r="E4" s="1754"/>
      <c r="F4" s="1755"/>
    </row>
    <row r="5" spans="1:10" ht="15">
      <c r="A5" s="2333" t="s">
        <v>1543</v>
      </c>
      <c r="B5" s="2334"/>
      <c r="C5" s="2335"/>
      <c r="D5" s="2335"/>
      <c r="E5" s="2335"/>
      <c r="F5" s="2335"/>
    </row>
    <row r="6" spans="1:10" ht="12" customHeight="1">
      <c r="A6" s="1756"/>
      <c r="B6" s="1757"/>
      <c r="C6" s="2336" t="str">
        <f>COVER!A17</f>
        <v>Joliet Twp HSD 204</v>
      </c>
      <c r="D6" s="2336"/>
      <c r="E6" s="2336"/>
      <c r="F6" s="1758"/>
    </row>
    <row r="7" spans="1:10" ht="11.25" customHeight="1" thickBot="1">
      <c r="A7" s="1756"/>
      <c r="B7" s="1757"/>
      <c r="C7" s="2337">
        <f>COVER!A13</f>
        <v>56099204017</v>
      </c>
      <c r="D7" s="2337"/>
      <c r="E7" s="2337"/>
      <c r="F7" s="1758"/>
    </row>
    <row r="8" spans="1:10" ht="25.5" customHeight="1" thickBot="1">
      <c r="A8" s="1799" t="s">
        <v>1879</v>
      </c>
      <c r="B8" s="1759"/>
      <c r="C8" s="1795" t="s">
        <v>1674</v>
      </c>
      <c r="D8" s="1794" t="s">
        <v>1675</v>
      </c>
      <c r="E8" s="1796" t="s">
        <v>1377</v>
      </c>
      <c r="F8" s="1794" t="s">
        <v>1676</v>
      </c>
      <c r="H8" s="1760" t="b">
        <v>0</v>
      </c>
    </row>
    <row r="9" spans="1:10" ht="15.75" customHeight="1">
      <c r="A9" s="1761" t="s">
        <v>1539</v>
      </c>
      <c r="B9" s="1762"/>
      <c r="C9" s="1763"/>
      <c r="D9" s="1763"/>
      <c r="E9" s="1764"/>
      <c r="F9" s="1765"/>
    </row>
    <row r="10" spans="1:10" ht="27.75" customHeight="1">
      <c r="A10" s="1766" t="s">
        <v>1673</v>
      </c>
      <c r="B10" s="1767"/>
      <c r="C10" s="1768"/>
      <c r="D10" s="1768"/>
      <c r="E10" s="1797" t="s">
        <v>1378</v>
      </c>
      <c r="F10" s="1798" t="s">
        <v>1379</v>
      </c>
    </row>
    <row r="11" spans="1:10" ht="12" customHeight="1">
      <c r="A11" s="1769" t="s">
        <v>1380</v>
      </c>
      <c r="B11" s="1770"/>
      <c r="C11" s="1771"/>
      <c r="D11" s="1771"/>
      <c r="E11" s="1772"/>
      <c r="F11" s="1773"/>
      <c r="H11" s="1784">
        <f>IF(C11="X",5,0)</f>
        <v>0</v>
      </c>
      <c r="I11" s="1784">
        <f>IF(D11="X",5,0)</f>
        <v>0</v>
      </c>
      <c r="J11" s="1784">
        <f>IF(E11="X",5,0)</f>
        <v>0</v>
      </c>
    </row>
    <row r="12" spans="1:10" ht="12" customHeight="1">
      <c r="A12" s="1769" t="s">
        <v>1381</v>
      </c>
      <c r="B12" s="1770"/>
      <c r="C12" s="1771"/>
      <c r="D12" s="1771"/>
      <c r="E12" s="1774"/>
      <c r="F12" s="1773"/>
      <c r="H12" s="1784">
        <f t="shared" ref="H12:H33" si="0">IF(C12="X",5,0)</f>
        <v>0</v>
      </c>
      <c r="I12" s="1784">
        <f t="shared" ref="I12:I33" si="1">IF(D12="X",5,0)</f>
        <v>0</v>
      </c>
      <c r="J12" s="1784">
        <f t="shared" ref="J12:J33" si="2">IF(E12="X",5,0)</f>
        <v>0</v>
      </c>
    </row>
    <row r="13" spans="1:10" ht="12" customHeight="1">
      <c r="A13" s="1769" t="s">
        <v>1382</v>
      </c>
      <c r="B13" s="1770"/>
      <c r="C13" s="1771"/>
      <c r="D13" s="1771"/>
      <c r="E13" s="1774"/>
      <c r="F13" s="1773"/>
      <c r="H13" s="1784">
        <f t="shared" si="0"/>
        <v>0</v>
      </c>
      <c r="I13" s="1784">
        <f t="shared" si="1"/>
        <v>0</v>
      </c>
      <c r="J13" s="1784">
        <f t="shared" si="2"/>
        <v>0</v>
      </c>
    </row>
    <row r="14" spans="1:10" ht="12" customHeight="1">
      <c r="A14" s="1769" t="s">
        <v>1383</v>
      </c>
      <c r="B14" s="1770"/>
      <c r="C14" s="1771"/>
      <c r="D14" s="1771"/>
      <c r="E14" s="1774"/>
      <c r="F14" s="1773"/>
      <c r="H14" s="1784">
        <f t="shared" si="0"/>
        <v>0</v>
      </c>
      <c r="I14" s="1784">
        <f t="shared" si="1"/>
        <v>0</v>
      </c>
      <c r="J14" s="1784">
        <f t="shared" si="2"/>
        <v>0</v>
      </c>
    </row>
    <row r="15" spans="1:10" ht="12" customHeight="1">
      <c r="A15" s="1769" t="s">
        <v>1384</v>
      </c>
      <c r="B15" s="1770"/>
      <c r="C15" s="1771"/>
      <c r="D15" s="1771"/>
      <c r="E15" s="1774"/>
      <c r="F15" s="1773"/>
      <c r="H15" s="1784">
        <f t="shared" si="0"/>
        <v>0</v>
      </c>
      <c r="I15" s="1784">
        <f t="shared" si="1"/>
        <v>0</v>
      </c>
      <c r="J15" s="1784">
        <f t="shared" si="2"/>
        <v>0</v>
      </c>
    </row>
    <row r="16" spans="1:10" ht="12" customHeight="1">
      <c r="A16" s="1769" t="s">
        <v>1385</v>
      </c>
      <c r="B16" s="1770"/>
      <c r="C16" s="1771"/>
      <c r="D16" s="1771"/>
      <c r="E16" s="1774"/>
      <c r="F16" s="1773"/>
      <c r="H16" s="1784">
        <f t="shared" si="0"/>
        <v>0</v>
      </c>
      <c r="I16" s="1784">
        <f t="shared" si="1"/>
        <v>0</v>
      </c>
      <c r="J16" s="1784">
        <f t="shared" si="2"/>
        <v>0</v>
      </c>
    </row>
    <row r="17" spans="1:12" ht="12" customHeight="1">
      <c r="A17" s="1769" t="s">
        <v>1386</v>
      </c>
      <c r="B17" s="1770"/>
      <c r="C17" s="1771"/>
      <c r="D17" s="1771"/>
      <c r="E17" s="1774"/>
      <c r="F17" s="1773"/>
      <c r="H17" s="1784">
        <f t="shared" si="0"/>
        <v>0</v>
      </c>
      <c r="I17" s="1784">
        <f t="shared" si="1"/>
        <v>0</v>
      </c>
      <c r="J17" s="1784">
        <f t="shared" si="2"/>
        <v>0</v>
      </c>
    </row>
    <row r="18" spans="1:12" ht="12" customHeight="1">
      <c r="A18" s="1769" t="s">
        <v>1387</v>
      </c>
      <c r="B18" s="1770"/>
      <c r="C18" s="1771"/>
      <c r="D18" s="1771"/>
      <c r="E18" s="1774"/>
      <c r="F18" s="1773"/>
      <c r="H18" s="1784">
        <f t="shared" si="0"/>
        <v>0</v>
      </c>
      <c r="I18" s="1784">
        <f t="shared" si="1"/>
        <v>0</v>
      </c>
      <c r="J18" s="1784">
        <f t="shared" si="2"/>
        <v>0</v>
      </c>
    </row>
    <row r="19" spans="1:12" ht="12" customHeight="1">
      <c r="A19" s="1769" t="s">
        <v>1524</v>
      </c>
      <c r="B19" s="1770"/>
      <c r="C19" s="1771" t="s">
        <v>2095</v>
      </c>
      <c r="D19" s="1771" t="s">
        <v>2095</v>
      </c>
      <c r="E19" s="1774" t="s">
        <v>2095</v>
      </c>
      <c r="F19" s="1969" t="s">
        <v>2115</v>
      </c>
      <c r="H19" s="1784">
        <f t="shared" si="0"/>
        <v>5</v>
      </c>
      <c r="I19" s="1784">
        <f t="shared" si="1"/>
        <v>5</v>
      </c>
      <c r="J19" s="1784">
        <f t="shared" si="2"/>
        <v>5</v>
      </c>
    </row>
    <row r="20" spans="1:12" ht="12" customHeight="1">
      <c r="A20" s="1769" t="s">
        <v>1525</v>
      </c>
      <c r="B20" s="1770"/>
      <c r="C20" s="1771" t="s">
        <v>2095</v>
      </c>
      <c r="D20" s="1771" t="s">
        <v>2095</v>
      </c>
      <c r="E20" s="1774" t="s">
        <v>2095</v>
      </c>
      <c r="F20" s="1970" t="s">
        <v>2116</v>
      </c>
      <c r="H20" s="1784">
        <f t="shared" si="0"/>
        <v>5</v>
      </c>
      <c r="I20" s="1784">
        <f t="shared" si="1"/>
        <v>5</v>
      </c>
      <c r="J20" s="1784">
        <f t="shared" si="2"/>
        <v>5</v>
      </c>
    </row>
    <row r="21" spans="1:12" ht="12" customHeight="1">
      <c r="A21" s="1769" t="s">
        <v>1526</v>
      </c>
      <c r="B21" s="1770"/>
      <c r="C21" s="1771" t="s">
        <v>2095</v>
      </c>
      <c r="D21" s="1771" t="s">
        <v>2095</v>
      </c>
      <c r="E21" s="1774" t="s">
        <v>2095</v>
      </c>
      <c r="F21" s="1970" t="s">
        <v>2117</v>
      </c>
      <c r="H21" s="1784">
        <f t="shared" si="0"/>
        <v>5</v>
      </c>
      <c r="I21" s="1784">
        <f t="shared" si="1"/>
        <v>5</v>
      </c>
      <c r="J21" s="1784">
        <f t="shared" si="2"/>
        <v>5</v>
      </c>
    </row>
    <row r="22" spans="1:12" ht="12" customHeight="1">
      <c r="A22" s="1769" t="s">
        <v>1527</v>
      </c>
      <c r="B22" s="1770"/>
      <c r="C22" s="1771"/>
      <c r="D22" s="1771"/>
      <c r="E22" s="1774"/>
      <c r="F22" s="1915"/>
      <c r="H22" s="1784">
        <f t="shared" si="0"/>
        <v>0</v>
      </c>
      <c r="I22" s="1784">
        <f t="shared" si="1"/>
        <v>0</v>
      </c>
      <c r="J22" s="1784">
        <f t="shared" si="2"/>
        <v>0</v>
      </c>
    </row>
    <row r="23" spans="1:12" ht="12" customHeight="1">
      <c r="A23" s="1769" t="s">
        <v>1528</v>
      </c>
      <c r="B23" s="1770"/>
      <c r="C23" s="1771"/>
      <c r="D23" s="1771"/>
      <c r="E23" s="1774"/>
      <c r="F23" s="1915"/>
      <c r="H23" s="1784">
        <f t="shared" si="0"/>
        <v>0</v>
      </c>
      <c r="I23" s="1784">
        <f t="shared" si="1"/>
        <v>0</v>
      </c>
      <c r="J23" s="1784">
        <f t="shared" si="2"/>
        <v>0</v>
      </c>
    </row>
    <row r="24" spans="1:12" ht="12" customHeight="1">
      <c r="A24" s="1769" t="s">
        <v>1529</v>
      </c>
      <c r="B24" s="1770"/>
      <c r="C24" s="1771"/>
      <c r="D24" s="1771"/>
      <c r="E24" s="1774"/>
      <c r="F24" s="1915"/>
      <c r="H24" s="1784">
        <f t="shared" si="0"/>
        <v>0</v>
      </c>
      <c r="I24" s="1784">
        <f t="shared" si="1"/>
        <v>0</v>
      </c>
      <c r="J24" s="1784">
        <f t="shared" si="2"/>
        <v>0</v>
      </c>
    </row>
    <row r="25" spans="1:12" ht="12" customHeight="1">
      <c r="A25" s="1769" t="s">
        <v>1530</v>
      </c>
      <c r="B25" s="1770"/>
      <c r="C25" s="1771"/>
      <c r="D25" s="1771"/>
      <c r="E25" s="1774"/>
      <c r="F25" s="1915"/>
      <c r="H25" s="1784">
        <f t="shared" si="0"/>
        <v>0</v>
      </c>
      <c r="I25" s="1784">
        <f t="shared" si="1"/>
        <v>0</v>
      </c>
      <c r="J25" s="1784">
        <f t="shared" si="2"/>
        <v>0</v>
      </c>
    </row>
    <row r="26" spans="1:12" ht="12" customHeight="1">
      <c r="A26" s="1769" t="s">
        <v>1531</v>
      </c>
      <c r="B26" s="1770"/>
      <c r="C26" s="1771"/>
      <c r="D26" s="1771"/>
      <c r="E26" s="1774"/>
      <c r="F26" s="1915"/>
      <c r="H26" s="1784">
        <f t="shared" si="0"/>
        <v>0</v>
      </c>
      <c r="I26" s="1784">
        <f t="shared" si="1"/>
        <v>0</v>
      </c>
      <c r="J26" s="1784">
        <f t="shared" si="2"/>
        <v>0</v>
      </c>
    </row>
    <row r="27" spans="1:12" ht="18.75">
      <c r="A27" s="1769" t="s">
        <v>1532</v>
      </c>
      <c r="B27" s="1770"/>
      <c r="C27" s="1771"/>
      <c r="D27" s="1771"/>
      <c r="E27" s="1774"/>
      <c r="F27" s="1915"/>
      <c r="H27" s="1784">
        <f t="shared" si="0"/>
        <v>0</v>
      </c>
      <c r="I27" s="1784">
        <f t="shared" si="1"/>
        <v>0</v>
      </c>
      <c r="J27" s="1784">
        <f t="shared" si="2"/>
        <v>0</v>
      </c>
    </row>
    <row r="28" spans="1:12" ht="12" customHeight="1">
      <c r="A28" s="1769" t="s">
        <v>1533</v>
      </c>
      <c r="B28" s="1770"/>
      <c r="C28" s="1771"/>
      <c r="D28" s="1771"/>
      <c r="E28" s="1774"/>
      <c r="F28" s="1915"/>
      <c r="H28" s="1784">
        <f t="shared" si="0"/>
        <v>0</v>
      </c>
      <c r="I28" s="1784">
        <f t="shared" si="1"/>
        <v>0</v>
      </c>
      <c r="J28" s="1784">
        <f t="shared" si="2"/>
        <v>0</v>
      </c>
    </row>
    <row r="29" spans="1:12" ht="12" customHeight="1">
      <c r="A29" s="1769" t="s">
        <v>1534</v>
      </c>
      <c r="B29" s="1770"/>
      <c r="C29" s="1771"/>
      <c r="D29" s="1771"/>
      <c r="E29" s="1774"/>
      <c r="F29" s="1915"/>
      <c r="H29" s="1784">
        <f t="shared" si="0"/>
        <v>0</v>
      </c>
      <c r="I29" s="1784">
        <f t="shared" si="1"/>
        <v>0</v>
      </c>
      <c r="J29" s="1784">
        <f t="shared" si="2"/>
        <v>0</v>
      </c>
    </row>
    <row r="30" spans="1:12" ht="12" customHeight="1">
      <c r="A30" s="1769" t="s">
        <v>1535</v>
      </c>
      <c r="B30" s="1770"/>
      <c r="C30" s="1771"/>
      <c r="D30" s="1771"/>
      <c r="E30" s="1774"/>
      <c r="F30" s="1915"/>
      <c r="H30" s="1784">
        <f t="shared" si="0"/>
        <v>0</v>
      </c>
      <c r="I30" s="1784">
        <f t="shared" si="1"/>
        <v>0</v>
      </c>
      <c r="J30" s="1784">
        <f t="shared" si="2"/>
        <v>0</v>
      </c>
    </row>
    <row r="31" spans="1:12" ht="12" customHeight="1">
      <c r="A31" s="1769" t="s">
        <v>1536</v>
      </c>
      <c r="B31" s="1770"/>
      <c r="C31" s="1771" t="s">
        <v>2095</v>
      </c>
      <c r="D31" s="1771" t="s">
        <v>2095</v>
      </c>
      <c r="E31" s="1774" t="s">
        <v>2095</v>
      </c>
      <c r="F31" s="1970" t="s">
        <v>2118</v>
      </c>
      <c r="H31" s="1784">
        <f t="shared" si="0"/>
        <v>5</v>
      </c>
      <c r="I31" s="1784">
        <f t="shared" si="1"/>
        <v>5</v>
      </c>
      <c r="J31" s="1784">
        <f t="shared" si="2"/>
        <v>5</v>
      </c>
      <c r="L31" s="1775"/>
    </row>
    <row r="32" spans="1:12" ht="12" customHeight="1">
      <c r="A32" s="1769" t="s">
        <v>1537</v>
      </c>
      <c r="B32" s="1770"/>
      <c r="C32" s="1911"/>
      <c r="D32" s="1911"/>
      <c r="E32" s="1910"/>
      <c r="F32" s="1773"/>
      <c r="H32" s="1784">
        <f t="shared" si="0"/>
        <v>0</v>
      </c>
      <c r="I32" s="1784">
        <f t="shared" si="1"/>
        <v>0</v>
      </c>
      <c r="J32" s="1784">
        <f t="shared" si="2"/>
        <v>0</v>
      </c>
    </row>
    <row r="33" spans="1:11" ht="12" customHeight="1">
      <c r="A33" s="1769" t="s">
        <v>1538</v>
      </c>
      <c r="B33" s="1770"/>
      <c r="C33" s="1771"/>
      <c r="D33" s="1771"/>
      <c r="E33" s="1774"/>
      <c r="F33" s="1773"/>
      <c r="H33" s="1784">
        <f t="shared" si="0"/>
        <v>0</v>
      </c>
      <c r="I33" s="1784">
        <f t="shared" si="1"/>
        <v>0</v>
      </c>
      <c r="J33" s="1784">
        <f t="shared" si="2"/>
        <v>0</v>
      </c>
    </row>
    <row r="34" spans="1:11" ht="12" customHeight="1">
      <c r="A34" s="1776"/>
      <c r="B34" s="1776"/>
      <c r="C34" s="1776"/>
      <c r="D34" s="1776"/>
      <c r="E34" s="1776"/>
      <c r="F34" s="1776"/>
      <c r="H34" s="1784">
        <f>SUM(H11:H32)</f>
        <v>20</v>
      </c>
      <c r="I34" s="1784">
        <f>SUM(I11:I32)</f>
        <v>20</v>
      </c>
      <c r="J34" s="1784">
        <f>SUM(J11:J32)</f>
        <v>20</v>
      </c>
      <c r="K34" s="1784">
        <f>SUM(H34:J34)</f>
        <v>60</v>
      </c>
    </row>
    <row r="35" spans="1:11" ht="12" customHeight="1">
      <c r="A35" s="1777" t="s">
        <v>1389</v>
      </c>
      <c r="B35" s="1778"/>
      <c r="C35" s="2338"/>
      <c r="D35" s="2338"/>
      <c r="E35" s="2338"/>
      <c r="F35" s="2339"/>
    </row>
    <row r="36" spans="1:11" ht="12" customHeight="1">
      <c r="A36" s="2321"/>
      <c r="B36" s="2322"/>
      <c r="C36" s="2322"/>
      <c r="D36" s="2322"/>
      <c r="E36" s="2322"/>
      <c r="F36" s="2323"/>
    </row>
    <row r="37" spans="1:11" ht="12" customHeight="1">
      <c r="A37" s="2321"/>
      <c r="B37" s="2322"/>
      <c r="C37" s="2322"/>
      <c r="D37" s="2322"/>
      <c r="E37" s="2322"/>
      <c r="F37" s="2323"/>
    </row>
    <row r="38" spans="1:11" ht="12" customHeight="1">
      <c r="A38" s="2324"/>
      <c r="B38" s="2325"/>
      <c r="C38" s="2325"/>
      <c r="D38" s="2325"/>
      <c r="E38" s="2325"/>
      <c r="F38" s="2326"/>
    </row>
    <row r="39" spans="1:11" ht="4.5" hidden="1" customHeight="1">
      <c r="A39" s="1779"/>
      <c r="B39" s="1779"/>
      <c r="C39" s="1779"/>
      <c r="D39" s="1779"/>
      <c r="E39" s="1779"/>
      <c r="F39" s="1779"/>
    </row>
    <row r="40" spans="1:11" s="1776" customFormat="1" ht="12" customHeight="1">
      <c r="A40" s="1780" t="s">
        <v>1388</v>
      </c>
      <c r="B40" s="1781"/>
      <c r="C40" s="2327"/>
      <c r="D40" s="2327"/>
      <c r="E40" s="2327"/>
      <c r="F40" s="2328"/>
      <c r="H40" s="1785"/>
      <c r="I40" s="1785"/>
      <c r="J40" s="1785"/>
      <c r="K40" s="1785"/>
    </row>
    <row r="41" spans="1:11" s="1776" customFormat="1" ht="12" customHeight="1">
      <c r="A41" s="2329"/>
      <c r="B41" s="2330"/>
      <c r="C41" s="2330"/>
      <c r="D41" s="2330"/>
      <c r="E41" s="2330"/>
      <c r="F41" s="2331"/>
      <c r="H41" s="1785"/>
      <c r="I41" s="1785"/>
      <c r="J41" s="1785"/>
      <c r="K41" s="1785"/>
    </row>
    <row r="42" spans="1:11" s="1776" customFormat="1" ht="12" customHeight="1">
      <c r="A42" s="2329"/>
      <c r="B42" s="2330"/>
      <c r="C42" s="2330"/>
      <c r="D42" s="2330"/>
      <c r="E42" s="2330"/>
      <c r="F42" s="2331"/>
      <c r="H42" s="1785"/>
      <c r="I42" s="1785"/>
      <c r="J42" s="1785"/>
      <c r="K42" s="1785"/>
    </row>
    <row r="43" spans="1:11" s="1776" customFormat="1" ht="15">
      <c r="A43" s="2318"/>
      <c r="B43" s="2319"/>
      <c r="C43" s="2319"/>
      <c r="D43" s="2319"/>
      <c r="E43" s="2319"/>
      <c r="F43" s="2320"/>
      <c r="H43" s="1785"/>
      <c r="I43" s="1785"/>
      <c r="J43" s="1785"/>
      <c r="K43" s="1785"/>
    </row>
    <row r="44" spans="1:11" s="1776" customFormat="1" ht="12" hidden="1" customHeight="1">
      <c r="A44" s="2318"/>
      <c r="B44" s="2319"/>
      <c r="C44" s="2319"/>
      <c r="D44" s="2319"/>
      <c r="E44" s="2319"/>
      <c r="F44" s="2320"/>
      <c r="H44" s="1785"/>
      <c r="I44" s="1785"/>
      <c r="J44" s="1785"/>
      <c r="K44" s="1785"/>
    </row>
    <row r="45" spans="1:11" s="1776" customFormat="1" ht="12" customHeight="1">
      <c r="H45" s="1785"/>
      <c r="I45" s="1785"/>
      <c r="J45" s="1785"/>
      <c r="K45" s="1785"/>
    </row>
    <row r="46" spans="1:11" s="1776" customFormat="1" ht="9.75" customHeight="1">
      <c r="H46" s="1785"/>
      <c r="I46" s="1785"/>
      <c r="J46" s="1785"/>
      <c r="K46" s="1785"/>
    </row>
    <row r="47" spans="1:11" s="1776" customFormat="1" ht="13.5" customHeight="1">
      <c r="H47" s="1785"/>
      <c r="I47" s="1785"/>
      <c r="J47" s="1785"/>
      <c r="K47" s="1785"/>
    </row>
    <row r="48" spans="1:11" s="1776" customFormat="1" ht="15">
      <c r="H48" s="1785"/>
      <c r="I48" s="1785"/>
      <c r="J48" s="1785"/>
      <c r="K48" s="1785"/>
    </row>
    <row r="49" spans="1:11" s="1776" customFormat="1" ht="15" hidden="1">
      <c r="A49" s="1776" t="b">
        <v>0</v>
      </c>
      <c r="H49" s="1785"/>
      <c r="I49" s="1785"/>
      <c r="J49" s="1785"/>
      <c r="K49" s="1785"/>
    </row>
    <row r="50" spans="1:11" s="1776" customFormat="1" ht="15">
      <c r="H50" s="1785"/>
      <c r="I50" s="1785"/>
      <c r="J50" s="1785"/>
      <c r="K50" s="1785"/>
    </row>
    <row r="51" spans="1:11" s="1776" customFormat="1" ht="15">
      <c r="H51" s="1785"/>
      <c r="I51" s="1785"/>
      <c r="J51" s="1785"/>
      <c r="K51" s="1785"/>
    </row>
    <row r="52" spans="1:11" s="1776" customFormat="1" ht="15">
      <c r="H52" s="1785"/>
      <c r="I52" s="1785"/>
      <c r="J52" s="1785"/>
      <c r="K52" s="1785"/>
    </row>
    <row r="53" spans="1:11" s="1776" customFormat="1" ht="15">
      <c r="H53" s="1785"/>
      <c r="I53" s="1785"/>
      <c r="J53" s="1785"/>
      <c r="K53" s="1785"/>
    </row>
    <row r="54" spans="1:11" s="1776" customFormat="1" ht="15">
      <c r="H54" s="1785"/>
      <c r="I54" s="1785"/>
      <c r="J54" s="1785"/>
      <c r="K54" s="1785"/>
    </row>
    <row r="55" spans="1:11" s="1776" customFormat="1" ht="15">
      <c r="H55" s="1785"/>
      <c r="I55" s="1785"/>
      <c r="J55" s="1785"/>
      <c r="K55" s="1785"/>
    </row>
    <row r="56" spans="1:11" s="1776" customFormat="1" ht="15">
      <c r="H56" s="1785"/>
      <c r="I56" s="1785"/>
      <c r="J56" s="1785"/>
      <c r="K56" s="1785"/>
    </row>
    <row r="57" spans="1:11" s="1776" customFormat="1" ht="15">
      <c r="H57" s="1785"/>
      <c r="I57" s="1785"/>
      <c r="J57" s="1785"/>
      <c r="K57" s="1785"/>
    </row>
    <row r="58" spans="1:11" s="1776" customFormat="1" ht="15">
      <c r="H58" s="1785"/>
      <c r="I58" s="1785"/>
      <c r="J58" s="1785"/>
      <c r="K58" s="1785"/>
    </row>
    <row r="59" spans="1:11" s="1776" customFormat="1" ht="15">
      <c r="H59" s="1785"/>
      <c r="I59" s="1785"/>
      <c r="J59" s="1785"/>
      <c r="K59" s="1785"/>
    </row>
    <row r="60" spans="1:11" s="1776" customFormat="1" ht="15">
      <c r="H60" s="1785"/>
      <c r="I60" s="1785"/>
      <c r="J60" s="1785"/>
      <c r="K60" s="1785"/>
    </row>
    <row r="61" spans="1:11" s="1776" customFormat="1" ht="15">
      <c r="H61" s="1785"/>
      <c r="I61" s="1785"/>
      <c r="J61" s="1785"/>
      <c r="K61" s="1785"/>
    </row>
    <row r="62" spans="1:11" s="1776" customFormat="1" ht="15">
      <c r="H62" s="1785"/>
      <c r="I62" s="1785"/>
      <c r="J62" s="1785"/>
      <c r="K62" s="1785"/>
    </row>
    <row r="63" spans="1:11" s="1776" customFormat="1" ht="15">
      <c r="H63" s="1785"/>
      <c r="I63" s="1785"/>
      <c r="J63" s="1785"/>
      <c r="K63" s="1785"/>
    </row>
    <row r="64" spans="1:11" s="1776" customFormat="1" ht="15">
      <c r="H64" s="1785"/>
      <c r="I64" s="1785"/>
      <c r="J64" s="1785"/>
      <c r="K64" s="1785"/>
    </row>
    <row r="65" spans="8:11" s="1776" customFormat="1" ht="15">
      <c r="H65" s="1785"/>
      <c r="I65" s="1785"/>
      <c r="J65" s="1785"/>
      <c r="K65" s="1785"/>
    </row>
    <row r="66" spans="8:11" s="1776" customFormat="1" ht="15">
      <c r="H66" s="1785"/>
      <c r="I66" s="1785"/>
      <c r="J66" s="1785"/>
      <c r="K66" s="1785"/>
    </row>
    <row r="67" spans="8:11" s="1776" customFormat="1" ht="15">
      <c r="H67" s="1785"/>
      <c r="I67" s="1785"/>
      <c r="J67" s="1785"/>
      <c r="K67" s="1785"/>
    </row>
    <row r="68" spans="8:11" s="1776" customFormat="1" ht="15">
      <c r="H68" s="1785"/>
      <c r="I68" s="1785"/>
      <c r="J68" s="1785"/>
      <c r="K68" s="1785"/>
    </row>
    <row r="69" spans="8:11" s="1776" customFormat="1" ht="15">
      <c r="H69" s="1785"/>
      <c r="I69" s="1785"/>
      <c r="J69" s="1785"/>
      <c r="K69" s="1785"/>
    </row>
    <row r="70" spans="8:11" s="1776" customFormat="1" ht="15">
      <c r="H70" s="1785"/>
      <c r="I70" s="1785"/>
      <c r="J70" s="1785"/>
      <c r="K70" s="1785"/>
    </row>
    <row r="71" spans="8:11" s="1776" customFormat="1" ht="15">
      <c r="H71" s="1785"/>
      <c r="I71" s="1785"/>
      <c r="J71" s="1785"/>
      <c r="K71" s="1785"/>
    </row>
    <row r="72" spans="8:11" s="1776" customFormat="1" ht="15">
      <c r="H72" s="1785"/>
      <c r="I72" s="1785"/>
      <c r="J72" s="1785"/>
      <c r="K72" s="1785"/>
    </row>
    <row r="73" spans="8:11" s="1776" customFormat="1" ht="15">
      <c r="H73" s="1785"/>
      <c r="I73" s="1785"/>
      <c r="J73" s="1785"/>
      <c r="K73" s="1785"/>
    </row>
    <row r="74" spans="8:11" s="1776" customFormat="1" ht="15">
      <c r="H74" s="1785"/>
      <c r="I74" s="1785"/>
      <c r="J74" s="1785"/>
      <c r="K74" s="1785"/>
    </row>
    <row r="75" spans="8:11" s="1776" customFormat="1" ht="15">
      <c r="H75" s="1785"/>
      <c r="I75" s="1785"/>
      <c r="J75" s="1785"/>
      <c r="K75" s="1785"/>
    </row>
    <row r="76" spans="8:11" s="1776" customFormat="1" ht="15">
      <c r="H76" s="1785"/>
      <c r="I76" s="1785"/>
      <c r="J76" s="1785"/>
      <c r="K76" s="1785"/>
    </row>
    <row r="77" spans="8:11" s="1776" customFormat="1" ht="15">
      <c r="H77" s="1785"/>
      <c r="I77" s="1785"/>
      <c r="J77" s="1785"/>
      <c r="K77" s="1785"/>
    </row>
    <row r="78" spans="8:11" s="1776" customFormat="1" ht="15">
      <c r="H78" s="1785"/>
      <c r="I78" s="1785"/>
      <c r="J78" s="1785"/>
      <c r="K78" s="1785"/>
    </row>
    <row r="79" spans="8:11" s="1776" customFormat="1" ht="15">
      <c r="H79" s="1785"/>
      <c r="I79" s="1785"/>
      <c r="J79" s="1785"/>
      <c r="K79" s="1785"/>
    </row>
    <row r="80" spans="8:11" s="1776" customFormat="1" ht="15">
      <c r="H80" s="1785"/>
      <c r="I80" s="1785"/>
      <c r="J80" s="1785"/>
      <c r="K80" s="1785"/>
    </row>
    <row r="81" spans="8:11" s="1776" customFormat="1" ht="15">
      <c r="H81" s="1785"/>
      <c r="I81" s="1785"/>
      <c r="J81" s="1785"/>
      <c r="K81" s="1785"/>
    </row>
    <row r="82" spans="8:11" s="1776" customFormat="1" ht="15">
      <c r="H82" s="1785"/>
      <c r="I82" s="1785"/>
      <c r="J82" s="1785"/>
      <c r="K82" s="1785"/>
    </row>
    <row r="83" spans="8:11" s="1776" customFormat="1" ht="15">
      <c r="H83" s="1785"/>
      <c r="I83" s="1785"/>
      <c r="J83" s="1785"/>
      <c r="K83" s="1785"/>
    </row>
    <row r="84" spans="8:11" s="1776" customFormat="1" ht="15">
      <c r="H84" s="1785"/>
      <c r="I84" s="1785"/>
      <c r="J84" s="1785"/>
      <c r="K84" s="1785"/>
    </row>
    <row r="85" spans="8:11" s="1776" customFormat="1" ht="15">
      <c r="H85" s="1785"/>
      <c r="I85" s="1785"/>
      <c r="J85" s="1785"/>
      <c r="K85" s="1785"/>
    </row>
    <row r="86" spans="8:11" s="1776" customFormat="1" ht="15">
      <c r="H86" s="1785"/>
      <c r="I86" s="1785"/>
      <c r="J86" s="1785"/>
      <c r="K86" s="1785"/>
    </row>
    <row r="87" spans="8:11" s="1776" customFormat="1" ht="15">
      <c r="H87" s="1785"/>
      <c r="I87" s="1785"/>
      <c r="J87" s="1785"/>
      <c r="K87" s="1785"/>
    </row>
    <row r="88" spans="8:11" s="1776" customFormat="1" ht="15">
      <c r="H88" s="1785"/>
      <c r="I88" s="1785"/>
      <c r="J88" s="1785"/>
      <c r="K88" s="1785"/>
    </row>
    <row r="89" spans="8:11" s="1776" customFormat="1" ht="15">
      <c r="H89" s="1785"/>
      <c r="I89" s="1785"/>
      <c r="J89" s="1785"/>
      <c r="K89" s="1785"/>
    </row>
    <row r="90" spans="8:11" s="1776" customFormat="1" ht="15">
      <c r="H90" s="1785"/>
      <c r="I90" s="1785"/>
      <c r="J90" s="1785"/>
      <c r="K90" s="1785"/>
    </row>
    <row r="91" spans="8:11" s="1776" customFormat="1" ht="15">
      <c r="H91" s="1785"/>
      <c r="I91" s="1785"/>
      <c r="J91" s="1785"/>
      <c r="K91" s="1785"/>
    </row>
    <row r="92" spans="8:11" s="1776" customFormat="1" ht="15">
      <c r="H92" s="1785"/>
      <c r="I92" s="1785"/>
      <c r="J92" s="1785"/>
      <c r="K92" s="1785"/>
    </row>
    <row r="93" spans="8:11" s="1776" customFormat="1" ht="15">
      <c r="H93" s="1785"/>
      <c r="I93" s="1785"/>
      <c r="J93" s="1785"/>
      <c r="K93" s="1785"/>
    </row>
    <row r="94" spans="8:11" s="1776" customFormat="1" ht="15">
      <c r="H94" s="1785"/>
      <c r="I94" s="1785"/>
      <c r="J94" s="1785"/>
      <c r="K94" s="1785"/>
    </row>
    <row r="95" spans="8:11" s="1776" customFormat="1" ht="15">
      <c r="H95" s="1785"/>
      <c r="I95" s="1785"/>
      <c r="J95" s="1785"/>
      <c r="K95" s="1785"/>
    </row>
    <row r="96" spans="8:11" s="1776" customFormat="1" ht="15">
      <c r="H96" s="1785"/>
      <c r="I96" s="1785"/>
      <c r="J96" s="1785"/>
      <c r="K96" s="1785"/>
    </row>
    <row r="97" spans="8:11" s="1776" customFormat="1" ht="15">
      <c r="H97" s="1785"/>
      <c r="I97" s="1785"/>
      <c r="J97" s="1785"/>
      <c r="K97" s="1785"/>
    </row>
  </sheetData>
  <sheetProtection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A4" sqref="A4"/>
    </sheetView>
  </sheetViews>
  <sheetFormatPr defaultColWidth="9.140625" defaultRowHeight="12.75"/>
  <cols>
    <col min="1" max="1" width="3" style="987" customWidth="1"/>
    <col min="2" max="2" width="2.7109375" style="987" customWidth="1"/>
    <col min="3" max="3" width="38.5703125" style="987" customWidth="1"/>
    <col min="4" max="4" width="6.42578125" style="987" customWidth="1"/>
    <col min="5" max="10" width="15.7109375" style="987" customWidth="1"/>
    <col min="11" max="14" width="4.7109375" style="987" customWidth="1"/>
    <col min="15" max="16384" width="9.140625" style="987"/>
  </cols>
  <sheetData>
    <row r="1" spans="1:17" ht="11.85" customHeight="1">
      <c r="A1" s="985"/>
      <c r="B1" s="986"/>
      <c r="E1" s="988"/>
      <c r="F1" s="989" t="s">
        <v>404</v>
      </c>
      <c r="G1" s="990"/>
    </row>
    <row r="2" spans="1:17" ht="11.85" customHeight="1">
      <c r="A2" s="985"/>
      <c r="B2" s="986"/>
      <c r="E2" s="988"/>
      <c r="F2" s="991" t="s">
        <v>289</v>
      </c>
      <c r="G2" s="990"/>
    </row>
    <row r="3" spans="1:17" ht="11.85" customHeight="1">
      <c r="E3" s="988"/>
      <c r="F3" s="991" t="s">
        <v>405</v>
      </c>
      <c r="G3" s="988"/>
    </row>
    <row r="4" spans="1:17" ht="11.85" customHeight="1">
      <c r="E4" s="988"/>
      <c r="F4" s="991" t="s">
        <v>867</v>
      </c>
      <c r="G4" s="988"/>
    </row>
    <row r="5" spans="1:17" ht="12.2" customHeight="1">
      <c r="F5" s="991"/>
    </row>
    <row r="6" spans="1:17">
      <c r="A6" s="1800" t="s">
        <v>671</v>
      </c>
      <c r="B6" s="1551"/>
      <c r="C6" s="1551"/>
      <c r="D6" s="1551"/>
      <c r="E6" s="1552"/>
      <c r="F6" s="992"/>
      <c r="G6" s="986"/>
      <c r="H6" s="993" t="s">
        <v>1027</v>
      </c>
      <c r="I6" s="2345" t="str">
        <f>COVER!A17</f>
        <v>Joliet Twp HSD 204</v>
      </c>
      <c r="J6" s="2346"/>
      <c r="Q6" s="1572"/>
    </row>
    <row r="7" spans="1:17">
      <c r="A7" s="2347" t="s">
        <v>868</v>
      </c>
      <c r="B7" s="2348"/>
      <c r="C7" s="2348"/>
      <c r="D7" s="2348"/>
      <c r="E7" s="2349"/>
      <c r="F7" s="994"/>
      <c r="G7" s="986"/>
      <c r="H7" s="993" t="s">
        <v>371</v>
      </c>
      <c r="I7" s="2350">
        <f>COVER!A13</f>
        <v>56099204017</v>
      </c>
      <c r="J7" s="2350"/>
    </row>
    <row r="8" spans="1:17" ht="8.25" customHeight="1">
      <c r="A8" s="1553"/>
      <c r="B8" s="1554"/>
      <c r="C8" s="1554"/>
      <c r="D8" s="1554"/>
      <c r="E8" s="1555"/>
      <c r="F8" s="995"/>
      <c r="G8" s="996"/>
      <c r="H8" s="996"/>
      <c r="I8" s="996"/>
      <c r="J8" s="996"/>
    </row>
    <row r="9" spans="1:17" ht="13.5" customHeight="1">
      <c r="A9" s="997"/>
      <c r="B9" s="998"/>
      <c r="C9" s="998"/>
      <c r="D9" s="999"/>
      <c r="E9" s="1801" t="s">
        <v>1950</v>
      </c>
      <c r="F9" s="1000"/>
      <c r="G9" s="1000"/>
      <c r="H9" s="1802" t="s">
        <v>1951</v>
      </c>
      <c r="I9" s="1000"/>
      <c r="J9" s="1001"/>
    </row>
    <row r="10" spans="1:17" s="1009" customFormat="1" ht="13.5" customHeight="1">
      <c r="A10" s="1002"/>
      <c r="B10" s="1003"/>
      <c r="C10" s="1004"/>
      <c r="D10" s="1005"/>
      <c r="E10" s="1006" t="s">
        <v>424</v>
      </c>
      <c r="F10" s="1007" t="s">
        <v>425</v>
      </c>
      <c r="G10" s="1008"/>
      <c r="H10" s="1007" t="s">
        <v>424</v>
      </c>
      <c r="I10" s="1007" t="s">
        <v>425</v>
      </c>
      <c r="J10" s="1007"/>
    </row>
    <row r="11" spans="1:17" s="1009" customFormat="1" ht="22.5">
      <c r="A11" s="2351" t="s">
        <v>480</v>
      </c>
      <c r="B11" s="2352"/>
      <c r="C11" s="2353"/>
      <c r="D11" s="1010" t="s">
        <v>870</v>
      </c>
      <c r="E11" s="1010" t="s">
        <v>64</v>
      </c>
      <c r="F11" s="1010" t="s">
        <v>6</v>
      </c>
      <c r="G11" s="1011" t="s">
        <v>156</v>
      </c>
      <c r="H11" s="1011" t="s">
        <v>64</v>
      </c>
      <c r="I11" s="1010" t="s">
        <v>6</v>
      </c>
      <c r="J11" s="1011" t="s">
        <v>156</v>
      </c>
    </row>
    <row r="12" spans="1:17" ht="15" customHeight="1">
      <c r="A12" s="1012">
        <v>1</v>
      </c>
      <c r="B12" s="1013" t="s">
        <v>817</v>
      </c>
      <c r="C12" s="1014"/>
      <c r="D12" s="1015">
        <v>2320</v>
      </c>
      <c r="E12" s="1718">
        <f>'Expenditures 15-22'!K50</f>
        <v>501616</v>
      </c>
      <c r="F12" s="1016"/>
      <c r="G12" s="1718">
        <f t="shared" ref="G12:G18" si="0">SUM(E12:F12)</f>
        <v>501616</v>
      </c>
      <c r="H12" s="1017">
        <v>523045</v>
      </c>
      <c r="I12" s="1016"/>
      <c r="J12" s="1718">
        <f t="shared" ref="J12:J18" si="1">SUM(H12:I12)</f>
        <v>523045</v>
      </c>
    </row>
    <row r="13" spans="1:17" ht="15" customHeight="1">
      <c r="A13" s="1012">
        <v>2</v>
      </c>
      <c r="B13" s="1013" t="s">
        <v>42</v>
      </c>
      <c r="C13" s="1014"/>
      <c r="D13" s="1015">
        <v>2330</v>
      </c>
      <c r="E13" s="1718">
        <f>'Expenditures 15-22'!K51</f>
        <v>450</v>
      </c>
      <c r="F13" s="1016"/>
      <c r="G13" s="1718">
        <f t="shared" si="0"/>
        <v>450</v>
      </c>
      <c r="H13" s="1017">
        <v>500</v>
      </c>
      <c r="I13" s="1016"/>
      <c r="J13" s="1718">
        <f t="shared" si="1"/>
        <v>500</v>
      </c>
    </row>
    <row r="14" spans="1:17" ht="15" customHeight="1">
      <c r="A14" s="1012">
        <v>3</v>
      </c>
      <c r="B14" s="1013" t="s">
        <v>43</v>
      </c>
      <c r="C14" s="1014"/>
      <c r="D14" s="1018">
        <v>2490</v>
      </c>
      <c r="E14" s="1718">
        <f>'Expenditures 15-22'!K56</f>
        <v>0</v>
      </c>
      <c r="F14" s="1016"/>
      <c r="G14" s="1718">
        <f t="shared" si="0"/>
        <v>0</v>
      </c>
      <c r="H14" s="1017"/>
      <c r="I14" s="1016"/>
      <c r="J14" s="1718">
        <f t="shared" si="1"/>
        <v>0</v>
      </c>
    </row>
    <row r="15" spans="1:17" ht="15" customHeight="1">
      <c r="A15" s="1012">
        <v>4</v>
      </c>
      <c r="B15" s="1013" t="s">
        <v>1067</v>
      </c>
      <c r="C15" s="1014"/>
      <c r="D15" s="1015">
        <v>2510</v>
      </c>
      <c r="E15" s="1718">
        <f>'Expenditures 15-22'!K59</f>
        <v>246897</v>
      </c>
      <c r="F15" s="1718">
        <f>'Expenditures 15-22'!K122</f>
        <v>0</v>
      </c>
      <c r="G15" s="1718">
        <f t="shared" si="0"/>
        <v>246897</v>
      </c>
      <c r="H15" s="1017">
        <v>257116</v>
      </c>
      <c r="I15" s="1017"/>
      <c r="J15" s="1718">
        <f t="shared" si="1"/>
        <v>257116</v>
      </c>
    </row>
    <row r="16" spans="1:17" ht="15" customHeight="1">
      <c r="A16" s="1012">
        <v>5</v>
      </c>
      <c r="B16" s="1013" t="s">
        <v>101</v>
      </c>
      <c r="C16" s="1014"/>
      <c r="D16" s="1015">
        <v>2570</v>
      </c>
      <c r="E16" s="1718">
        <f>'Expenditures 15-22'!K64</f>
        <v>0</v>
      </c>
      <c r="F16" s="1016"/>
      <c r="G16" s="1718">
        <f t="shared" si="0"/>
        <v>0</v>
      </c>
      <c r="H16" s="1017"/>
      <c r="I16" s="1016"/>
      <c r="J16" s="1718">
        <f t="shared" si="1"/>
        <v>0</v>
      </c>
    </row>
    <row r="17" spans="1:10" ht="15" customHeight="1">
      <c r="A17" s="1012">
        <v>6</v>
      </c>
      <c r="B17" s="1013" t="s">
        <v>1059</v>
      </c>
      <c r="C17" s="1014"/>
      <c r="D17" s="1015">
        <v>2610</v>
      </c>
      <c r="E17" s="1718">
        <f>'Expenditures 15-22'!K67</f>
        <v>0</v>
      </c>
      <c r="F17" s="1016"/>
      <c r="G17" s="1718">
        <f t="shared" si="0"/>
        <v>0</v>
      </c>
      <c r="H17" s="1017"/>
      <c r="I17" s="1016"/>
      <c r="J17" s="1718">
        <f t="shared" si="1"/>
        <v>0</v>
      </c>
    </row>
    <row r="18" spans="1:10" ht="22.5" customHeight="1">
      <c r="A18" s="1019">
        <v>7</v>
      </c>
      <c r="B18" s="2354" t="s">
        <v>7</v>
      </c>
      <c r="C18" s="2355"/>
      <c r="D18" s="2356"/>
      <c r="E18" s="1020"/>
      <c r="F18" s="1020"/>
      <c r="G18" s="1719">
        <f t="shared" si="0"/>
        <v>0</v>
      </c>
      <c r="H18" s="1017"/>
      <c r="I18" s="1017"/>
      <c r="J18" s="1718">
        <f t="shared" si="1"/>
        <v>0</v>
      </c>
    </row>
    <row r="19" spans="1:10" ht="12.75" customHeight="1" thickBot="1">
      <c r="A19" s="1012">
        <v>8</v>
      </c>
      <c r="B19" s="1021" t="s">
        <v>1160</v>
      </c>
      <c r="D19" s="1022"/>
      <c r="E19" s="1720">
        <f t="shared" ref="E19:J19" si="2">SUM(E12:E17)-E18</f>
        <v>748963</v>
      </c>
      <c r="F19" s="1720">
        <f t="shared" si="2"/>
        <v>0</v>
      </c>
      <c r="G19" s="1720">
        <f t="shared" si="2"/>
        <v>748963</v>
      </c>
      <c r="H19" s="1720">
        <f t="shared" si="2"/>
        <v>780661</v>
      </c>
      <c r="I19" s="1720">
        <f t="shared" si="2"/>
        <v>0</v>
      </c>
      <c r="J19" s="1720">
        <f t="shared" si="2"/>
        <v>780661</v>
      </c>
    </row>
    <row r="20" spans="1:10" ht="13.5" thickTop="1">
      <c r="A20" s="1012">
        <v>9</v>
      </c>
      <c r="B20" s="2357" t="s">
        <v>1952</v>
      </c>
      <c r="C20" s="2357"/>
      <c r="D20" s="2358"/>
      <c r="E20" s="1023"/>
      <c r="F20" s="1023"/>
      <c r="G20" s="1023"/>
      <c r="H20" s="1023"/>
      <c r="I20" s="1023"/>
      <c r="J20" s="1721">
        <f>IF(AND(G19&gt;0,J19&gt;0),(((J19-G19)/G19)),"Enter Budget Data")</f>
        <v>4.2322517934797847E-2</v>
      </c>
    </row>
    <row r="21" spans="1:10" ht="9" customHeight="1">
      <c r="B21" s="1024"/>
    </row>
    <row r="22" spans="1:10">
      <c r="A22" s="1025" t="s">
        <v>133</v>
      </c>
      <c r="B22" s="1024"/>
    </row>
    <row r="23" spans="1:10">
      <c r="A23" s="988" t="s">
        <v>1953</v>
      </c>
      <c r="B23" s="1024"/>
    </row>
    <row r="24" spans="1:10">
      <c r="A24" s="988" t="s">
        <v>1966</v>
      </c>
      <c r="B24" s="1024"/>
    </row>
    <row r="25" spans="1:10">
      <c r="A25" s="1026"/>
      <c r="B25" s="1024"/>
    </row>
    <row r="26" spans="1:10" ht="20.100000000000001" customHeight="1">
      <c r="B26" s="1024"/>
      <c r="C26" s="2363"/>
      <c r="D26" s="2363"/>
      <c r="E26" s="1027"/>
      <c r="F26" s="2362"/>
      <c r="G26" s="2362"/>
    </row>
    <row r="27" spans="1:10">
      <c r="B27" s="1024"/>
      <c r="C27" s="1028" t="s">
        <v>1032</v>
      </c>
      <c r="D27" s="1029"/>
      <c r="E27" s="1030"/>
      <c r="F27" s="2359" t="s">
        <v>1506</v>
      </c>
      <c r="G27" s="2359"/>
    </row>
    <row r="28" spans="1:10" ht="28.5" customHeight="1">
      <c r="B28" s="1024"/>
      <c r="C28" s="2361"/>
      <c r="D28" s="2361"/>
      <c r="E28" s="1031"/>
      <c r="F28" s="2361"/>
      <c r="G28" s="2361"/>
    </row>
    <row r="29" spans="1:10">
      <c r="B29" s="1024"/>
      <c r="C29" s="1032" t="s">
        <v>1558</v>
      </c>
      <c r="E29" s="1033"/>
      <c r="F29" s="2360" t="s">
        <v>1507</v>
      </c>
      <c r="G29" s="2360"/>
    </row>
    <row r="30" spans="1:10" ht="9" customHeight="1">
      <c r="B30" s="1024"/>
      <c r="C30" s="1034"/>
      <c r="E30" s="1035"/>
      <c r="F30" s="1036"/>
      <c r="G30" s="1036"/>
    </row>
    <row r="31" spans="1:10" ht="15" customHeight="1">
      <c r="A31" s="988"/>
      <c r="B31" s="1037" t="s">
        <v>1033</v>
      </c>
    </row>
    <row r="32" spans="1:10" ht="9" customHeight="1">
      <c r="A32" s="988"/>
      <c r="B32" s="1025"/>
    </row>
    <row r="33" spans="1:10" ht="12.75" customHeight="1">
      <c r="A33" s="988"/>
      <c r="B33" s="1038"/>
      <c r="C33" s="2342" t="s">
        <v>132</v>
      </c>
      <c r="D33" s="2343"/>
      <c r="E33" s="2343"/>
      <c r="F33" s="2343"/>
      <c r="G33" s="2343"/>
      <c r="H33" s="2343"/>
      <c r="I33" s="2343"/>
    </row>
    <row r="34" spans="1:10" ht="10.35" customHeight="1">
      <c r="C34" s="2343"/>
      <c r="D34" s="2343"/>
      <c r="E34" s="2343"/>
      <c r="F34" s="2343"/>
      <c r="G34" s="2343"/>
      <c r="H34" s="2343"/>
      <c r="I34" s="2343"/>
    </row>
    <row r="35" spans="1:10" ht="7.5" customHeight="1">
      <c r="C35" s="1039"/>
    </row>
    <row r="36" spans="1:10" ht="13.5" customHeight="1">
      <c r="B36" s="1038"/>
      <c r="C36" s="2344" t="s">
        <v>1954</v>
      </c>
      <c r="D36" s="2343"/>
      <c r="E36" s="2343"/>
      <c r="F36" s="2343"/>
      <c r="G36" s="2343"/>
      <c r="H36" s="2343"/>
      <c r="I36" s="2343"/>
      <c r="J36" s="1040"/>
    </row>
    <row r="37" spans="1:10" ht="22.5" customHeight="1">
      <c r="C37" s="2343"/>
      <c r="D37" s="2343"/>
      <c r="E37" s="2343"/>
      <c r="F37" s="2343"/>
      <c r="G37" s="2343"/>
      <c r="H37" s="2343"/>
      <c r="I37" s="2343"/>
      <c r="J37" s="1040"/>
    </row>
    <row r="38" spans="1:10" ht="7.5" customHeight="1">
      <c r="C38" s="1039"/>
      <c r="D38" s="1041"/>
      <c r="E38" s="1042"/>
      <c r="F38" s="1043"/>
      <c r="G38" s="1042"/>
    </row>
    <row r="39" spans="1:10" ht="13.5" customHeight="1">
      <c r="B39" s="1038"/>
      <c r="C39" s="2340" t="s">
        <v>881</v>
      </c>
      <c r="D39" s="2341"/>
      <c r="E39" s="2341"/>
      <c r="F39" s="2341"/>
      <c r="G39" s="2341"/>
      <c r="H39" s="2341"/>
      <c r="I39" s="2341"/>
    </row>
    <row r="40" spans="1:10" ht="13.35" customHeight="1">
      <c r="A40" s="988"/>
      <c r="C40" s="1044"/>
      <c r="D40" s="1044"/>
      <c r="E40" s="1044"/>
      <c r="F40" s="1044"/>
      <c r="G40" s="1044"/>
      <c r="H40" s="1044"/>
      <c r="I40" s="104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H59"/>
  <sheetViews>
    <sheetView showGridLines="0" zoomScale="110" zoomScaleNormal="110" workbookViewId="0">
      <selection activeCell="A4" sqref="A4:F4"/>
    </sheetView>
  </sheetViews>
  <sheetFormatPr defaultColWidth="9.140625" defaultRowHeight="12.75"/>
  <cols>
    <col min="1" max="1" width="3" style="329" customWidth="1"/>
    <col min="2" max="2" width="11" style="329" bestFit="1" customWidth="1"/>
    <col min="3" max="3" width="7.85546875" style="329" bestFit="1" customWidth="1"/>
    <col min="4" max="6" width="9.140625" style="329"/>
    <col min="7" max="7" width="12.140625" style="329" customWidth="1"/>
    <col min="8" max="8" width="65.28515625" style="329" bestFit="1" customWidth="1"/>
    <col min="9" max="16384" width="9.140625" style="329"/>
  </cols>
  <sheetData>
    <row r="2" spans="1:8">
      <c r="A2" s="389" t="s">
        <v>258</v>
      </c>
    </row>
    <row r="3" spans="1:8">
      <c r="A3" s="329" t="s">
        <v>259</v>
      </c>
    </row>
    <row r="5" spans="1:8" ht="15">
      <c r="A5" s="1868"/>
      <c r="B5" s="1869" t="s">
        <v>2045</v>
      </c>
      <c r="C5" s="1869" t="s">
        <v>2046</v>
      </c>
      <c r="D5" s="1869" t="s">
        <v>2047</v>
      </c>
      <c r="E5" s="1869" t="s">
        <v>2048</v>
      </c>
      <c r="F5" s="1869" t="s">
        <v>1076</v>
      </c>
      <c r="G5" s="1869" t="s">
        <v>864</v>
      </c>
      <c r="H5" s="1869" t="s">
        <v>480</v>
      </c>
    </row>
    <row r="6" spans="1:8">
      <c r="A6" s="1868">
        <v>1</v>
      </c>
      <c r="B6" s="1917" t="s">
        <v>2119</v>
      </c>
      <c r="C6" s="1916">
        <v>1290</v>
      </c>
      <c r="D6" s="1918" t="s">
        <v>2120</v>
      </c>
      <c r="E6" s="1916">
        <v>17</v>
      </c>
      <c r="F6" s="1916">
        <v>10</v>
      </c>
      <c r="G6" s="1967">
        <v>80000</v>
      </c>
      <c r="H6" s="1919" t="s">
        <v>2121</v>
      </c>
    </row>
    <row r="7" spans="1:8">
      <c r="A7" s="1868">
        <v>2</v>
      </c>
      <c r="B7" s="1921" t="s">
        <v>2119</v>
      </c>
      <c r="C7" s="1920">
        <v>1999</v>
      </c>
      <c r="D7" s="1922" t="s">
        <v>2120</v>
      </c>
      <c r="E7" s="1920">
        <v>107</v>
      </c>
      <c r="F7" s="1920">
        <v>10</v>
      </c>
      <c r="G7" s="1967">
        <v>170422</v>
      </c>
      <c r="H7" s="1924" t="s">
        <v>2122</v>
      </c>
    </row>
    <row r="8" spans="1:8">
      <c r="A8" s="1868">
        <v>3</v>
      </c>
      <c r="B8" s="1924" t="s">
        <v>2119</v>
      </c>
      <c r="C8" s="1923">
        <v>1999</v>
      </c>
      <c r="D8" s="1925" t="s">
        <v>2127</v>
      </c>
      <c r="E8" s="1923">
        <v>107</v>
      </c>
      <c r="F8" s="1926">
        <v>20</v>
      </c>
      <c r="G8" s="1968">
        <v>201</v>
      </c>
      <c r="H8" s="1924" t="s">
        <v>2122</v>
      </c>
    </row>
    <row r="9" spans="1:8">
      <c r="A9" s="1868">
        <v>4</v>
      </c>
      <c r="B9" s="1927" t="s">
        <v>2119</v>
      </c>
      <c r="C9" s="1926">
        <v>3099</v>
      </c>
      <c r="D9" s="1928" t="s">
        <v>2120</v>
      </c>
      <c r="E9" s="1926">
        <v>121</v>
      </c>
      <c r="F9" s="1926">
        <v>10</v>
      </c>
      <c r="G9" s="1968">
        <v>540969</v>
      </c>
      <c r="H9" s="1929" t="s">
        <v>2123</v>
      </c>
    </row>
    <row r="10" spans="1:8">
      <c r="A10" s="1868">
        <v>5</v>
      </c>
      <c r="B10" s="1931" t="s">
        <v>2119</v>
      </c>
      <c r="C10" s="1930">
        <v>3999</v>
      </c>
      <c r="D10" s="1932" t="s">
        <v>2120</v>
      </c>
      <c r="E10" s="1930">
        <v>168</v>
      </c>
      <c r="F10" s="1930">
        <v>10</v>
      </c>
      <c r="G10" s="1968">
        <v>157362</v>
      </c>
      <c r="H10" s="1933" t="s">
        <v>2124</v>
      </c>
    </row>
    <row r="11" spans="1:8">
      <c r="A11" s="1868">
        <v>6</v>
      </c>
      <c r="B11" s="1935" t="s">
        <v>2119</v>
      </c>
      <c r="C11" s="1934">
        <v>4799</v>
      </c>
      <c r="D11" s="1936" t="s">
        <v>2120</v>
      </c>
      <c r="E11" s="1934">
        <v>220</v>
      </c>
      <c r="F11" s="1934">
        <v>10</v>
      </c>
      <c r="G11" s="1968">
        <v>218070</v>
      </c>
      <c r="H11" s="1937" t="s">
        <v>2125</v>
      </c>
    </row>
    <row r="12" spans="1:8">
      <c r="A12" s="1868">
        <v>7</v>
      </c>
      <c r="B12" s="1939" t="s">
        <v>2119</v>
      </c>
      <c r="C12" s="1938">
        <v>4999</v>
      </c>
      <c r="D12" s="1940" t="s">
        <v>2120</v>
      </c>
      <c r="E12" s="1938">
        <v>265</v>
      </c>
      <c r="F12" s="1938">
        <v>10</v>
      </c>
      <c r="G12" s="1968">
        <v>654408</v>
      </c>
      <c r="H12" s="1941" t="s">
        <v>2199</v>
      </c>
    </row>
    <row r="13" spans="1:8">
      <c r="A13" s="1868">
        <v>8</v>
      </c>
      <c r="B13" s="1942" t="s">
        <v>2126</v>
      </c>
      <c r="C13" s="1942">
        <v>2900</v>
      </c>
      <c r="D13" s="1943" t="s">
        <v>2120</v>
      </c>
      <c r="E13" s="1942">
        <v>73</v>
      </c>
      <c r="F13" s="1942">
        <v>10</v>
      </c>
      <c r="G13" s="1968">
        <v>17428</v>
      </c>
      <c r="H13" s="1944" t="s">
        <v>2131</v>
      </c>
    </row>
    <row r="14" spans="1:8">
      <c r="A14" s="1868">
        <v>9</v>
      </c>
      <c r="B14" s="1947" t="s">
        <v>2126</v>
      </c>
      <c r="C14" s="1947">
        <v>2900</v>
      </c>
      <c r="D14" s="1949" t="s">
        <v>2127</v>
      </c>
      <c r="E14" s="1947">
        <v>73</v>
      </c>
      <c r="F14" s="1947">
        <v>10</v>
      </c>
      <c r="G14" s="1968">
        <v>12085</v>
      </c>
      <c r="H14" s="1948" t="s">
        <v>2132</v>
      </c>
    </row>
    <row r="15" spans="1:8">
      <c r="A15" s="1868">
        <v>10</v>
      </c>
      <c r="B15" s="1942" t="s">
        <v>2126</v>
      </c>
      <c r="C15" s="1942">
        <v>2900</v>
      </c>
      <c r="D15" s="1943" t="s">
        <v>2128</v>
      </c>
      <c r="E15" s="1942">
        <v>73</v>
      </c>
      <c r="F15" s="1942">
        <v>10</v>
      </c>
      <c r="G15" s="1968">
        <v>51925</v>
      </c>
      <c r="H15" s="1944" t="s">
        <v>2133</v>
      </c>
    </row>
    <row r="16" spans="1:8">
      <c r="A16" s="1868">
        <v>11</v>
      </c>
      <c r="B16" s="1942" t="s">
        <v>2126</v>
      </c>
      <c r="C16" s="1942">
        <v>2900</v>
      </c>
      <c r="D16" s="1943" t="s">
        <v>2129</v>
      </c>
      <c r="E16" s="1942">
        <v>73</v>
      </c>
      <c r="F16" s="1942">
        <v>10</v>
      </c>
      <c r="G16" s="1968">
        <v>2302</v>
      </c>
      <c r="H16" s="1944" t="s">
        <v>2134</v>
      </c>
    </row>
    <row r="17" spans="1:8">
      <c r="A17" s="1868">
        <v>12</v>
      </c>
      <c r="B17" s="1942" t="s">
        <v>2126</v>
      </c>
      <c r="C17" s="1942">
        <v>2900</v>
      </c>
      <c r="D17" s="1943" t="s">
        <v>2130</v>
      </c>
      <c r="E17" s="1942">
        <v>73</v>
      </c>
      <c r="F17" s="1942">
        <v>10</v>
      </c>
      <c r="G17" s="1968">
        <v>272567</v>
      </c>
      <c r="H17" s="1944" t="s">
        <v>2135</v>
      </c>
    </row>
    <row r="18" spans="1:8">
      <c r="A18" s="1868">
        <v>13</v>
      </c>
      <c r="B18" s="1945" t="s">
        <v>2126</v>
      </c>
      <c r="C18" s="1945">
        <v>5400</v>
      </c>
      <c r="D18" s="1946" t="s">
        <v>2128</v>
      </c>
      <c r="E18" s="1945">
        <v>171</v>
      </c>
      <c r="F18" s="1945">
        <v>30</v>
      </c>
      <c r="G18" s="1968">
        <v>2950</v>
      </c>
      <c r="H18" s="1948" t="s">
        <v>2136</v>
      </c>
    </row>
    <row r="19" spans="1:8">
      <c r="A19" s="1868">
        <v>14</v>
      </c>
      <c r="B19" s="1947" t="s">
        <v>2126</v>
      </c>
      <c r="C19" s="1947">
        <v>2900</v>
      </c>
      <c r="D19" s="1949" t="s">
        <v>2127</v>
      </c>
      <c r="E19" s="1947">
        <v>278</v>
      </c>
      <c r="F19" s="1947">
        <v>50</v>
      </c>
      <c r="G19" s="1968">
        <v>6778</v>
      </c>
      <c r="H19" s="1948" t="s">
        <v>2132</v>
      </c>
    </row>
    <row r="20" spans="1:8">
      <c r="A20" s="1045"/>
    </row>
    <row r="21" spans="1:8">
      <c r="A21" s="1045"/>
    </row>
    <row r="22" spans="1:8">
      <c r="A22" s="1045"/>
    </row>
    <row r="23" spans="1:8">
      <c r="A23" s="1045"/>
    </row>
    <row r="24" spans="1:8">
      <c r="A24" s="1045"/>
    </row>
    <row r="25" spans="1:8">
      <c r="A25" s="1045"/>
    </row>
    <row r="26" spans="1:8">
      <c r="A26" s="1045"/>
    </row>
    <row r="27" spans="1:8">
      <c r="A27" s="1045"/>
    </row>
    <row r="28" spans="1:8">
      <c r="A28" s="1045"/>
    </row>
    <row r="29" spans="1:8">
      <c r="A29" s="1045"/>
    </row>
    <row r="30" spans="1:8">
      <c r="A30" s="1045"/>
    </row>
    <row r="31" spans="1:8">
      <c r="A31" s="1045"/>
    </row>
    <row r="32" spans="1:8">
      <c r="A32" s="1045"/>
    </row>
    <row r="33" spans="1:1">
      <c r="A33" s="1045"/>
    </row>
    <row r="34" spans="1:1">
      <c r="A34" s="1045"/>
    </row>
    <row r="35" spans="1:1">
      <c r="A35" s="1045"/>
    </row>
    <row r="36" spans="1:1">
      <c r="A36" s="1045"/>
    </row>
    <row r="37" spans="1:1">
      <c r="A37" s="1045"/>
    </row>
    <row r="38" spans="1:1">
      <c r="A38" s="1045"/>
    </row>
    <row r="39" spans="1:1">
      <c r="A39" s="1045"/>
    </row>
    <row r="40" spans="1:1">
      <c r="A40" s="1045"/>
    </row>
    <row r="41" spans="1:1">
      <c r="A41" s="1045"/>
    </row>
    <row r="42" spans="1:1">
      <c r="A42" s="1045"/>
    </row>
    <row r="43" spans="1:1">
      <c r="A43" s="1045"/>
    </row>
    <row r="44" spans="1:1">
      <c r="A44" s="1045"/>
    </row>
    <row r="45" spans="1:1">
      <c r="A45" s="1045"/>
    </row>
    <row r="46" spans="1:1">
      <c r="A46" s="1045"/>
    </row>
    <row r="47" spans="1:1">
      <c r="A47" s="1045"/>
    </row>
    <row r="48" spans="1:1">
      <c r="A48" s="1045"/>
    </row>
    <row r="49" spans="1:2">
      <c r="A49" s="1045"/>
    </row>
    <row r="50" spans="1:2">
      <c r="A50" s="1045"/>
    </row>
    <row r="51" spans="1:2">
      <c r="A51" s="1045"/>
    </row>
    <row r="52" spans="1:2">
      <c r="A52" s="1045"/>
    </row>
    <row r="53" spans="1:2">
      <c r="A53" s="1045"/>
    </row>
    <row r="54" spans="1:2">
      <c r="A54" s="1045"/>
    </row>
    <row r="55" spans="1:2">
      <c r="A55" s="1045"/>
    </row>
    <row r="56" spans="1:2">
      <c r="A56" s="1045"/>
    </row>
    <row r="57" spans="1:2">
      <c r="A57" s="1045"/>
    </row>
    <row r="58" spans="1:2">
      <c r="A58" s="1045"/>
      <c r="B58" s="258" t="str">
        <f>COVER!A17</f>
        <v>Joliet Twp HSD 204</v>
      </c>
    </row>
    <row r="59" spans="1:2">
      <c r="B59" s="1046">
        <f>COVER!A13</f>
        <v>56099204017</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pageSetUpPr fitToPage="1"/>
  </sheetPr>
  <dimension ref="A1:I84"/>
  <sheetViews>
    <sheetView showGridLines="0" zoomScale="110" zoomScaleNormal="110" workbookViewId="0">
      <selection activeCell="A4" sqref="A4:F4"/>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1065</v>
      </c>
      <c r="C1" s="163" t="s">
        <v>1168</v>
      </c>
      <c r="D1" s="163"/>
      <c r="E1" s="163"/>
    </row>
    <row r="2" spans="1:5" ht="12.75" thickTop="1">
      <c r="A2" s="164"/>
      <c r="B2" s="164"/>
      <c r="C2" s="164" t="s">
        <v>1168</v>
      </c>
      <c r="D2" s="165" t="s">
        <v>681</v>
      </c>
      <c r="E2" s="166" t="s">
        <v>1097</v>
      </c>
    </row>
    <row r="3" spans="1:5">
      <c r="C3" s="162" t="s">
        <v>1168</v>
      </c>
      <c r="D3" s="167"/>
    </row>
    <row r="4" spans="1:5">
      <c r="A4" s="168" t="s">
        <v>1830</v>
      </c>
      <c r="C4" s="162" t="s">
        <v>1168</v>
      </c>
      <c r="D4" s="169" t="s">
        <v>10</v>
      </c>
      <c r="E4" s="170" t="s">
        <v>22</v>
      </c>
    </row>
    <row r="5" spans="1:5">
      <c r="A5" s="168" t="s">
        <v>1832</v>
      </c>
      <c r="C5" s="162" t="s">
        <v>1168</v>
      </c>
      <c r="D5" s="169" t="s">
        <v>10</v>
      </c>
      <c r="E5" s="170" t="s">
        <v>22</v>
      </c>
    </row>
    <row r="6" spans="1:5">
      <c r="A6" s="168" t="s">
        <v>1831</v>
      </c>
      <c r="C6" s="162" t="s">
        <v>1168</v>
      </c>
      <c r="D6" s="167" t="s">
        <v>11</v>
      </c>
      <c r="E6" s="170" t="s">
        <v>940</v>
      </c>
    </row>
    <row r="7" spans="1:5">
      <c r="A7" s="168" t="s">
        <v>1833</v>
      </c>
      <c r="C7" s="162" t="s">
        <v>1168</v>
      </c>
      <c r="D7" s="169" t="s">
        <v>12</v>
      </c>
      <c r="E7" s="170" t="s">
        <v>941</v>
      </c>
    </row>
    <row r="8" spans="1:5">
      <c r="A8" s="168" t="s">
        <v>381</v>
      </c>
      <c r="C8" s="162" t="s">
        <v>1168</v>
      </c>
      <c r="D8" s="169"/>
      <c r="E8" s="171"/>
    </row>
    <row r="9" spans="1:5">
      <c r="B9" s="167" t="s">
        <v>670</v>
      </c>
      <c r="C9" s="167" t="s">
        <v>1168</v>
      </c>
      <c r="D9" s="169" t="s">
        <v>13</v>
      </c>
      <c r="E9" s="170" t="s">
        <v>23</v>
      </c>
    </row>
    <row r="10" spans="1:5">
      <c r="B10" s="167" t="s">
        <v>973</v>
      </c>
      <c r="C10" s="162" t="s">
        <v>1168</v>
      </c>
      <c r="D10" s="169"/>
      <c r="E10" s="171"/>
    </row>
    <row r="11" spans="1:5">
      <c r="B11" s="167" t="s">
        <v>1834</v>
      </c>
      <c r="C11" s="162" t="s">
        <v>1168</v>
      </c>
      <c r="D11" s="169" t="s">
        <v>14</v>
      </c>
      <c r="E11" s="170" t="s">
        <v>1155</v>
      </c>
    </row>
    <row r="12" spans="1:5">
      <c r="B12" s="169" t="s">
        <v>1835</v>
      </c>
      <c r="C12" s="162" t="s">
        <v>1168</v>
      </c>
      <c r="D12" s="169" t="s">
        <v>15</v>
      </c>
      <c r="E12" s="170" t="s">
        <v>1038</v>
      </c>
    </row>
    <row r="13" spans="1:5">
      <c r="B13" s="167" t="s">
        <v>1148</v>
      </c>
      <c r="C13" s="162" t="s">
        <v>1168</v>
      </c>
      <c r="D13" s="169" t="s">
        <v>16</v>
      </c>
      <c r="E13" s="170" t="s">
        <v>634</v>
      </c>
    </row>
    <row r="14" spans="1:5">
      <c r="A14" s="168" t="s">
        <v>506</v>
      </c>
      <c r="B14" s="167"/>
      <c r="D14" s="169"/>
      <c r="E14" s="171"/>
    </row>
    <row r="15" spans="1:5">
      <c r="A15" s="172"/>
      <c r="B15" s="162" t="s">
        <v>1836</v>
      </c>
      <c r="C15" s="162" t="s">
        <v>1168</v>
      </c>
      <c r="D15" s="169" t="s">
        <v>17</v>
      </c>
      <c r="E15" s="170" t="s">
        <v>635</v>
      </c>
    </row>
    <row r="16" spans="1:5">
      <c r="A16" s="172"/>
      <c r="B16" s="162" t="s">
        <v>1837</v>
      </c>
      <c r="C16" s="162" t="s">
        <v>1168</v>
      </c>
      <c r="D16" s="169" t="s">
        <v>680</v>
      </c>
      <c r="E16" s="170" t="s">
        <v>1039</v>
      </c>
    </row>
    <row r="17" spans="1:5">
      <c r="B17" s="167" t="s">
        <v>987</v>
      </c>
      <c r="C17" s="162" t="s">
        <v>1168</v>
      </c>
    </row>
    <row r="18" spans="1:5">
      <c r="B18" s="167" t="s">
        <v>1843</v>
      </c>
      <c r="D18" s="169" t="s">
        <v>18</v>
      </c>
      <c r="E18" s="170" t="s">
        <v>1040</v>
      </c>
    </row>
    <row r="19" spans="1:5">
      <c r="A19" s="168" t="s">
        <v>1098</v>
      </c>
      <c r="C19" s="162" t="s">
        <v>1168</v>
      </c>
      <c r="D19" s="169"/>
      <c r="E19" s="171"/>
    </row>
    <row r="20" spans="1:5">
      <c r="B20" s="167" t="s">
        <v>1838</v>
      </c>
      <c r="C20" s="162" t="s">
        <v>1168</v>
      </c>
      <c r="D20" s="169" t="s">
        <v>19</v>
      </c>
      <c r="E20" s="170" t="s">
        <v>51</v>
      </c>
    </row>
    <row r="21" spans="1:5">
      <c r="B21" s="167" t="s">
        <v>1839</v>
      </c>
      <c r="C21" s="162" t="s">
        <v>1168</v>
      </c>
      <c r="D21" s="169" t="s">
        <v>20</v>
      </c>
      <c r="E21" s="170" t="s">
        <v>1603</v>
      </c>
    </row>
    <row r="22" spans="1:5">
      <c r="A22" s="168"/>
      <c r="B22" s="162" t="s">
        <v>1827</v>
      </c>
      <c r="C22" s="162" t="s">
        <v>1168</v>
      </c>
      <c r="D22" s="167" t="s">
        <v>1829</v>
      </c>
      <c r="E22" s="1743" t="s">
        <v>1604</v>
      </c>
    </row>
    <row r="23" spans="1:5">
      <c r="A23" s="168"/>
      <c r="B23" s="162" t="s">
        <v>1828</v>
      </c>
      <c r="D23" s="167" t="s">
        <v>636</v>
      </c>
      <c r="E23" s="1743" t="s">
        <v>958</v>
      </c>
    </row>
    <row r="24" spans="1:5">
      <c r="A24" s="168" t="s">
        <v>1602</v>
      </c>
      <c r="C24" s="162" t="s">
        <v>1168</v>
      </c>
      <c r="D24" s="167" t="s">
        <v>1390</v>
      </c>
      <c r="E24" s="170" t="s">
        <v>959</v>
      </c>
    </row>
    <row r="25" spans="1:5">
      <c r="A25" s="168" t="s">
        <v>1840</v>
      </c>
      <c r="C25" s="162" t="s">
        <v>1168</v>
      </c>
      <c r="D25" s="169" t="s">
        <v>21</v>
      </c>
      <c r="E25" s="170" t="s">
        <v>1041</v>
      </c>
    </row>
    <row r="26" spans="1:5">
      <c r="A26" s="168" t="s">
        <v>1841</v>
      </c>
      <c r="C26" s="162" t="s">
        <v>1168</v>
      </c>
      <c r="D26" s="169" t="s">
        <v>562</v>
      </c>
      <c r="E26" s="170" t="s">
        <v>1042</v>
      </c>
    </row>
    <row r="27" spans="1:5">
      <c r="A27" s="168" t="s">
        <v>1842</v>
      </c>
      <c r="C27" s="162" t="s">
        <v>1168</v>
      </c>
      <c r="D27" s="169" t="s">
        <v>556</v>
      </c>
      <c r="E27" s="170" t="s">
        <v>682</v>
      </c>
    </row>
    <row r="28" spans="1:5">
      <c r="A28" s="168" t="s">
        <v>1844</v>
      </c>
      <c r="D28" s="169" t="s">
        <v>683</v>
      </c>
      <c r="E28" s="170" t="s">
        <v>1363</v>
      </c>
    </row>
    <row r="29" spans="1:5">
      <c r="A29" s="168" t="s">
        <v>1845</v>
      </c>
      <c r="D29" s="169" t="s">
        <v>1391</v>
      </c>
      <c r="E29" s="170" t="s">
        <v>1372</v>
      </c>
    </row>
    <row r="30" spans="1:5">
      <c r="A30" s="173" t="s">
        <v>1846</v>
      </c>
      <c r="C30" s="162" t="s">
        <v>1168</v>
      </c>
      <c r="D30" s="169" t="s">
        <v>40</v>
      </c>
      <c r="E30" s="170" t="s">
        <v>981</v>
      </c>
    </row>
    <row r="31" spans="1:5">
      <c r="A31" s="168" t="s">
        <v>1518</v>
      </c>
      <c r="C31" s="162" t="s">
        <v>1168</v>
      </c>
      <c r="D31" s="167"/>
      <c r="E31" s="171"/>
    </row>
    <row r="32" spans="1:5">
      <c r="B32" s="167" t="s">
        <v>1847</v>
      </c>
      <c r="C32" s="162" t="s">
        <v>1168</v>
      </c>
      <c r="D32" s="169" t="s">
        <v>1519</v>
      </c>
      <c r="E32" s="170" t="s">
        <v>1392</v>
      </c>
    </row>
    <row r="33" spans="1:5">
      <c r="A33" s="172"/>
      <c r="D33" s="169"/>
      <c r="E33" s="171"/>
    </row>
    <row r="34" spans="1:5">
      <c r="A34" s="172"/>
      <c r="D34" s="169"/>
      <c r="E34" s="171"/>
    </row>
    <row r="35" spans="1:5" ht="15.75" customHeight="1" thickBot="1">
      <c r="A35" s="2081" t="s">
        <v>1064</v>
      </c>
      <c r="B35" s="2081"/>
      <c r="C35" s="2081"/>
      <c r="D35" s="2081"/>
      <c r="E35" s="208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78" t="s">
        <v>690</v>
      </c>
      <c r="B40" s="2078"/>
      <c r="C40" s="2078"/>
      <c r="D40" s="2078"/>
      <c r="E40" s="2078"/>
    </row>
    <row r="41" spans="1:5">
      <c r="A41" s="2079" t="s">
        <v>1601</v>
      </c>
      <c r="B41" s="2079"/>
      <c r="C41" s="2079"/>
      <c r="D41" s="2079"/>
      <c r="E41" s="2079"/>
    </row>
    <row r="42" spans="1:5" ht="12.75" customHeight="1">
      <c r="A42" s="2080" t="s">
        <v>1021</v>
      </c>
      <c r="B42" s="2080"/>
      <c r="C42" s="2080"/>
      <c r="D42" s="2080"/>
      <c r="E42" s="2080"/>
    </row>
    <row r="43" spans="1:5" ht="6.75" customHeight="1">
      <c r="A43" s="167"/>
      <c r="B43" s="176"/>
    </row>
    <row r="44" spans="1:5">
      <c r="A44" s="185" t="s">
        <v>982</v>
      </c>
      <c r="B44" s="186" t="s">
        <v>1873</v>
      </c>
    </row>
    <row r="45" spans="1:5" ht="6.75" customHeight="1">
      <c r="A45" s="187"/>
      <c r="B45" s="186"/>
    </row>
    <row r="46" spans="1:5">
      <c r="A46" s="185" t="s">
        <v>983</v>
      </c>
      <c r="B46" s="169" t="s">
        <v>1606</v>
      </c>
    </row>
    <row r="47" spans="1:5" ht="9.75" customHeight="1">
      <c r="A47" s="189"/>
      <c r="B47" s="188"/>
    </row>
    <row r="48" spans="1:5">
      <c r="A48" s="169" t="s">
        <v>1605</v>
      </c>
      <c r="B48" s="169" t="s">
        <v>1610</v>
      </c>
      <c r="C48" s="177"/>
    </row>
    <row r="49" spans="1:3" ht="9.75" customHeight="1">
      <c r="A49" s="188"/>
      <c r="B49" s="188"/>
      <c r="C49" s="177"/>
    </row>
    <row r="50" spans="1:3">
      <c r="A50" s="200" t="s">
        <v>1607</v>
      </c>
      <c r="B50" s="198" t="s">
        <v>1611</v>
      </c>
    </row>
    <row r="51" spans="1:3">
      <c r="B51" s="169" t="s">
        <v>1743</v>
      </c>
    </row>
    <row r="52" spans="1:3">
      <c r="A52" s="190"/>
      <c r="B52" s="188" t="s">
        <v>1763</v>
      </c>
    </row>
    <row r="53" spans="1:3" ht="4.5" customHeight="1">
      <c r="A53" s="190"/>
      <c r="B53" s="190"/>
    </row>
    <row r="54" spans="1:3">
      <c r="A54" s="190"/>
      <c r="B54" s="201" t="s">
        <v>1608</v>
      </c>
    </row>
    <row r="55" spans="1:3" ht="8.25" customHeight="1">
      <c r="A55" s="190"/>
      <c r="B55" s="191"/>
    </row>
    <row r="56" spans="1:3">
      <c r="A56" s="192"/>
      <c r="B56" s="169" t="s">
        <v>1744</v>
      </c>
    </row>
    <row r="57" spans="1:3">
      <c r="A57" s="193"/>
      <c r="B57" s="190" t="s">
        <v>1746</v>
      </c>
    </row>
    <row r="58" spans="1:3">
      <c r="A58" s="194"/>
      <c r="B58" s="190" t="s">
        <v>1747</v>
      </c>
    </row>
    <row r="59" spans="1:3">
      <c r="A59" s="195"/>
      <c r="B59" s="1394" t="s">
        <v>1748</v>
      </c>
    </row>
    <row r="60" spans="1:3">
      <c r="A60" s="196"/>
      <c r="B60" s="1394" t="s">
        <v>1749</v>
      </c>
    </row>
    <row r="61" spans="1:3" ht="6" customHeight="1">
      <c r="A61" s="197"/>
      <c r="B61" s="189"/>
    </row>
    <row r="62" spans="1:3">
      <c r="A62" s="169" t="s">
        <v>1609</v>
      </c>
      <c r="B62" s="198" t="s">
        <v>1745</v>
      </c>
    </row>
    <row r="63" spans="1:3">
      <c r="A63" s="188"/>
      <c r="B63" s="169" t="s">
        <v>1760</v>
      </c>
    </row>
    <row r="64" spans="1:3">
      <c r="A64" s="195"/>
      <c r="B64" s="1396" t="s">
        <v>1750</v>
      </c>
    </row>
    <row r="65" spans="1:9">
      <c r="A65" s="188"/>
      <c r="B65" s="169" t="s">
        <v>1761</v>
      </c>
    </row>
    <row r="66" spans="1:9">
      <c r="A66" s="190"/>
      <c r="B66" s="190" t="s">
        <v>1751</v>
      </c>
    </row>
    <row r="67" spans="1:9" ht="12" customHeight="1">
      <c r="A67" s="188"/>
      <c r="B67" s="169" t="s">
        <v>1762</v>
      </c>
    </row>
    <row r="68" spans="1:9">
      <c r="A68" s="189"/>
      <c r="B68" s="190" t="s">
        <v>1752</v>
      </c>
    </row>
    <row r="69" spans="1:9">
      <c r="A69" s="190"/>
      <c r="B69" s="188" t="s">
        <v>1753</v>
      </c>
    </row>
    <row r="70" spans="1:9" ht="13.5" customHeight="1">
      <c r="A70" s="190"/>
      <c r="B70" s="188" t="s">
        <v>1754</v>
      </c>
    </row>
    <row r="71" spans="1:9" ht="12" customHeight="1">
      <c r="A71" s="192"/>
      <c r="B71" s="1395" t="s">
        <v>1612</v>
      </c>
    </row>
    <row r="72" spans="1:9" ht="9" customHeight="1">
      <c r="A72" s="192"/>
      <c r="B72" s="199"/>
    </row>
    <row r="73" spans="1:9">
      <c r="A73" s="189" t="s">
        <v>1613</v>
      </c>
      <c r="B73" s="169" t="s">
        <v>1756</v>
      </c>
    </row>
    <row r="74" spans="1:9">
      <c r="A74" s="189"/>
      <c r="B74" s="169" t="s">
        <v>1755</v>
      </c>
    </row>
    <row r="75" spans="1:9" ht="8.25" customHeight="1">
      <c r="A75" s="189"/>
      <c r="B75" s="189"/>
    </row>
    <row r="76" spans="1:9" ht="12.2" customHeight="1">
      <c r="A76" s="189" t="s">
        <v>1614</v>
      </c>
      <c r="B76" s="198" t="s">
        <v>1757</v>
      </c>
    </row>
    <row r="77" spans="1:9" ht="12.2" customHeight="1">
      <c r="A77" s="190"/>
      <c r="B77" s="169" t="s">
        <v>1615</v>
      </c>
      <c r="C77" s="179"/>
      <c r="D77" s="180"/>
      <c r="E77" s="181"/>
      <c r="F77" s="181"/>
      <c r="G77" s="181"/>
      <c r="H77" s="181"/>
      <c r="I77" s="181"/>
    </row>
    <row r="78" spans="1:9" ht="11.25" customHeight="1">
      <c r="A78" s="190"/>
      <c r="B78" s="190" t="s">
        <v>1759</v>
      </c>
      <c r="C78" s="179"/>
      <c r="D78" s="182"/>
      <c r="E78" s="182"/>
      <c r="F78" s="182"/>
      <c r="G78" s="182"/>
      <c r="H78" s="182"/>
      <c r="I78" s="181"/>
    </row>
    <row r="79" spans="1:9" ht="12.2" customHeight="1">
      <c r="A79" s="190"/>
      <c r="B79" s="169" t="s">
        <v>1616</v>
      </c>
      <c r="C79" s="179"/>
      <c r="D79" s="182"/>
      <c r="E79" s="182"/>
      <c r="F79" s="182"/>
      <c r="G79" s="182"/>
      <c r="H79" s="182"/>
      <c r="I79" s="181"/>
    </row>
    <row r="80" spans="1:9" ht="11.25" customHeight="1">
      <c r="A80" s="189"/>
      <c r="B80" s="190" t="s">
        <v>1758</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election activeCell="A4" sqref="A4:F4"/>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1411</v>
      </c>
      <c r="D6" s="24"/>
    </row>
    <row r="7" spans="1:4" ht="13.5" customHeight="1">
      <c r="A7" s="23"/>
      <c r="B7" s="25"/>
      <c r="C7" s="65" t="s">
        <v>1412</v>
      </c>
      <c r="D7" s="24"/>
    </row>
    <row r="8" spans="1:4" ht="13.5" customHeight="1">
      <c r="A8" s="23"/>
      <c r="B8" s="146" t="s">
        <v>942</v>
      </c>
      <c r="C8" s="65" t="s">
        <v>1397</v>
      </c>
      <c r="D8" s="24"/>
    </row>
    <row r="9" spans="1:4" ht="13.5" customHeight="1">
      <c r="A9" s="14"/>
      <c r="B9" s="144" t="s">
        <v>943</v>
      </c>
      <c r="C9" s="142" t="s">
        <v>1316</v>
      </c>
    </row>
    <row r="10" spans="1:4" ht="13.5" customHeight="1">
      <c r="B10" s="18" t="s">
        <v>944</v>
      </c>
      <c r="C10" s="15" t="s">
        <v>908</v>
      </c>
    </row>
    <row r="11" spans="1:4" ht="12.75" customHeight="1">
      <c r="B11" s="18" t="s">
        <v>945</v>
      </c>
      <c r="C11" s="16" t="s">
        <v>858</v>
      </c>
    </row>
    <row r="12" spans="1:4" ht="21.75" customHeight="1">
      <c r="B12" s="18" t="s">
        <v>946</v>
      </c>
      <c r="C12" s="145" t="s">
        <v>1396</v>
      </c>
    </row>
    <row r="13" spans="1:4" s="19" customFormat="1" ht="12.75" customHeight="1">
      <c r="B13" s="18" t="s">
        <v>914</v>
      </c>
      <c r="C13" s="16" t="s">
        <v>1126</v>
      </c>
    </row>
    <row r="14" spans="1:4" ht="21.75" customHeight="1">
      <c r="B14" s="18" t="s">
        <v>915</v>
      </c>
      <c r="C14" s="16" t="s">
        <v>842</v>
      </c>
    </row>
    <row r="15" spans="1:4" ht="12.75" customHeight="1">
      <c r="B15" s="143" t="s">
        <v>1322</v>
      </c>
      <c r="C15" s="142" t="s">
        <v>1323</v>
      </c>
    </row>
    <row r="16" spans="1:4" ht="12.75" customHeight="1">
      <c r="C16" s="142" t="s">
        <v>1324</v>
      </c>
    </row>
    <row r="17" spans="3:3" ht="12.75" customHeight="1">
      <c r="C17" s="66" t="s">
        <v>1325</v>
      </c>
    </row>
    <row r="19" spans="3:3">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election activeCell="A4" sqref="A4:F4"/>
    </sheetView>
  </sheetViews>
  <sheetFormatPr defaultColWidth="9.140625" defaultRowHeight="12.75"/>
  <cols>
    <col min="1" max="1" width="1.85546875" style="329" customWidth="1"/>
    <col min="2" max="2" width="59.7109375" style="329" customWidth="1"/>
    <col min="3" max="16384" width="9.140625" style="329"/>
  </cols>
  <sheetData>
    <row r="11" spans="1:6">
      <c r="B11" s="1047"/>
      <c r="C11" s="1047"/>
      <c r="D11" s="1047"/>
      <c r="E11" s="1047"/>
      <c r="F11" s="1047"/>
    </row>
    <row r="13" spans="1:6">
      <c r="A13" s="1048" t="s">
        <v>1490</v>
      </c>
    </row>
    <row r="15" spans="1:6">
      <c r="A15" s="389" t="s">
        <v>856</v>
      </c>
    </row>
    <row r="16" spans="1:6" s="1047" customFormat="1" ht="45" customHeight="1">
      <c r="A16" s="1049"/>
      <c r="B16" s="1049" t="s">
        <v>1677</v>
      </c>
    </row>
    <row r="17" spans="1:2" ht="6" customHeight="1"/>
    <row r="18" spans="1:2" ht="24.75" customHeight="1">
      <c r="A18" s="2364" t="s">
        <v>1678</v>
      </c>
      <c r="B18" s="2364"/>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4</xdr:row>
                <xdr:rowOff>57150</xdr:rowOff>
              </from>
              <to>
                <xdr:col>1</xdr:col>
                <xdr:colOff>981075</xdr:colOff>
                <xdr:row>8</xdr:row>
                <xdr:rowOff>57150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1352550</xdr:colOff>
                <xdr:row>4</xdr:row>
                <xdr:rowOff>76200</xdr:rowOff>
              </from>
              <to>
                <xdr:col>1</xdr:col>
                <xdr:colOff>2266950</xdr:colOff>
                <xdr:row>8</xdr:row>
                <xdr:rowOff>76200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2943225</xdr:colOff>
                <xdr:row>4</xdr:row>
                <xdr:rowOff>114300</xdr:rowOff>
              </from>
              <to>
                <xdr:col>1</xdr:col>
                <xdr:colOff>3857625</xdr:colOff>
                <xdr:row>8</xdr:row>
                <xdr:rowOff>114300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50"/>
    <pageSetUpPr fitToPage="1"/>
  </sheetPr>
  <dimension ref="A1:H48"/>
  <sheetViews>
    <sheetView showGridLines="0" showZeros="0" zoomScale="110" zoomScaleNormal="110" workbookViewId="0">
      <selection activeCell="A4" sqref="A4:F4"/>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65" t="s">
        <v>1683</v>
      </c>
      <c r="B1" s="2366"/>
      <c r="C1" s="2366"/>
      <c r="D1" s="2366"/>
      <c r="E1" s="2366"/>
      <c r="F1" s="2367"/>
    </row>
    <row r="2" spans="1:8" ht="45" customHeight="1">
      <c r="A2" s="2375" t="s">
        <v>1958</v>
      </c>
      <c r="B2" s="2376"/>
      <c r="C2" s="2376"/>
      <c r="D2" s="2376"/>
      <c r="E2" s="2376"/>
      <c r="F2" s="2377"/>
      <c r="G2" s="1050"/>
      <c r="H2" s="1050"/>
    </row>
    <row r="3" spans="1:8" ht="57" customHeight="1">
      <c r="A3" s="2378" t="s">
        <v>1679</v>
      </c>
      <c r="B3" s="2379"/>
      <c r="C3" s="2379"/>
      <c r="D3" s="2379"/>
      <c r="E3" s="2379"/>
      <c r="F3" s="2380"/>
      <c r="G3" s="1050"/>
      <c r="H3" s="1050"/>
    </row>
    <row r="4" spans="1:8" ht="14.25" customHeight="1">
      <c r="A4" s="2384" t="s">
        <v>1959</v>
      </c>
      <c r="B4" s="2385"/>
      <c r="C4" s="2385"/>
      <c r="D4" s="2385"/>
      <c r="E4" s="2385"/>
      <c r="F4" s="2386"/>
      <c r="G4" s="1050"/>
      <c r="H4" s="1050"/>
    </row>
    <row r="5" spans="1:8" ht="14.25" customHeight="1">
      <c r="A5" s="2387" t="s">
        <v>1955</v>
      </c>
      <c r="B5" s="2388"/>
      <c r="C5" s="2388"/>
      <c r="D5" s="2388"/>
      <c r="E5" s="2388"/>
      <c r="F5" s="2389"/>
      <c r="G5" s="1050"/>
      <c r="H5" s="1050"/>
    </row>
    <row r="6" spans="1:8" s="1051" customFormat="1" ht="41.25" customHeight="1">
      <c r="A6" s="2381" t="s">
        <v>1684</v>
      </c>
      <c r="B6" s="2382"/>
      <c r="C6" s="2382"/>
      <c r="D6" s="2382"/>
      <c r="E6" s="2382"/>
      <c r="F6" s="2383"/>
    </row>
    <row r="7" spans="1:8" ht="42" customHeight="1">
      <c r="A7" s="1052" t="s">
        <v>480</v>
      </c>
      <c r="B7" s="1053" t="s">
        <v>1493</v>
      </c>
      <c r="C7" s="1053" t="s">
        <v>1494</v>
      </c>
      <c r="D7" s="1053" t="s">
        <v>1492</v>
      </c>
      <c r="E7" s="1053" t="s">
        <v>1495</v>
      </c>
      <c r="F7" s="1053" t="s">
        <v>1364</v>
      </c>
    </row>
    <row r="8" spans="1:8" s="1055" customFormat="1" ht="14.25" customHeight="1">
      <c r="A8" s="1054" t="s">
        <v>1365</v>
      </c>
      <c r="B8" s="1722">
        <f>'Acct Summary 7-8'!C8</f>
        <v>81968771</v>
      </c>
      <c r="C8" s="1722">
        <f>'Acct Summary 7-8'!D8</f>
        <v>9971994</v>
      </c>
      <c r="D8" s="1722">
        <f>'Acct Summary 7-8'!F8</f>
        <v>8282657</v>
      </c>
      <c r="E8" s="1722">
        <f>'Acct Summary 7-8'!I8</f>
        <v>1273500</v>
      </c>
      <c r="F8" s="1722">
        <f>SUM(B8:E8)</f>
        <v>101496922</v>
      </c>
    </row>
    <row r="9" spans="1:8" s="1055" customFormat="1" ht="14.25" customHeight="1" thickBot="1">
      <c r="A9" s="1054" t="s">
        <v>1366</v>
      </c>
      <c r="B9" s="1723">
        <f>'Acct Summary 7-8'!C17</f>
        <v>69583967</v>
      </c>
      <c r="C9" s="1723">
        <f>'Acct Summary 7-8'!D17</f>
        <v>8700639</v>
      </c>
      <c r="D9" s="1723">
        <f>'Acct Summary 7-8'!F17</f>
        <v>7557480</v>
      </c>
      <c r="E9" s="1722"/>
      <c r="F9" s="1722">
        <f>SUM(B9:E9)</f>
        <v>85842086</v>
      </c>
    </row>
    <row r="10" spans="1:8" s="1055" customFormat="1" ht="14.25" thickTop="1" thickBot="1">
      <c r="A10" s="1056" t="s">
        <v>1367</v>
      </c>
      <c r="B10" s="1724">
        <f>(B8-B9)</f>
        <v>12384804</v>
      </c>
      <c r="C10" s="1724">
        <f>(C8-C9)</f>
        <v>1271355</v>
      </c>
      <c r="D10" s="1724">
        <f>(D8-D9)</f>
        <v>725177</v>
      </c>
      <c r="E10" s="1723">
        <f>(E8-E9)</f>
        <v>1273500</v>
      </c>
      <c r="F10" s="1725">
        <f>SUM(F8-F9)</f>
        <v>15654836</v>
      </c>
    </row>
    <row r="11" spans="1:8" s="1055" customFormat="1" ht="14.25" thickTop="1" thickBot="1">
      <c r="A11" s="1057" t="s">
        <v>1956</v>
      </c>
      <c r="B11" s="1726">
        <f>'Acct Summary 7-8'!C81</f>
        <v>42896479</v>
      </c>
      <c r="C11" s="1726">
        <f>'Acct Summary 7-8'!D81</f>
        <v>4688325</v>
      </c>
      <c r="D11" s="1726">
        <f>'Acct Summary 7-8'!F81</f>
        <v>10258409</v>
      </c>
      <c r="E11" s="1726">
        <f>'Acct Summary 7-8'!I81</f>
        <v>17278076</v>
      </c>
      <c r="F11" s="1727">
        <f>SUM(B11:E11)</f>
        <v>75121289</v>
      </c>
    </row>
    <row r="12" spans="1:8" ht="16.5" customHeight="1" thickTop="1">
      <c r="A12" s="1058"/>
      <c r="B12" s="1059"/>
      <c r="C12" s="2369" t="str">
        <f>IF(AND(F10&lt;0,F11&gt;=0,ABS(F10*3)&gt;ABS(F11)),A16,IF(AND(F10&lt;0,F11&gt;0,ABS(F10*3)&lt;=ABS(F11)),A17,IF(AND(F10&lt;0,F11&lt;0),A16,IF(F11=0,A19,A18))))</f>
        <v>Balanced - no deficit reduction plan is required.</v>
      </c>
      <c r="D12" s="2370"/>
      <c r="E12" s="2370"/>
      <c r="F12" s="2371"/>
    </row>
    <row r="13" spans="1:8" ht="19.5" customHeight="1">
      <c r="A13" s="1060"/>
      <c r="B13" s="1061"/>
      <c r="C13" s="2369"/>
      <c r="D13" s="2370"/>
      <c r="E13" s="2370"/>
      <c r="F13" s="2371"/>
      <c r="H13" s="1050"/>
    </row>
    <row r="14" spans="1:8" ht="19.5" customHeight="1">
      <c r="A14" s="1060"/>
      <c r="B14" s="1061"/>
      <c r="C14" s="2369"/>
      <c r="D14" s="2370"/>
      <c r="E14" s="2370"/>
      <c r="F14" s="2371"/>
      <c r="H14" s="1050"/>
    </row>
    <row r="15" spans="1:8" ht="17.25" customHeight="1">
      <c r="A15" s="1060"/>
      <c r="B15" s="1061"/>
      <c r="C15" s="2372"/>
      <c r="D15" s="2373"/>
      <c r="E15" s="2373"/>
      <c r="F15" s="2374"/>
      <c r="H15" s="1050"/>
    </row>
    <row r="16" spans="1:8" s="310" customFormat="1" ht="51.75" hidden="1" customHeight="1">
      <c r="A16" s="2368" t="s">
        <v>1680</v>
      </c>
      <c r="B16" s="2368"/>
      <c r="C16" s="2368"/>
      <c r="D16" s="2368"/>
      <c r="E16" s="2368"/>
      <c r="F16" s="310" t="s">
        <v>1368</v>
      </c>
    </row>
    <row r="17" spans="1:6" hidden="1">
      <c r="A17" s="316" t="s">
        <v>1681</v>
      </c>
      <c r="F17" s="1062" t="s">
        <v>1369</v>
      </c>
    </row>
    <row r="18" spans="1:6" hidden="1">
      <c r="A18" s="316" t="s">
        <v>1682</v>
      </c>
      <c r="F18" s="316" t="s">
        <v>1407</v>
      </c>
    </row>
    <row r="19" spans="1:6" hidden="1">
      <c r="A19" s="316" t="s">
        <v>1406</v>
      </c>
      <c r="F19" s="316" t="s">
        <v>1371</v>
      </c>
    </row>
    <row r="20" spans="1:6" ht="14.25" customHeight="1"/>
    <row r="21" spans="1:6">
      <c r="B21" s="1063"/>
    </row>
    <row r="48" spans="3:3">
      <c r="C48" s="106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topLeftCell="A59" colorId="8" zoomScale="110" zoomScaleNormal="110" workbookViewId="0">
      <selection activeCell="D24" sqref="D24"/>
    </sheetView>
  </sheetViews>
  <sheetFormatPr defaultColWidth="9.140625" defaultRowHeight="12"/>
  <cols>
    <col min="1" max="1" width="2.7109375" style="1109" customWidth="1"/>
    <col min="2" max="2" width="3.140625" style="1109" customWidth="1"/>
    <col min="3" max="3" width="96.140625" style="1049" customWidth="1"/>
    <col min="4" max="4" width="42.140625" style="242" customWidth="1"/>
    <col min="5" max="5" width="2.7109375" style="1068" customWidth="1"/>
    <col min="6" max="6" width="1" style="1068" customWidth="1"/>
    <col min="7" max="16384" width="9.140625" style="1068"/>
  </cols>
  <sheetData>
    <row r="1" spans="1:4" ht="4.5" customHeight="1" thickBot="1">
      <c r="A1" s="1064"/>
      <c r="B1" s="1065"/>
      <c r="C1" s="1066"/>
      <c r="D1" s="1067"/>
    </row>
    <row r="2" spans="1:4" ht="7.5" customHeight="1" thickTop="1">
      <c r="A2" s="1803"/>
      <c r="B2" s="1804"/>
      <c r="C2" s="1805"/>
      <c r="D2" s="1806"/>
    </row>
    <row r="3" spans="1:4" ht="36" customHeight="1">
      <c r="A3" s="2390" t="s">
        <v>664</v>
      </c>
      <c r="B3" s="2391"/>
      <c r="C3" s="2391"/>
      <c r="D3" s="2392"/>
    </row>
    <row r="4" spans="1:4">
      <c r="A4" s="1128" t="s">
        <v>1685</v>
      </c>
      <c r="B4" s="1129"/>
      <c r="C4" s="1130"/>
      <c r="D4" s="1131"/>
    </row>
    <row r="5" spans="1:4" ht="21" customHeight="1">
      <c r="A5" s="1124"/>
      <c r="B5" s="1125">
        <v>1</v>
      </c>
      <c r="C5" s="1126" t="s">
        <v>1807</v>
      </c>
      <c r="D5" s="1127"/>
    </row>
    <row r="6" spans="1:4" s="648" customFormat="1" ht="14.25" customHeight="1">
      <c r="A6" s="1114"/>
      <c r="B6" s="1069">
        <f t="shared" ref="B6:B13" si="0">B5+1</f>
        <v>2</v>
      </c>
      <c r="C6" s="1070" t="s">
        <v>863</v>
      </c>
      <c r="D6" s="1071"/>
    </row>
    <row r="7" spans="1:4" s="648" customFormat="1" ht="12.75">
      <c r="A7" s="1114"/>
      <c r="B7" s="1069">
        <f t="shared" si="0"/>
        <v>3</v>
      </c>
      <c r="C7" s="2401" t="s">
        <v>1501</v>
      </c>
      <c r="D7" s="2402"/>
    </row>
    <row r="8" spans="1:4" s="648" customFormat="1" ht="12.75">
      <c r="A8" s="1114"/>
      <c r="B8" s="1069"/>
      <c r="C8" s="1072" t="s">
        <v>1500</v>
      </c>
      <c r="D8" s="1073"/>
    </row>
    <row r="9" spans="1:4" s="648" customFormat="1" ht="14.25" customHeight="1">
      <c r="A9" s="1114"/>
      <c r="B9" s="1069">
        <f>B7+1</f>
        <v>4</v>
      </c>
      <c r="C9" s="1070" t="s">
        <v>1884</v>
      </c>
      <c r="D9" s="1071"/>
    </row>
    <row r="10" spans="1:4" s="648" customFormat="1" ht="14.25" customHeight="1">
      <c r="A10" s="1114"/>
      <c r="B10" s="1069">
        <f t="shared" si="0"/>
        <v>5</v>
      </c>
      <c r="C10" s="1070" t="s">
        <v>638</v>
      </c>
      <c r="D10" s="1071"/>
    </row>
    <row r="11" spans="1:4" s="648" customFormat="1" ht="14.25" customHeight="1">
      <c r="A11" s="1114"/>
      <c r="B11" s="1069">
        <f t="shared" si="0"/>
        <v>6</v>
      </c>
      <c r="C11" s="1070" t="s">
        <v>777</v>
      </c>
      <c r="D11" s="1071"/>
    </row>
    <row r="12" spans="1:4" s="648" customFormat="1" ht="14.25" customHeight="1">
      <c r="A12" s="1114"/>
      <c r="B12" s="1069">
        <f t="shared" si="0"/>
        <v>7</v>
      </c>
      <c r="C12" s="1070" t="s">
        <v>1061</v>
      </c>
      <c r="D12" s="1071"/>
    </row>
    <row r="13" spans="1:4" s="648" customFormat="1" ht="14.25" customHeight="1">
      <c r="A13" s="1114"/>
      <c r="B13" s="1069">
        <f t="shared" si="0"/>
        <v>8</v>
      </c>
      <c r="C13" s="1110" t="s">
        <v>778</v>
      </c>
      <c r="D13" s="1071"/>
    </row>
    <row r="14" spans="1:4" s="648" customFormat="1" ht="14.25" customHeight="1">
      <c r="A14" s="1114"/>
      <c r="B14" s="1111">
        <v>9</v>
      </c>
      <c r="C14" s="1112" t="s">
        <v>1502</v>
      </c>
      <c r="D14" s="1113"/>
    </row>
    <row r="15" spans="1:4" s="648" customFormat="1" ht="21.75" customHeight="1">
      <c r="A15" s="2393" t="s">
        <v>1007</v>
      </c>
      <c r="B15" s="2394"/>
      <c r="C15" s="2394"/>
      <c r="D15" s="2395"/>
    </row>
    <row r="16" spans="1:4" s="648" customFormat="1" ht="24" customHeight="1">
      <c r="A16" s="2396" t="s">
        <v>662</v>
      </c>
      <c r="B16" s="2397"/>
      <c r="C16" s="2397"/>
      <c r="D16" s="2398"/>
    </row>
    <row r="17" spans="1:10" s="648" customFormat="1" ht="12.75" customHeight="1">
      <c r="A17" s="1132" t="s">
        <v>1686</v>
      </c>
      <c r="B17" s="1133"/>
      <c r="C17" s="1134"/>
      <c r="D17" s="1135"/>
    </row>
    <row r="18" spans="1:10" s="648" customFormat="1" ht="12.75" customHeight="1">
      <c r="A18" s="1136" t="s">
        <v>1687</v>
      </c>
      <c r="B18" s="1137"/>
      <c r="C18" s="1138"/>
      <c r="D18" s="1139"/>
    </row>
    <row r="19" spans="1:10" ht="6.75" customHeight="1" thickBot="1">
      <c r="A19" s="1140"/>
      <c r="B19" s="1141"/>
      <c r="C19" s="1142"/>
      <c r="D19" s="1143"/>
    </row>
    <row r="20" spans="1:10" s="1147" customFormat="1" ht="12.75" thickTop="1">
      <c r="A20" s="1144"/>
      <c r="B20" s="1145" t="s">
        <v>1688</v>
      </c>
      <c r="C20" s="1146"/>
      <c r="D20" s="1149" t="s">
        <v>709</v>
      </c>
    </row>
    <row r="21" spans="1:10">
      <c r="A21" s="1074"/>
      <c r="B21" s="1075">
        <v>1</v>
      </c>
      <c r="C21" s="2405" t="s">
        <v>313</v>
      </c>
      <c r="D21" s="2406"/>
    </row>
    <row r="22" spans="1:10" ht="12.75">
      <c r="A22" s="1115"/>
      <c r="B22" s="1116">
        <v>2</v>
      </c>
      <c r="C22" s="2403" t="s">
        <v>1521</v>
      </c>
      <c r="D22" s="2404"/>
    </row>
    <row r="23" spans="1:10" ht="12.2" customHeight="1">
      <c r="A23" s="1115"/>
      <c r="B23" s="1116"/>
      <c r="C23" s="1117" t="s">
        <v>953</v>
      </c>
      <c r="D23" s="1118" t="str">
        <f>IF(COVER!O11="X","CASH",IF(COVER!O12="X","ACCRUAL ","PLEASE CHECK AN ACCOUNTING BASIS."))</f>
        <v xml:space="preserve">ACCRUAL </v>
      </c>
    </row>
    <row r="24" spans="1:10" ht="12.2" customHeight="1">
      <c r="A24" s="1115"/>
      <c r="B24" s="1116"/>
      <c r="C24" s="1117" t="s">
        <v>1329</v>
      </c>
      <c r="D24" s="1118" t="str">
        <f>IF(COVER!O11="X","OK",IF(AND('Aud Quest 2'!J90=0,'Aud Quest 2'!I77&lt;DATE(2017,12,31)),"ENTER ACCOUNTING INFO",IF(AND('Aud Quest 2'!J90&gt;0,'Aud Quest 2'!I77&lt;DATE(2017,12,31)),"OK")))</f>
        <v>OK</v>
      </c>
    </row>
    <row r="25" spans="1:10">
      <c r="A25" s="1076"/>
      <c r="B25" s="1077"/>
      <c r="C25" s="1078" t="s">
        <v>1523</v>
      </c>
      <c r="D25" s="1079" t="str">
        <f>IF(AND(COVER!J29="X",COVER!J30="X",COVER!L30&lt;&gt;"X"),"OK",IF(AND(COVER!J29="X",COVER!J30&lt;&gt;"X",COVER!L30="X"),"OK",IF(AND(COVER!L29="X",COVER!J30&lt;&gt;"X"),"OK","PLEASE CHECK YES or NO.")))</f>
        <v>OK</v>
      </c>
    </row>
    <row r="26" spans="1:10">
      <c r="A26" s="1076"/>
      <c r="B26" s="1119"/>
      <c r="C26" s="1080" t="s">
        <v>1522</v>
      </c>
      <c r="D26" s="1081" t="str">
        <f>IF(AND(COVER!J29="X",COVER!J30="X",COVER!L29&lt;&gt;"X"),"OK",IF(AND(COVER!J29="X",COVER!J30&lt;&gt;"X",COVER!L30="X"),"SENDING AN A-133 SEPERATELY!",IF(AND(COVER!L29="X",COVER!J30&lt;&gt;"X"),"OK","PLEASE CHECK YES or NO.")))</f>
        <v>OK</v>
      </c>
    </row>
    <row r="27" spans="1:10" ht="12" hidden="1" customHeight="1">
      <c r="A27" s="1082"/>
      <c r="B27" s="1119"/>
      <c r="C27" s="1078" t="s">
        <v>974</v>
      </c>
      <c r="D27" s="1081" t="str">
        <f>IF(AND(COVER!J29="X",COVER!J31="X",COVER!L29&lt;&gt;"X"),"OK",IF(AND(COVER!J29="X",COVER!J31&lt;&gt;"X",COVER!L31="X"),"NO FINDINGS WERE ISSUED",IF(AND(COVER!L29="X",COVER!J31&lt;&gt;"X"),"OK","PLEASE CHECK YES or NO.")))</f>
        <v>NO FINDINGS WERE ISSUED</v>
      </c>
    </row>
    <row r="28" spans="1:10" ht="24" hidden="1" customHeight="1">
      <c r="A28" s="1082"/>
      <c r="B28" s="1119"/>
      <c r="C28" s="1078" t="s">
        <v>841</v>
      </c>
      <c r="D28" s="1083" t="str">
        <f>IF('Aud Quest 2'!B53="X",IF('Aud Quest 2'!F53&gt;"00/00/00 ","Enter Effective Date","ok"))</f>
        <v>ok</v>
      </c>
    </row>
    <row r="29" spans="1:10">
      <c r="A29" s="1076"/>
      <c r="B29" s="1119"/>
      <c r="C29" s="1080" t="s">
        <v>1370</v>
      </c>
      <c r="D29" s="108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74"/>
      <c r="B30" s="1116">
        <f>B22+1</f>
        <v>3</v>
      </c>
      <c r="C30" s="1084" t="s">
        <v>824</v>
      </c>
      <c r="D30" s="1085"/>
    </row>
    <row r="31" spans="1:10">
      <c r="A31" s="1076"/>
      <c r="B31" s="1086"/>
      <c r="C31" s="1120" t="s">
        <v>253</v>
      </c>
      <c r="D31" s="1087" t="str">
        <f>IF(SUM('FP Info 3'!J10:L10)&lt;=0.0999999,"OK","CORRECT THE TAX RATES BY MOVING THE DECIMAL TWO PLACES TO THE LEFT.")</f>
        <v>OK</v>
      </c>
      <c r="E31" s="359"/>
      <c r="F31" s="359"/>
      <c r="G31" s="359"/>
      <c r="H31" s="359"/>
      <c r="I31" s="359"/>
      <c r="J31" s="359"/>
    </row>
    <row r="32" spans="1:10">
      <c r="A32" s="1076"/>
      <c r="B32" s="1121"/>
      <c r="C32" s="1088" t="s">
        <v>977</v>
      </c>
      <c r="D32" s="1079" t="str">
        <f>IF(OR(COVER!B6="x",'FP Info 3'!B31="X",'FP Info 3'!B32="X"),"OK","ENTRY IS REQUIRED!")</f>
        <v>OK</v>
      </c>
    </row>
    <row r="33" spans="1:12" s="1092" customFormat="1" ht="12.75" customHeight="1">
      <c r="A33" s="1089"/>
      <c r="B33" s="1116">
        <f>B30+1</f>
        <v>4</v>
      </c>
      <c r="C33" s="1090" t="s">
        <v>779</v>
      </c>
      <c r="D33" s="1091"/>
    </row>
    <row r="34" spans="1:12" s="1092" customFormat="1">
      <c r="A34" s="1093"/>
      <c r="B34" s="1116"/>
      <c r="C34" s="1094" t="s">
        <v>825</v>
      </c>
      <c r="D34" s="1079" t="str">
        <f>IF('Assets-Liab 5-6'!C4&lt;-0.49, "ERROR!","OK")</f>
        <v>OK</v>
      </c>
    </row>
    <row r="35" spans="1:12">
      <c r="A35" s="1093"/>
      <c r="B35" s="1116"/>
      <c r="C35" s="1094" t="s">
        <v>305</v>
      </c>
      <c r="D35" s="1079" t="str">
        <f>IF('Assets-Liab 5-6'!D4&lt;-0.49, "ERROR!","OK")</f>
        <v>OK</v>
      </c>
      <c r="L35" s="1148"/>
    </row>
    <row r="36" spans="1:12">
      <c r="A36" s="1093"/>
      <c r="B36" s="1116"/>
      <c r="C36" s="1094" t="s">
        <v>780</v>
      </c>
      <c r="D36" s="1079" t="str">
        <f>IF('Assets-Liab 5-6'!E4&lt;-0.49, "ERROR!","OK")</f>
        <v>OK</v>
      </c>
    </row>
    <row r="37" spans="1:12">
      <c r="A37" s="1093"/>
      <c r="B37" s="1116"/>
      <c r="C37" s="1094" t="s">
        <v>306</v>
      </c>
      <c r="D37" s="1079" t="str">
        <f>IF('Assets-Liab 5-6'!F4&lt;-0.49, "ERROR!","OK")</f>
        <v>OK</v>
      </c>
    </row>
    <row r="38" spans="1:12">
      <c r="A38" s="1093"/>
      <c r="B38" s="1116"/>
      <c r="C38" s="1094" t="s">
        <v>307</v>
      </c>
      <c r="D38" s="1079" t="str">
        <f>IF('Assets-Liab 5-6'!G4&lt;-0.49, "ERROR!","OK")</f>
        <v>OK</v>
      </c>
    </row>
    <row r="39" spans="1:12">
      <c r="A39" s="1093"/>
      <c r="B39" s="1116"/>
      <c r="C39" s="1094" t="s">
        <v>781</v>
      </c>
      <c r="D39" s="1079" t="str">
        <f>IF('Assets-Liab 5-6'!H4&lt;-0.49, "ERROR!","OK")</f>
        <v>OK</v>
      </c>
    </row>
    <row r="40" spans="1:12">
      <c r="A40" s="1093"/>
      <c r="B40" s="1116"/>
      <c r="C40" s="1094" t="s">
        <v>308</v>
      </c>
      <c r="D40" s="1079" t="str">
        <f>IF('Assets-Liab 5-6'!I4&lt;-0.49, "ERROR!","OK")</f>
        <v>OK</v>
      </c>
    </row>
    <row r="41" spans="1:12">
      <c r="A41" s="1093"/>
      <c r="B41" s="1116"/>
      <c r="C41" s="1094" t="s">
        <v>782</v>
      </c>
      <c r="D41" s="1079" t="str">
        <f>IF('Assets-Liab 5-6'!J4&lt;-0.49, "ERROR!","OK")</f>
        <v>OK</v>
      </c>
    </row>
    <row r="42" spans="1:12">
      <c r="A42" s="1093"/>
      <c r="B42" s="1116"/>
      <c r="C42" s="1094" t="s">
        <v>309</v>
      </c>
      <c r="D42" s="1079" t="str">
        <f>IF('Assets-Liab 5-6'!K4&lt;-0.49, "ERROR!","OK")</f>
        <v>OK</v>
      </c>
    </row>
    <row r="43" spans="1:12">
      <c r="A43" s="1095"/>
      <c r="B43" s="1096">
        <f>B33+1</f>
        <v>5</v>
      </c>
      <c r="C43" s="2407" t="s">
        <v>535</v>
      </c>
      <c r="D43" s="2408"/>
    </row>
    <row r="44" spans="1:12">
      <c r="A44" s="1095"/>
      <c r="B44" s="1097"/>
      <c r="C44" s="1098" t="s">
        <v>1332</v>
      </c>
      <c r="D44" s="1099" t="str">
        <f>IF(SUM('Assets-Liab 5-6'!C13)&lt;&gt;SUM('Assets-Liab 5-6'!C41),"ERROR!","OK")</f>
        <v>OK</v>
      </c>
    </row>
    <row r="45" spans="1:12">
      <c r="A45" s="1095"/>
      <c r="B45" s="1097"/>
      <c r="C45" s="1098" t="s">
        <v>1333</v>
      </c>
      <c r="D45" s="1099" t="str">
        <f>IF(SUM('Assets-Liab 5-6'!D13)&lt;&gt;SUM('Assets-Liab 5-6'!D41),"ERROR!","OK")</f>
        <v>OK</v>
      </c>
    </row>
    <row r="46" spans="1:12">
      <c r="A46" s="1095"/>
      <c r="B46" s="1097"/>
      <c r="C46" s="1098" t="s">
        <v>1334</v>
      </c>
      <c r="D46" s="1099" t="str">
        <f>IF(SUM('Assets-Liab 5-6'!E13)&lt;&gt;SUM('Assets-Liab 5-6'!E41),"ERROR!","OK")</f>
        <v>OK</v>
      </c>
    </row>
    <row r="47" spans="1:12">
      <c r="A47" s="1095"/>
      <c r="B47" s="1097"/>
      <c r="C47" s="1098" t="s">
        <v>1335</v>
      </c>
      <c r="D47" s="1099" t="str">
        <f>IF(SUM('Assets-Liab 5-6'!F13)&lt;&gt;SUM('Assets-Liab 5-6'!F41),"ERROR!","OK")</f>
        <v>OK</v>
      </c>
    </row>
    <row r="48" spans="1:12">
      <c r="A48" s="1095"/>
      <c r="B48" s="1097"/>
      <c r="C48" s="1098" t="s">
        <v>1336</v>
      </c>
      <c r="D48" s="1099" t="str">
        <f>IF(SUM('Assets-Liab 5-6'!G13)&lt;&gt;SUM('Assets-Liab 5-6'!G41),"ERROR!","OK")</f>
        <v>OK</v>
      </c>
    </row>
    <row r="49" spans="1:4">
      <c r="A49" s="1095"/>
      <c r="B49" s="1097"/>
      <c r="C49" s="1098" t="s">
        <v>1337</v>
      </c>
      <c r="D49" s="1099" t="str">
        <f>IF(SUM('Assets-Liab 5-6'!H13)&lt;&gt;SUM('Assets-Liab 5-6'!H41),"ERROR!","OK")</f>
        <v>OK</v>
      </c>
    </row>
    <row r="50" spans="1:4">
      <c r="A50" s="1095"/>
      <c r="B50" s="1097"/>
      <c r="C50" s="1098" t="s">
        <v>1338</v>
      </c>
      <c r="D50" s="1099" t="str">
        <f>IF(SUM('Assets-Liab 5-6'!I13)&lt;&gt;SUM('Assets-Liab 5-6'!I41),"ERROR!","OK")</f>
        <v>OK</v>
      </c>
    </row>
    <row r="51" spans="1:4">
      <c r="A51" s="1095"/>
      <c r="B51" s="1097"/>
      <c r="C51" s="1098" t="s">
        <v>1339</v>
      </c>
      <c r="D51" s="1099" t="str">
        <f>IF(SUM('Assets-Liab 5-6'!J13)&lt;&gt;SUM('Assets-Liab 5-6'!J41),"ERROR!","OK")</f>
        <v>OK</v>
      </c>
    </row>
    <row r="52" spans="1:4">
      <c r="A52" s="1095"/>
      <c r="B52" s="1097"/>
      <c r="C52" s="1098" t="s">
        <v>1340</v>
      </c>
      <c r="D52" s="1099" t="str">
        <f>IF(SUM('Assets-Liab 5-6'!K13)&lt;&gt;SUM('Assets-Liab 5-6'!K41),"ERROR!","OK")</f>
        <v>OK</v>
      </c>
    </row>
    <row r="53" spans="1:4">
      <c r="A53" s="1095"/>
      <c r="B53" s="1097"/>
      <c r="C53" s="1098" t="s">
        <v>1341</v>
      </c>
      <c r="D53" s="1099" t="str">
        <f>IF(SUM('Assets-Liab 5-6'!L13)&lt;&gt;('Assets-Liab 5-6'!L41),"ERROR!","OK")</f>
        <v>OK</v>
      </c>
    </row>
    <row r="54" spans="1:4">
      <c r="A54" s="1095"/>
      <c r="B54" s="1097"/>
      <c r="C54" s="1098" t="s">
        <v>1342</v>
      </c>
      <c r="D54" s="1099" t="str">
        <f>IF(SUM('Assets-Liab 5-6'!M23)&lt;&gt;('Assets-Liab 5-6'!M41),"ERROR!","OK")</f>
        <v>OK</v>
      </c>
    </row>
    <row r="55" spans="1:4">
      <c r="A55" s="1095"/>
      <c r="B55" s="1097"/>
      <c r="C55" s="1098" t="s">
        <v>1343</v>
      </c>
      <c r="D55" s="1099" t="str">
        <f>IF(SUM('Assets-Liab 5-6'!N23)&lt;&gt;('Assets-Liab 5-6'!N41),"ERROR!","OK")</f>
        <v>OK</v>
      </c>
    </row>
    <row r="56" spans="1:4">
      <c r="A56" s="1076"/>
      <c r="B56" s="1096">
        <f>B43+1</f>
        <v>6</v>
      </c>
      <c r="C56" s="2399" t="s">
        <v>783</v>
      </c>
      <c r="D56" s="2400"/>
    </row>
    <row r="57" spans="1:4" s="1092" customFormat="1">
      <c r="A57" s="1076"/>
      <c r="B57" s="1086"/>
      <c r="C57" s="1094" t="s">
        <v>1344</v>
      </c>
      <c r="D57" s="1100" t="str">
        <f>IF('Assets-Liab 5-6'!C38+'Assets-Liab 5-6'!C39='Acct Summary 7-8'!C81,"OK","ERROR!")</f>
        <v>OK</v>
      </c>
    </row>
    <row r="58" spans="1:4">
      <c r="A58" s="1076"/>
      <c r="B58" s="1086"/>
      <c r="C58" s="1094" t="s">
        <v>1345</v>
      </c>
      <c r="D58" s="1100" t="str">
        <f>IF((('Assets-Liab 5-6'!D38+'Assets-Liab 5-6'!D39) ='Acct Summary 7-8'!D81), "OK", "ERROR!" )</f>
        <v>OK</v>
      </c>
    </row>
    <row r="59" spans="1:4" s="1092" customFormat="1">
      <c r="A59" s="1076"/>
      <c r="B59" s="1086"/>
      <c r="C59" s="1094" t="s">
        <v>1346</v>
      </c>
      <c r="D59" s="1100" t="str">
        <f>IF((('Assets-Liab 5-6'!E38 + 'Assets-Liab 5-6'!E39) ='Acct Summary 7-8'!E81), "OK", "ERROR!" )</f>
        <v>OK</v>
      </c>
    </row>
    <row r="60" spans="1:4">
      <c r="A60" s="1076"/>
      <c r="B60" s="1086"/>
      <c r="C60" s="1094" t="s">
        <v>1347</v>
      </c>
      <c r="D60" s="1100" t="str">
        <f>IF((('Assets-Liab 5-6'!F38 + 'Assets-Liab 5-6'!F39) ='Acct Summary 7-8'!F81), "OK", "ERROR!" )</f>
        <v>OK</v>
      </c>
    </row>
    <row r="61" spans="1:4" ht="12.75" customHeight="1">
      <c r="A61" s="1076"/>
      <c r="B61" s="1086"/>
      <c r="C61" s="1094" t="s">
        <v>1360</v>
      </c>
      <c r="D61" s="1100" t="str">
        <f>IF((('Assets-Liab 5-6'!G38 + 'Assets-Liab 5-6'!G39) ='Acct Summary 7-8'!G81), "OK", "ERROR!" )</f>
        <v>OK</v>
      </c>
    </row>
    <row r="62" spans="1:4">
      <c r="A62" s="1076"/>
      <c r="B62" s="1086"/>
      <c r="C62" s="1094" t="s">
        <v>1348</v>
      </c>
      <c r="D62" s="1100" t="str">
        <f>IF((('Assets-Liab 5-6'!H38 + 'Assets-Liab 5-6'!H39) ='Acct Summary 7-8'!H81), "OK", "ERROR!" )</f>
        <v>OK</v>
      </c>
    </row>
    <row r="63" spans="1:4" ht="12.75" customHeight="1">
      <c r="A63" s="1076"/>
      <c r="B63" s="1086"/>
      <c r="C63" s="1094" t="s">
        <v>1349</v>
      </c>
      <c r="D63" s="1100" t="str">
        <f>IF((('Assets-Liab 5-6'!I38 + 'Assets-Liab 5-6'!I39) ='Acct Summary 7-8'!I81), "OK", "ERROR!" )</f>
        <v>OK</v>
      </c>
    </row>
    <row r="64" spans="1:4">
      <c r="A64" s="1076"/>
      <c r="B64" s="1086"/>
      <c r="C64" s="1094" t="s">
        <v>1350</v>
      </c>
      <c r="D64" s="1100" t="str">
        <f>IF((('Assets-Liab 5-6'!J38 + 'Assets-Liab 5-6'!J39) ='Acct Summary 7-8'!J81), "OK", "ERROR!" )</f>
        <v>OK</v>
      </c>
    </row>
    <row r="65" spans="1:4">
      <c r="A65" s="1093"/>
      <c r="B65" s="1086"/>
      <c r="C65" s="1094" t="s">
        <v>1361</v>
      </c>
      <c r="D65" s="1100" t="str">
        <f>IF((('Assets-Liab 5-6'!K38 + 'Assets-Liab 5-6'!K39) ='Acct Summary 7-8'!K81), "OK", "ERROR!" )</f>
        <v>OK</v>
      </c>
    </row>
    <row r="66" spans="1:4">
      <c r="A66" s="1074"/>
      <c r="B66" s="1116">
        <f>B56+1+1</f>
        <v>8</v>
      </c>
      <c r="C66" s="1122" t="s">
        <v>1885</v>
      </c>
      <c r="D66" s="1101"/>
    </row>
    <row r="67" spans="1:4">
      <c r="A67" s="1095"/>
      <c r="B67" s="1116"/>
      <c r="C67" s="1123" t="s">
        <v>1020</v>
      </c>
      <c r="D67" s="1101"/>
    </row>
    <row r="68" spans="1:4">
      <c r="A68" s="1076"/>
      <c r="B68" s="1086"/>
      <c r="C68" s="1078" t="s">
        <v>1886</v>
      </c>
      <c r="D68" s="1100" t="str">
        <f>IF('Short-Term Long-Term Debt 24'!F49=SUM(,'Acct Summary 7-8'!C33:K33),"OK","ERROR!")</f>
        <v>OK</v>
      </c>
    </row>
    <row r="69" spans="1:4">
      <c r="A69" s="1076"/>
      <c r="B69" s="1086"/>
      <c r="C69" s="1078" t="s">
        <v>1887</v>
      </c>
      <c r="D69" s="1100" t="str">
        <f>IF('Expenditures 15-22'!H170&lt;&gt;'Short-Term Long-Term Debt 24'!H49,"ERROR!","OK")</f>
        <v>OK</v>
      </c>
    </row>
    <row r="70" spans="1:4">
      <c r="A70" s="1074"/>
      <c r="B70" s="1096">
        <f>B66+1</f>
        <v>9</v>
      </c>
      <c r="C70" s="2399" t="s">
        <v>1689</v>
      </c>
      <c r="D70" s="2400"/>
    </row>
    <row r="71" spans="1:4">
      <c r="A71" s="1074"/>
      <c r="B71" s="1096"/>
      <c r="C71" s="1078" t="s">
        <v>1351</v>
      </c>
      <c r="D71" s="1102" t="str">
        <f>IF(SUM('Acct Summary 7-8'!C27:K27) =SUM( 'Acct Summary 7-8'!C49:K49),"OK", "ERROR")</f>
        <v>OK</v>
      </c>
    </row>
    <row r="72" spans="1:4">
      <c r="A72" s="1076"/>
      <c r="B72" s="1086"/>
      <c r="C72" s="1094" t="s">
        <v>1352</v>
      </c>
      <c r="D72" s="1100" t="str">
        <f>IF(SUM('Acct Summary 7-8'!C28:K28)=SUM('Acct Summary 7-8'!C50:K50),"OK","ERROR!")</f>
        <v>OK</v>
      </c>
    </row>
    <row r="73" spans="1:4" ht="24">
      <c r="A73" s="1103"/>
      <c r="B73" s="1086"/>
      <c r="C73" s="1094" t="s">
        <v>1690</v>
      </c>
      <c r="D73" s="1102" t="str">
        <f>IF(SUM('Acct Summary 7-8'!C42:K42)&gt;=SUM( 'Acct Summary 7-8'!C74:K74),"OK", "ERROR")</f>
        <v>OK</v>
      </c>
    </row>
    <row r="74" spans="1:4">
      <c r="A74" s="1074"/>
      <c r="B74" s="1096">
        <f>B70+1</f>
        <v>10</v>
      </c>
      <c r="C74" s="1090" t="s">
        <v>1888</v>
      </c>
      <c r="D74" s="1104"/>
    </row>
    <row r="75" spans="1:4">
      <c r="A75" s="1076"/>
      <c r="B75" s="1086"/>
      <c r="C75" s="1094" t="s">
        <v>1374</v>
      </c>
      <c r="D75" s="1100" t="str">
        <f>IF(SUM('Assets-Liab 5-6'!C38:H38)&gt;=SUM('Rest Tax Levies-Tort Im 25'!G25:K25),"OK","ERROR")</f>
        <v>OK</v>
      </c>
    </row>
    <row r="76" spans="1:4">
      <c r="A76" s="1076"/>
      <c r="B76" s="1086"/>
      <c r="C76" s="1094" t="s">
        <v>1415</v>
      </c>
      <c r="D76" s="1100" t="str">
        <f>IF(SUM('Assets-Liab 5-6'!C39:K39)&gt;0,"OK","ENTRY IS REQUIRED!")</f>
        <v>OK</v>
      </c>
    </row>
    <row r="77" spans="1:4">
      <c r="A77" s="1076"/>
      <c r="B77" s="1105">
        <f>B74+1</f>
        <v>11</v>
      </c>
      <c r="C77" s="1150" t="s">
        <v>1375</v>
      </c>
      <c r="D77" s="1100"/>
    </row>
    <row r="78" spans="1:4">
      <c r="A78" s="1076"/>
      <c r="B78" s="1086"/>
      <c r="C78" s="1094" t="s">
        <v>1889</v>
      </c>
      <c r="D78" s="1100" t="str">
        <f>IF(ISNUMBER('Acct Summary 7-8'!C9),"OK","ENTRY IS REQUIRED!")</f>
        <v>OK</v>
      </c>
    </row>
    <row r="79" spans="1:4">
      <c r="A79" s="1095"/>
      <c r="B79" s="1096">
        <f>B74+1+1</f>
        <v>12</v>
      </c>
      <c r="C79" s="1106" t="s">
        <v>1874</v>
      </c>
      <c r="D79" s="1107" t="str">
        <f>IF(OR(COVER!$B$6="X",'PCTC-OEPP 27-28'!F78&gt;0),"OK","PLEASE ENTER 9 MO ADA.")</f>
        <v>OK</v>
      </c>
    </row>
    <row r="80" spans="1:4">
      <c r="A80" s="1074"/>
      <c r="B80" s="1096">
        <v>13</v>
      </c>
      <c r="C80" s="1106" t="s">
        <v>1890</v>
      </c>
      <c r="D80" s="1107" t="str">
        <f>IF('Contracts Paid in CY 29'!D31&gt;0,"OK","PLEASE ENTER CONTRACTS PAID IN CURRENT YEAR.")</f>
        <v>OK</v>
      </c>
    </row>
    <row r="81" spans="1:4">
      <c r="A81" s="1074"/>
      <c r="B81" s="1096">
        <v>14</v>
      </c>
      <c r="C81" s="1106" t="s">
        <v>1421</v>
      </c>
      <c r="D81" s="1099" t="str">
        <f>IF('Shared Outsourced Services 31'!B8="X","OK",IF('Shared Outsourced Services 31'!K34&gt;0,"OK","ENTRY REQUIRED!"))</f>
        <v>OK</v>
      </c>
    </row>
    <row r="82" spans="1:4">
      <c r="A82" s="1095"/>
      <c r="B82" s="1096">
        <v>15</v>
      </c>
      <c r="C82" s="1106" t="s">
        <v>1420</v>
      </c>
      <c r="D82" s="110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554</v>
      </c>
      <c r="B1" s="138" t="s">
        <v>261</v>
      </c>
    </row>
    <row r="2" spans="1:2">
      <c r="A2" t="s">
        <v>262</v>
      </c>
      <c r="B2" s="138">
        <f>COVER!A13</f>
        <v>56099204017</v>
      </c>
    </row>
    <row r="3" spans="1:2">
      <c r="A3" t="s">
        <v>955</v>
      </c>
      <c r="B3" s="138" t="str">
        <f>COVER!A15</f>
        <v>Will</v>
      </c>
    </row>
    <row r="4" spans="1:2">
      <c r="A4" t="s">
        <v>1006</v>
      </c>
      <c r="B4" s="138" t="str">
        <f>COVER!A17</f>
        <v>Joliet Twp HSD 204</v>
      </c>
    </row>
    <row r="5" spans="1:2">
      <c r="A5" t="s">
        <v>703</v>
      </c>
      <c r="B5" s="138" t="str">
        <f>COVER!A38</f>
        <v>Dr. Mike Hanson</v>
      </c>
    </row>
    <row r="6" spans="1:2">
      <c r="A6" t="s">
        <v>708</v>
      </c>
      <c r="B6" s="138">
        <f>COVER!P35</f>
        <v>0</v>
      </c>
    </row>
    <row r="7" spans="1:2">
      <c r="A7" t="s">
        <v>704</v>
      </c>
      <c r="B7" s="138">
        <f>COVER!I38</f>
        <v>0</v>
      </c>
    </row>
    <row r="8" spans="1:2">
      <c r="A8" t="s">
        <v>705</v>
      </c>
      <c r="B8" s="138">
        <f>COVER!T38</f>
        <v>0</v>
      </c>
    </row>
    <row r="9" spans="1:2">
      <c r="A9" s="3" t="s">
        <v>956</v>
      </c>
      <c r="B9" s="158" t="str">
        <f>AUDITCHECK!D23</f>
        <v xml:space="preserve">ACCRUAL </v>
      </c>
    </row>
    <row r="10" spans="1:2">
      <c r="A10" t="s">
        <v>975</v>
      </c>
      <c r="B10" s="138" t="str">
        <f>COVER!B5</f>
        <v>X</v>
      </c>
    </row>
    <row r="11" spans="1:2">
      <c r="A11" t="s">
        <v>976</v>
      </c>
      <c r="B11" s="138">
        <f>COVER!B6</f>
        <v>0</v>
      </c>
    </row>
    <row r="12" spans="1:2">
      <c r="A12" s="1" t="s">
        <v>1540</v>
      </c>
      <c r="B12" s="138" t="str">
        <f>IF(COVER!J29="x","Yes",IF(COVER!L29="X","No",0))</f>
        <v>Yes</v>
      </c>
    </row>
    <row r="13" spans="1:2">
      <c r="A13" s="1" t="s">
        <v>1541</v>
      </c>
      <c r="B13" s="138" t="str">
        <f>IF(COVER!J30="x","Yes",IF(COVER!L30="x","No",0))</f>
        <v>Yes</v>
      </c>
    </row>
    <row r="14" spans="1:2">
      <c r="A14" t="s">
        <v>475</v>
      </c>
      <c r="B14" s="138" t="str">
        <f>IF(COVER!J31="x","Yes",IF(COVER!L31="x","No",0))</f>
        <v>No</v>
      </c>
    </row>
    <row r="15" spans="1:2">
      <c r="A15" t="s">
        <v>576</v>
      </c>
      <c r="B15" s="138" t="str">
        <f>COVER!T23</f>
        <v>066-004133</v>
      </c>
    </row>
    <row r="16" spans="1:2">
      <c r="A16" t="s">
        <v>421</v>
      </c>
      <c r="B16" s="138" t="str">
        <f>COVER!T13</f>
        <v>Wermer, Rogers, Doran &amp; Ruzon, LLC</v>
      </c>
    </row>
    <row r="17" spans="1:2">
      <c r="A17" t="s">
        <v>883</v>
      </c>
      <c r="B17" s="138" t="str">
        <f>COVER!T15</f>
        <v>David M. Meyer</v>
      </c>
    </row>
    <row r="18" spans="1:2">
      <c r="A18" t="s">
        <v>1149</v>
      </c>
      <c r="B18" s="138" t="str">
        <f>COVER!T17</f>
        <v>755 Essington Road</v>
      </c>
    </row>
    <row r="19" spans="1:2">
      <c r="A19" t="s">
        <v>885</v>
      </c>
      <c r="B19" s="138" t="str">
        <f>COVER!T25</f>
        <v>dmm@wrdr.com</v>
      </c>
    </row>
    <row r="20" spans="1:2">
      <c r="A20" t="s">
        <v>886</v>
      </c>
      <c r="B20" s="138" t="str">
        <f>COVER!T19</f>
        <v>Joliet</v>
      </c>
    </row>
    <row r="21" spans="1:2">
      <c r="A21" t="s">
        <v>478</v>
      </c>
      <c r="B21" s="138" t="str">
        <f>COVER!X19</f>
        <v>IL</v>
      </c>
    </row>
    <row r="22" spans="1:2">
      <c r="A22" t="s">
        <v>887</v>
      </c>
      <c r="B22" s="138">
        <f>COVER!Z19</f>
        <v>60435</v>
      </c>
    </row>
    <row r="23" spans="1:2">
      <c r="A23" t="s">
        <v>1151</v>
      </c>
      <c r="B23" s="138" t="str">
        <f>COVER!T21</f>
        <v>(815)730-6250</v>
      </c>
    </row>
    <row r="24" spans="1:2">
      <c r="A24" t="s">
        <v>1150</v>
      </c>
      <c r="B24" s="138">
        <f>COVER!Y21</f>
        <v>0</v>
      </c>
    </row>
    <row r="25" spans="1:2">
      <c r="A25" t="s">
        <v>760</v>
      </c>
      <c r="B25" s="138" t="str">
        <f>COVER!B34</f>
        <v>X</v>
      </c>
    </row>
    <row r="26" spans="1:2">
      <c r="A26" t="s">
        <v>1152</v>
      </c>
      <c r="B26" s="138">
        <f>COVER!L34</f>
        <v>0</v>
      </c>
    </row>
    <row r="27" spans="1:2">
      <c r="A27" t="s">
        <v>267</v>
      </c>
      <c r="B27" s="138">
        <f>COVER!U34</f>
        <v>0</v>
      </c>
    </row>
    <row r="28" spans="1:2">
      <c r="A28" t="s">
        <v>315</v>
      </c>
      <c r="B28" s="138" t="str">
        <f>IF('Aud Quest 2'!B9="x","Yes",IF('Aud Quest 2'!B9&lt;&gt;"x","0"))</f>
        <v>0</v>
      </c>
    </row>
    <row r="29" spans="1:2">
      <c r="A29" t="s">
        <v>316</v>
      </c>
      <c r="B29" s="138" t="str">
        <f>IF('Aud Quest 2'!B11="x","Yes",IF('Aud Quest 2'!B11&lt;&gt;"x","0"))</f>
        <v>0</v>
      </c>
    </row>
    <row r="30" spans="1:2">
      <c r="A30" t="s">
        <v>317</v>
      </c>
      <c r="B30" s="138" t="str">
        <f>IF('Aud Quest 2'!B13="x","Yes",IF('Aud Quest 2'!B13&lt;&gt;"x","0"))</f>
        <v>0</v>
      </c>
    </row>
    <row r="31" spans="1:2">
      <c r="A31" t="s">
        <v>658</v>
      </c>
      <c r="B31" s="138" t="str">
        <f>IF('Aud Quest 2'!B14="x","Yes",IF('Aud Quest 2'!B14&lt;&gt;"x","0"))</f>
        <v>0</v>
      </c>
    </row>
    <row r="32" spans="1:2">
      <c r="A32" t="s">
        <v>657</v>
      </c>
      <c r="B32" s="138" t="str">
        <f>IF('Aud Quest 2'!B15="x","Yes",IF('Aud Quest 2'!B15&lt;&gt;"x","0"))</f>
        <v>0</v>
      </c>
    </row>
    <row r="33" spans="1:2">
      <c r="A33" t="s">
        <v>659</v>
      </c>
      <c r="B33" s="138" t="str">
        <f>IF('Aud Quest 2'!B16="x","Yes",IF('Aud Quest 2'!B16&lt;&gt;"x","0"))</f>
        <v>0</v>
      </c>
    </row>
    <row r="34" spans="1:2">
      <c r="A34" t="s">
        <v>660</v>
      </c>
      <c r="B34" s="138" t="str">
        <f>IF('Aud Quest 2'!B18="x","Yes",IF('Aud Quest 2'!B18&lt;&gt;"x","0"))</f>
        <v>0</v>
      </c>
    </row>
    <row r="35" spans="1:2">
      <c r="A35" t="s">
        <v>661</v>
      </c>
      <c r="B35" s="138" t="str">
        <f>IF('Aud Quest 2'!B20="x","Yes",IF('Aud Quest 2'!B20&lt;&gt;"x","0"))</f>
        <v>0</v>
      </c>
    </row>
    <row r="36" spans="1:2">
      <c r="A36" t="s">
        <v>655</v>
      </c>
      <c r="B36" s="138" t="str">
        <f>IF('Aud Quest 2'!B22="x","Yes",IF('Aud Quest 2'!B22&lt;&gt;"x","0"))</f>
        <v>0</v>
      </c>
    </row>
    <row r="37" spans="1:2">
      <c r="A37" t="s">
        <v>759</v>
      </c>
      <c r="B37" s="138" t="str">
        <f>IF('Aud Quest 2'!B24="x","Yes",IF('Aud Quest 2'!B24&lt;&gt;"x","0"))</f>
        <v>0</v>
      </c>
    </row>
    <row r="38" spans="1:2">
      <c r="A38" t="s">
        <v>326</v>
      </c>
      <c r="B38" s="138" t="str">
        <f>IF('Aud Quest 2'!B25="x","Yes",IF('Aud Quest 2'!B25&lt;&gt;"x","0"))</f>
        <v>0</v>
      </c>
    </row>
    <row r="39" spans="1:2">
      <c r="A39" t="s">
        <v>327</v>
      </c>
      <c r="B39" s="138" t="str">
        <f>IF('Aud Quest 2'!B27="x","Yes",IF('Aud Quest 2'!B27&lt;&gt;"x","0"))</f>
        <v>0</v>
      </c>
    </row>
    <row r="40" spans="1:2">
      <c r="A40" t="s">
        <v>318</v>
      </c>
      <c r="B40" s="138" t="str">
        <f>IF('Aud Quest 2'!B29="x","Yes",IF('Aud Quest 2'!B29&lt;&gt;"x","0"))</f>
        <v>0</v>
      </c>
    </row>
    <row r="41" spans="1:2">
      <c r="A41" t="s">
        <v>319</v>
      </c>
      <c r="B41" s="138" t="str">
        <f>IF('Aud Quest 2'!B31="x","Yes",IF('Aud Quest 2'!B31&lt;&gt;"x","0"))</f>
        <v>0</v>
      </c>
    </row>
    <row r="42" spans="1:2">
      <c r="A42" t="s">
        <v>320</v>
      </c>
      <c r="B42" s="138" t="str">
        <f>IF('Aud Quest 2'!B37="x","Yes",IF('Aud Quest 2'!B37&lt;&gt;"x","0"))</f>
        <v>0</v>
      </c>
    </row>
    <row r="43" spans="1:2">
      <c r="A43" t="s">
        <v>321</v>
      </c>
      <c r="B43" s="138" t="str">
        <f>IF('Aud Quest 2'!B40="x","Yes",IF('Aud Quest 2'!B40&lt;&gt;"x","0"))</f>
        <v>0</v>
      </c>
    </row>
    <row r="44" spans="1:2">
      <c r="A44" s="1" t="s">
        <v>322</v>
      </c>
      <c r="B44" s="138" t="str">
        <f>IF('Aud Quest 2'!B42="x","Yes",IF('Aud Quest 2'!B42&lt;&gt;"x","0"))</f>
        <v>0</v>
      </c>
    </row>
    <row r="45" spans="1:2">
      <c r="A45" t="s">
        <v>323</v>
      </c>
      <c r="B45" s="138" t="str">
        <f>IF('Aud Quest 2'!B44="x","Yes",IF('Aud Quest 2'!B44&lt;&gt;"x","0"))</f>
        <v>0</v>
      </c>
    </row>
    <row r="46" spans="1:2">
      <c r="A46" t="s">
        <v>324</v>
      </c>
      <c r="B46" s="138" t="str">
        <f>IF('Aud Quest 2'!B49="x","Yes",IF('Aud Quest 2'!B49&lt;&gt;"x","0"))</f>
        <v>0</v>
      </c>
    </row>
    <row r="47" spans="1:2">
      <c r="A47" t="s">
        <v>325</v>
      </c>
      <c r="B47" s="138" t="str">
        <f>IF('Aud Quest 2'!B50="x","Yes",IF('Aud Quest 2'!B50&lt;&gt;"x","0"))</f>
        <v>Yes</v>
      </c>
    </row>
    <row r="48" spans="1:2">
      <c r="A48" t="s">
        <v>482</v>
      </c>
      <c r="B48" s="138" t="str">
        <f>IF('Aud Quest 2'!B51="x","Yes",IF('Aud Quest 2'!B51&lt;&gt;"x","0"))</f>
        <v>0</v>
      </c>
    </row>
    <row r="49" spans="1:4">
      <c r="A49" s="1" t="s">
        <v>1478</v>
      </c>
      <c r="B49" s="138" t="str">
        <f>IF('Aud Quest 2'!B53="x","Yes",IF('Aud Quest 2'!B53&lt;&gt;"x","0"))</f>
        <v>Yes</v>
      </c>
    </row>
    <row r="50" spans="1:4">
      <c r="A50" s="1" t="s">
        <v>1477</v>
      </c>
      <c r="B50" s="150">
        <f>'Aud Quest 2'!H53</f>
        <v>33420</v>
      </c>
    </row>
    <row r="51" spans="1:4">
      <c r="A51" s="1" t="s">
        <v>1479</v>
      </c>
      <c r="B51" s="138" t="str">
        <f>IF('Aud Quest 2'!B54="x","Yes",IF('Aud Quest 2'!B54&lt;&gt;"x","0"))</f>
        <v>0</v>
      </c>
    </row>
    <row r="52" spans="1:4">
      <c r="A52" t="s">
        <v>328</v>
      </c>
      <c r="B52" s="138">
        <f>('Aud Quest 2'!D56)</f>
        <v>0</v>
      </c>
    </row>
    <row r="53" spans="1:4">
      <c r="A53" s="1" t="s">
        <v>329</v>
      </c>
      <c r="B53" s="138">
        <f>IF('FP Info 3'!B44="X","Yes",0)</f>
        <v>0</v>
      </c>
    </row>
    <row r="54" spans="1:4">
      <c r="A54" t="s">
        <v>330</v>
      </c>
      <c r="B54" s="138">
        <f>IF('FP Info 3'!B45="X","Yes",0)</f>
        <v>0</v>
      </c>
    </row>
    <row r="55" spans="1:4">
      <c r="A55" t="s">
        <v>331</v>
      </c>
      <c r="B55" s="138">
        <f>IF('FP Info 3'!B46="X","Yes",0)</f>
        <v>0</v>
      </c>
    </row>
    <row r="56" spans="1:4">
      <c r="A56" t="s">
        <v>332</v>
      </c>
      <c r="B56" s="138">
        <f>IF('FP Info 3'!B47="X","Yes",0)</f>
        <v>0</v>
      </c>
    </row>
    <row r="57" spans="1:4">
      <c r="A57" t="s">
        <v>333</v>
      </c>
      <c r="B57" s="138">
        <f>IF('FP Info 3'!B48="X","Yes",0)</f>
        <v>0</v>
      </c>
    </row>
    <row r="58" spans="1:4">
      <c r="A58" t="s">
        <v>334</v>
      </c>
      <c r="B58" s="138">
        <f>IF('FP Info 3'!B49="X","Yes",0)</f>
        <v>0</v>
      </c>
    </row>
    <row r="59" spans="1:4">
      <c r="A59" t="s">
        <v>335</v>
      </c>
      <c r="B59" s="138">
        <f>IF('FP Info 3'!B50="X","Yes",0)</f>
        <v>0</v>
      </c>
    </row>
    <row r="60" spans="1:4">
      <c r="A60" t="s">
        <v>336</v>
      </c>
      <c r="B60" s="138">
        <f>IF('FP Info 3'!B51="X","Yes",0)</f>
        <v>0</v>
      </c>
    </row>
    <row r="61" spans="1:4">
      <c r="A61" t="s">
        <v>337</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23823590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45649</v>
      </c>
      <c r="D72" s="2" t="str">
        <f t="shared" si="0"/>
        <v>Error?</v>
      </c>
    </row>
    <row r="73" spans="1:4">
      <c r="A73" s="5">
        <v>12</v>
      </c>
      <c r="B73" s="138">
        <f>'Assets-Liab 5-6'!C5</f>
        <v>34165656</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74516964</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234519</v>
      </c>
      <c r="D86" s="2" t="str">
        <f t="shared" si="0"/>
        <v>Error?</v>
      </c>
    </row>
    <row r="87" spans="1:4">
      <c r="A87" s="10">
        <v>26</v>
      </c>
      <c r="D87" s="2" t="str">
        <f t="shared" si="0"/>
        <v>OK</v>
      </c>
    </row>
    <row r="88" spans="1:4">
      <c r="A88" s="5">
        <v>27</v>
      </c>
      <c r="B88" s="138">
        <f>'Assets-Liab 5-6'!C32</f>
        <v>26598727</v>
      </c>
      <c r="D88" s="2" t="str">
        <f t="shared" si="0"/>
        <v>Error?</v>
      </c>
    </row>
    <row r="89" spans="1:4">
      <c r="A89" s="10">
        <v>28</v>
      </c>
      <c r="D89" s="2" t="str">
        <f t="shared" si="0"/>
        <v>OK</v>
      </c>
    </row>
    <row r="90" spans="1:4">
      <c r="A90" s="10">
        <v>29</v>
      </c>
      <c r="D90" s="2" t="str">
        <f t="shared" si="0"/>
        <v>OK</v>
      </c>
    </row>
    <row r="91" spans="1:4">
      <c r="A91" s="5">
        <v>30</v>
      </c>
      <c r="B91" s="138">
        <f>'Assets-Liab 5-6'!C34</f>
        <v>31620485</v>
      </c>
      <c r="C91" s="2" t="s">
        <v>572</v>
      </c>
      <c r="D91" s="2" t="str">
        <f t="shared" si="0"/>
        <v>Error?</v>
      </c>
    </row>
    <row r="92" spans="1:4">
      <c r="A92" s="5">
        <v>31</v>
      </c>
      <c r="B92" s="138">
        <f>'Assets-Liab 5-6'!C39</f>
        <v>42687695</v>
      </c>
      <c r="D92" s="2" t="str">
        <f t="shared" si="0"/>
        <v>Error?</v>
      </c>
    </row>
    <row r="93" spans="1:4">
      <c r="A93" s="5">
        <v>32</v>
      </c>
      <c r="B93" s="138">
        <f>'Assets-Liab 5-6'!C41</f>
        <v>74516964</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4481651</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5134443</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9747690</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4569578</v>
      </c>
      <c r="D119" s="2" t="str">
        <f t="shared" si="0"/>
        <v>Error?</v>
      </c>
    </row>
    <row r="120" spans="1:4">
      <c r="A120" s="10">
        <v>59</v>
      </c>
      <c r="D120" s="2" t="str">
        <f t="shared" si="0"/>
        <v>OK</v>
      </c>
    </row>
    <row r="121" spans="1:4">
      <c r="A121" s="10">
        <v>60</v>
      </c>
      <c r="D121" s="2" t="str">
        <f t="shared" si="0"/>
        <v>OK</v>
      </c>
    </row>
    <row r="122" spans="1:4">
      <c r="A122" s="5">
        <v>61</v>
      </c>
      <c r="B122" s="138">
        <f>'Assets-Liab 5-6'!D34</f>
        <v>5059365</v>
      </c>
      <c r="C122" s="2" t="s">
        <v>572</v>
      </c>
      <c r="D122" s="2" t="str">
        <f t="shared" si="0"/>
        <v>Error?</v>
      </c>
    </row>
    <row r="123" spans="1:4">
      <c r="A123" s="5">
        <v>62</v>
      </c>
      <c r="B123" s="138">
        <f>'Assets-Liab 5-6'!D39</f>
        <v>4688325</v>
      </c>
      <c r="D123" s="2" t="str">
        <f t="shared" si="0"/>
        <v>Error?</v>
      </c>
    </row>
    <row r="124" spans="1:4">
      <c r="A124" s="5">
        <v>63</v>
      </c>
      <c r="B124" s="138">
        <f>'Assets-Liab 5-6'!D41</f>
        <v>9747690</v>
      </c>
      <c r="C124" s="2" t="s">
        <v>572</v>
      </c>
      <c r="D124" s="2" t="str">
        <f t="shared" si="0"/>
        <v>Error?</v>
      </c>
    </row>
    <row r="125" spans="1:4">
      <c r="A125" s="10">
        <v>64</v>
      </c>
      <c r="D125" s="2" t="str">
        <f t="shared" si="0"/>
        <v>OK</v>
      </c>
    </row>
    <row r="126" spans="1:4">
      <c r="A126" s="5">
        <v>65</v>
      </c>
      <c r="B126" s="138">
        <f>'Assets-Liab 5-6'!E6</f>
        <v>3681043</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246000</v>
      </c>
      <c r="D129" s="2" t="str">
        <f t="shared" si="1"/>
        <v>Error?</v>
      </c>
    </row>
    <row r="130" spans="1:4">
      <c r="A130" s="5">
        <v>69</v>
      </c>
      <c r="B130" s="138">
        <f>'Assets-Liab 5-6'!E12</f>
        <v>0</v>
      </c>
      <c r="D130" s="2" t="str">
        <f t="shared" si="1"/>
        <v>Error?</v>
      </c>
    </row>
    <row r="131" spans="1:4">
      <c r="A131" s="5">
        <v>70</v>
      </c>
      <c r="B131" s="138">
        <f>'Assets-Liab 5-6'!E13</f>
        <v>7106444</v>
      </c>
      <c r="C131" s="2" t="s">
        <v>572</v>
      </c>
      <c r="D131" s="2" t="str">
        <f t="shared" si="1"/>
        <v>Error?</v>
      </c>
    </row>
    <row r="132" spans="1:4">
      <c r="A132" s="10">
        <v>71</v>
      </c>
      <c r="D132" s="2" t="str">
        <f t="shared" si="1"/>
        <v>OK</v>
      </c>
    </row>
    <row r="133" spans="1:4">
      <c r="A133" s="10">
        <v>72</v>
      </c>
      <c r="D133" s="2" t="str">
        <f t="shared" si="1"/>
        <v>OK</v>
      </c>
    </row>
    <row r="134" spans="1:4">
      <c r="A134" s="5">
        <v>73</v>
      </c>
      <c r="B134" s="138">
        <f>'Assets-Liab 5-6'!E32</f>
        <v>3910636</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3910636</v>
      </c>
      <c r="C139" s="2" t="s">
        <v>572</v>
      </c>
      <c r="D139" s="2" t="str">
        <f t="shared" si="1"/>
        <v>Error?</v>
      </c>
    </row>
    <row r="140" spans="1:4">
      <c r="A140" s="5">
        <v>79</v>
      </c>
      <c r="B140" s="138">
        <f>'Assets-Liab 5-6'!E39</f>
        <v>3195808</v>
      </c>
      <c r="D140" s="2" t="str">
        <f t="shared" si="1"/>
        <v>Error?</v>
      </c>
    </row>
    <row r="141" spans="1:4">
      <c r="A141" s="5">
        <v>80</v>
      </c>
      <c r="B141" s="138">
        <f>'Assets-Liab 5-6'!E41</f>
        <v>7106444</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1838325</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9194800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15697805</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5129945</v>
      </c>
      <c r="D166" s="2" t="str">
        <f t="shared" si="1"/>
        <v>Error?</v>
      </c>
    </row>
    <row r="167" spans="1:4">
      <c r="A167" s="10">
        <v>106</v>
      </c>
      <c r="D167" s="2" t="str">
        <f t="shared" si="1"/>
        <v>OK</v>
      </c>
    </row>
    <row r="168" spans="1:4">
      <c r="A168" s="10">
        <v>107</v>
      </c>
      <c r="D168" s="2" t="str">
        <f t="shared" si="1"/>
        <v>OK</v>
      </c>
    </row>
    <row r="169" spans="1:4">
      <c r="A169" s="5">
        <v>108</v>
      </c>
      <c r="B169" s="138">
        <f>'Assets-Liab 5-6'!F34</f>
        <v>5439396</v>
      </c>
      <c r="C169" s="2" t="s">
        <v>572</v>
      </c>
      <c r="D169" s="2" t="str">
        <f t="shared" si="1"/>
        <v>Error?</v>
      </c>
    </row>
    <row r="170" spans="1:4">
      <c r="A170" s="5">
        <v>109</v>
      </c>
      <c r="B170" s="138">
        <f>'Assets-Liab 5-6'!F39</f>
        <v>10207499</v>
      </c>
      <c r="D170" s="2" t="str">
        <f t="shared" si="1"/>
        <v>Error?</v>
      </c>
    </row>
    <row r="171" spans="1:4">
      <c r="A171" s="5">
        <v>110</v>
      </c>
      <c r="B171" s="138">
        <f>'Assets-Liab 5-6'!F41</f>
        <v>15697805</v>
      </c>
      <c r="C171" s="2" t="s">
        <v>572</v>
      </c>
      <c r="D171" s="2" t="str">
        <f t="shared" si="1"/>
        <v>Error?</v>
      </c>
    </row>
    <row r="172" spans="1:4">
      <c r="A172" s="10">
        <v>111</v>
      </c>
      <c r="D172" s="2" t="str">
        <f t="shared" si="1"/>
        <v>OK</v>
      </c>
    </row>
    <row r="173" spans="1:4">
      <c r="A173" s="5">
        <v>112</v>
      </c>
      <c r="B173" s="138">
        <f>'Assets-Liab 5-6'!G6</f>
        <v>1583653</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1220800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6248827</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1614724</v>
      </c>
      <c r="D185" s="2" t="str">
        <f t="shared" si="1"/>
        <v>Error?</v>
      </c>
    </row>
    <row r="186" spans="1:4">
      <c r="A186" s="10">
        <v>125</v>
      </c>
      <c r="D186" s="2" t="str">
        <f t="shared" si="1"/>
        <v>OK</v>
      </c>
    </row>
    <row r="187" spans="1:4">
      <c r="A187" s="10">
        <v>126</v>
      </c>
      <c r="D187" s="2" t="str">
        <f t="shared" si="1"/>
        <v>OK</v>
      </c>
    </row>
    <row r="188" spans="1:4">
      <c r="A188" s="5">
        <v>127</v>
      </c>
      <c r="B188" s="138">
        <f>'Assets-Liab 5-6'!G34</f>
        <v>1632802</v>
      </c>
      <c r="C188" s="2" t="s">
        <v>572</v>
      </c>
      <c r="D188" s="2" t="str">
        <f t="shared" si="1"/>
        <v>Error?</v>
      </c>
    </row>
    <row r="189" spans="1:4">
      <c r="A189" s="5">
        <v>128</v>
      </c>
      <c r="B189" s="138">
        <f>'Assets-Liab 5-6'!G39</f>
        <v>4616025</v>
      </c>
      <c r="D189" s="2" t="str">
        <f t="shared" si="1"/>
        <v>Error?</v>
      </c>
    </row>
    <row r="190" spans="1:4">
      <c r="A190" s="5">
        <v>129</v>
      </c>
      <c r="B190" s="138">
        <f>'Assets-Liab 5-6'!G41</f>
        <v>6248827</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2304437</v>
      </c>
      <c r="C203" s="2" t="s">
        <v>572</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536495</v>
      </c>
      <c r="C211" s="2" t="s">
        <v>572</v>
      </c>
      <c r="D211" s="2" t="str">
        <f t="shared" si="2"/>
        <v>Error?</v>
      </c>
    </row>
    <row r="212" spans="1:4">
      <c r="A212" s="5">
        <v>151</v>
      </c>
      <c r="B212" s="138">
        <f>'Assets-Liab 5-6'!H39</f>
        <v>1767942</v>
      </c>
      <c r="D212" s="2" t="str">
        <f t="shared" si="2"/>
        <v>Error?</v>
      </c>
    </row>
    <row r="213" spans="1:4">
      <c r="A213" s="12">
        <v>152</v>
      </c>
      <c r="B213" s="138">
        <f>'Assets-Liab 5-6'!H41</f>
        <v>2304437</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8529255</v>
      </c>
      <c r="D273" s="2" t="str">
        <f t="shared" si="3"/>
        <v>Error?</v>
      </c>
    </row>
    <row r="274" spans="1:4">
      <c r="A274" s="5">
        <v>213</v>
      </c>
      <c r="B274" s="138">
        <f>'Assets-Liab 5-6'!M17</f>
        <v>158148690</v>
      </c>
      <c r="D274" s="2" t="str">
        <f t="shared" si="3"/>
        <v>Error?</v>
      </c>
    </row>
    <row r="275" spans="1:4">
      <c r="A275" s="5">
        <v>214</v>
      </c>
      <c r="B275" s="138">
        <f>'Assets-Liab 5-6'!M18</f>
        <v>11935879</v>
      </c>
      <c r="D275" s="2" t="str">
        <f t="shared" si="3"/>
        <v>Error?</v>
      </c>
    </row>
    <row r="276" spans="1:4">
      <c r="A276" s="5">
        <v>215</v>
      </c>
      <c r="B276" s="138">
        <f>'Assets-Liab 5-6'!M19</f>
        <v>26030682</v>
      </c>
      <c r="D276" s="2" t="str">
        <f t="shared" si="3"/>
        <v>Error?</v>
      </c>
    </row>
    <row r="277" spans="1:4">
      <c r="A277" s="10">
        <v>216</v>
      </c>
      <c r="D277" s="2" t="str">
        <f t="shared" si="3"/>
        <v>OK</v>
      </c>
    </row>
    <row r="278" spans="1:4">
      <c r="A278" s="10">
        <v>217</v>
      </c>
      <c r="D278" s="2" t="str">
        <f t="shared" si="3"/>
        <v>OK</v>
      </c>
    </row>
    <row r="279" spans="1:4">
      <c r="A279" s="5">
        <v>218</v>
      </c>
      <c r="B279" s="138">
        <f>'Assets-Liab 5-6'!M23</f>
        <v>205633758</v>
      </c>
      <c r="C279" s="2" t="s">
        <v>572</v>
      </c>
      <c r="D279" s="2" t="str">
        <f t="shared" si="3"/>
        <v>Error?</v>
      </c>
    </row>
    <row r="280" spans="1:4">
      <c r="A280" s="5">
        <v>219</v>
      </c>
      <c r="B280" s="138">
        <f>'Assets-Liab 5-6'!M40</f>
        <v>205633758</v>
      </c>
      <c r="D280" s="2" t="str">
        <f t="shared" si="3"/>
        <v>Error?</v>
      </c>
    </row>
    <row r="281" spans="1:4">
      <c r="A281" s="5">
        <v>220</v>
      </c>
      <c r="B281" s="138">
        <f>'Assets-Liab 5-6'!M41</f>
        <v>205633758</v>
      </c>
      <c r="C281" s="2" t="s">
        <v>572</v>
      </c>
      <c r="D281" s="2" t="str">
        <f t="shared" si="3"/>
        <v>Error?</v>
      </c>
    </row>
    <row r="282" spans="1:4">
      <c r="A282" s="5">
        <v>221</v>
      </c>
      <c r="B282" s="138">
        <f>'Assets-Liab 5-6'!N21</f>
        <v>3195808</v>
      </c>
      <c r="D282" s="2" t="str">
        <f t="shared" si="3"/>
        <v>Error?</v>
      </c>
    </row>
    <row r="283" spans="1:4">
      <c r="A283" s="5">
        <v>222</v>
      </c>
      <c r="B283" s="138">
        <f>'Assets-Liab 5-6'!N22</f>
        <v>82815331</v>
      </c>
      <c r="D283" s="2" t="str">
        <f t="shared" si="3"/>
        <v>Error?</v>
      </c>
    </row>
    <row r="284" spans="1:4">
      <c r="A284" s="5">
        <v>223</v>
      </c>
      <c r="B284" s="138">
        <f>'Assets-Liab 5-6'!N23</f>
        <v>86011139</v>
      </c>
      <c r="C284" s="2" t="s">
        <v>572</v>
      </c>
      <c r="D284" s="2" t="str">
        <f t="shared" si="3"/>
        <v>Error?</v>
      </c>
    </row>
    <row r="285" spans="1:4">
      <c r="A285" s="5">
        <v>224</v>
      </c>
      <c r="B285" s="138">
        <f>'Assets-Liab 5-6'!N36</f>
        <v>86011139</v>
      </c>
      <c r="D285" s="2" t="str">
        <f t="shared" si="3"/>
        <v>Error?</v>
      </c>
    </row>
    <row r="286" spans="1:4">
      <c r="A286" s="10">
        <v>225</v>
      </c>
      <c r="D286" s="2" t="str">
        <f t="shared" si="3"/>
        <v>OK</v>
      </c>
    </row>
    <row r="287" spans="1:4">
      <c r="A287" s="5">
        <v>226</v>
      </c>
      <c r="B287" s="138">
        <f>'Assets-Liab 5-6'!N37</f>
        <v>86011139</v>
      </c>
      <c r="C287" s="2" t="s">
        <v>572</v>
      </c>
      <c r="D287" s="2" t="str">
        <f t="shared" si="3"/>
        <v>Error?</v>
      </c>
    </row>
    <row r="288" spans="1:4">
      <c r="A288" s="5">
        <v>227</v>
      </c>
      <c r="B288" s="138">
        <f>'Assets-Liab 5-6'!N41</f>
        <v>86011139</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21092929</v>
      </c>
      <c r="D705" s="2" t="str">
        <f t="shared" si="10"/>
        <v>Error?</v>
      </c>
    </row>
    <row r="706" spans="1:4">
      <c r="A706" s="5">
        <v>645</v>
      </c>
      <c r="B706" s="138">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2432</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4191582</v>
      </c>
      <c r="D717" s="2" t="str">
        <f t="shared" si="10"/>
        <v>Error?</v>
      </c>
    </row>
    <row r="718" spans="1:4">
      <c r="A718" s="5">
        <v>657</v>
      </c>
      <c r="B718" s="138">
        <f>'Expenditures 15-22'!C14</f>
        <v>1536194</v>
      </c>
      <c r="D718" s="2" t="str">
        <f t="shared" si="10"/>
        <v>Error?</v>
      </c>
    </row>
    <row r="719" spans="1:4">
      <c r="A719" s="5">
        <v>658</v>
      </c>
      <c r="B719" s="138">
        <f>'Expenditures 15-22'!C15</f>
        <v>78111</v>
      </c>
      <c r="D719" s="2" t="str">
        <f t="shared" si="10"/>
        <v>Error?</v>
      </c>
    </row>
    <row r="720" spans="1:4">
      <c r="A720" s="5">
        <v>659</v>
      </c>
      <c r="B720" s="138">
        <f>'Expenditures 15-22'!C33</f>
        <v>35818807</v>
      </c>
      <c r="C720" s="2" t="s">
        <v>572</v>
      </c>
      <c r="D720" s="2" t="str">
        <f t="shared" si="10"/>
        <v>Error?</v>
      </c>
    </row>
    <row r="721" spans="1:4">
      <c r="A721" s="5">
        <v>660</v>
      </c>
      <c r="B721" s="138">
        <f>'Expenditures 15-22'!C36</f>
        <v>608500</v>
      </c>
      <c r="D721" s="2" t="str">
        <f t="shared" si="10"/>
        <v>Error?</v>
      </c>
    </row>
    <row r="722" spans="1:4">
      <c r="A722" s="5">
        <v>661</v>
      </c>
      <c r="B722" s="138">
        <f>'Expenditures 15-22'!C37</f>
        <v>3285698</v>
      </c>
      <c r="D722" s="2" t="str">
        <f t="shared" si="10"/>
        <v>Error?</v>
      </c>
    </row>
    <row r="723" spans="1:4">
      <c r="A723" s="5">
        <v>662</v>
      </c>
      <c r="B723" s="138">
        <f>'Expenditures 15-22'!C38</f>
        <v>33201</v>
      </c>
      <c r="D723" s="2" t="str">
        <f t="shared" si="10"/>
        <v>Error?</v>
      </c>
    </row>
    <row r="724" spans="1:4">
      <c r="A724" s="5">
        <v>663</v>
      </c>
      <c r="B724" s="138">
        <f>'Expenditures 15-22'!C39</f>
        <v>311841</v>
      </c>
      <c r="D724" s="2" t="str">
        <f t="shared" si="10"/>
        <v>Error?</v>
      </c>
    </row>
    <row r="725" spans="1:4">
      <c r="A725" s="5">
        <v>664</v>
      </c>
      <c r="B725" s="138">
        <f>'Expenditures 15-22'!C40</f>
        <v>2660</v>
      </c>
      <c r="D725" s="2" t="str">
        <f t="shared" si="10"/>
        <v>Error?</v>
      </c>
    </row>
    <row r="726" spans="1:4">
      <c r="A726" s="5">
        <v>665</v>
      </c>
      <c r="B726" s="138">
        <f>'Expenditures 15-22'!C41</f>
        <v>0</v>
      </c>
      <c r="D726" s="2" t="str">
        <f t="shared" si="10"/>
        <v>Error?</v>
      </c>
    </row>
    <row r="727" spans="1:4">
      <c r="A727" s="5">
        <v>666</v>
      </c>
      <c r="B727" s="138">
        <f>'Expenditures 15-22'!C42</f>
        <v>4241900</v>
      </c>
      <c r="C727" s="2" t="s">
        <v>572</v>
      </c>
      <c r="D727" s="2" t="str">
        <f t="shared" si="10"/>
        <v>Error?</v>
      </c>
    </row>
    <row r="728" spans="1:4">
      <c r="A728" s="5">
        <v>667</v>
      </c>
      <c r="B728" s="138">
        <f>'Expenditures 15-22'!C44</f>
        <v>1067050</v>
      </c>
      <c r="D728" s="2" t="str">
        <f t="shared" si="10"/>
        <v>Error?</v>
      </c>
    </row>
    <row r="729" spans="1:4">
      <c r="A729" s="5">
        <v>668</v>
      </c>
      <c r="B729" s="138">
        <f>'Expenditures 15-22'!C45</f>
        <v>129355</v>
      </c>
      <c r="D729" s="2" t="str">
        <f t="shared" si="10"/>
        <v>Error?</v>
      </c>
    </row>
    <row r="730" spans="1:4">
      <c r="A730" s="5">
        <v>669</v>
      </c>
      <c r="B730" s="138">
        <f>'Expenditures 15-22'!C46</f>
        <v>0</v>
      </c>
      <c r="D730" s="2" t="str">
        <f t="shared" si="10"/>
        <v>Error?</v>
      </c>
    </row>
    <row r="731" spans="1:4">
      <c r="A731" s="5">
        <v>670</v>
      </c>
      <c r="B731" s="138">
        <f>'Expenditures 15-22'!C47</f>
        <v>1196405</v>
      </c>
      <c r="C731" s="2" t="s">
        <v>572</v>
      </c>
      <c r="D731" s="2" t="str">
        <f t="shared" si="10"/>
        <v>Error?</v>
      </c>
    </row>
    <row r="732" spans="1:4">
      <c r="A732" s="5">
        <v>671</v>
      </c>
      <c r="B732" s="138">
        <f>'Expenditures 15-22'!C49</f>
        <v>0</v>
      </c>
      <c r="D732" s="2" t="str">
        <f t="shared" si="10"/>
        <v>Error?</v>
      </c>
    </row>
    <row r="733" spans="1:4">
      <c r="A733" s="5">
        <v>672</v>
      </c>
      <c r="B733" s="138">
        <f>'Expenditures 15-22'!C50</f>
        <v>394730</v>
      </c>
      <c r="D733" s="2" t="str">
        <f t="shared" si="10"/>
        <v>Error?</v>
      </c>
    </row>
    <row r="734" spans="1:4">
      <c r="A734" s="5">
        <v>673</v>
      </c>
      <c r="B734" s="138">
        <f>'Expenditures 15-22'!C53</f>
        <v>394730</v>
      </c>
      <c r="C734" s="2" t="s">
        <v>572</v>
      </c>
      <c r="D734" s="2" t="str">
        <f t="shared" si="10"/>
        <v>Error?</v>
      </c>
    </row>
    <row r="735" spans="1:4">
      <c r="A735" s="5">
        <v>674</v>
      </c>
      <c r="B735" s="138">
        <f>'Expenditures 15-22'!C55</f>
        <v>2528093</v>
      </c>
      <c r="D735" s="2" t="str">
        <f t="shared" si="10"/>
        <v>Error?</v>
      </c>
    </row>
    <row r="736" spans="1:4">
      <c r="A736" s="5">
        <v>675</v>
      </c>
      <c r="B736" s="138">
        <f>'Expenditures 15-22'!C56</f>
        <v>0</v>
      </c>
      <c r="D736" s="2" t="str">
        <f t="shared" si="10"/>
        <v>Error?</v>
      </c>
    </row>
    <row r="737" spans="1:4">
      <c r="A737" s="5">
        <v>676</v>
      </c>
      <c r="B737" s="138">
        <f>'Expenditures 15-22'!C57</f>
        <v>2528093</v>
      </c>
      <c r="C737" s="2" t="s">
        <v>572</v>
      </c>
      <c r="D737" s="2" t="str">
        <f t="shared" si="10"/>
        <v>Error?</v>
      </c>
    </row>
    <row r="738" spans="1:4">
      <c r="A738" s="5">
        <v>677</v>
      </c>
      <c r="B738" s="138">
        <f>'Expenditures 15-22'!C59</f>
        <v>228518</v>
      </c>
      <c r="D738" s="2" t="str">
        <f t="shared" si="10"/>
        <v>Error?</v>
      </c>
    </row>
    <row r="739" spans="1:4">
      <c r="A739" s="5">
        <v>678</v>
      </c>
      <c r="B739" s="138">
        <f>'Expenditures 15-22'!C60</f>
        <v>388938</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733437</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1350893</v>
      </c>
      <c r="C745" s="2" t="s">
        <v>572</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332573</v>
      </c>
      <c r="D748" s="2" t="str">
        <f t="shared" si="10"/>
        <v>Error?</v>
      </c>
    </row>
    <row r="749" spans="1:4">
      <c r="A749" s="5">
        <v>688</v>
      </c>
      <c r="B749" s="138">
        <f>'Expenditures 15-22'!C70</f>
        <v>127087</v>
      </c>
      <c r="D749" s="2" t="str">
        <f t="shared" si="10"/>
        <v>Error?</v>
      </c>
    </row>
    <row r="750" spans="1:4">
      <c r="A750" s="10">
        <v>689</v>
      </c>
      <c r="D750" s="2" t="str">
        <f t="shared" si="10"/>
        <v>OK</v>
      </c>
    </row>
    <row r="751" spans="1:4">
      <c r="A751" s="5">
        <v>690</v>
      </c>
      <c r="B751" s="138">
        <f>'Expenditures 15-22'!C71</f>
        <v>1150011</v>
      </c>
      <c r="D751" s="2" t="str">
        <f t="shared" si="10"/>
        <v>Error?</v>
      </c>
    </row>
    <row r="752" spans="1:4">
      <c r="A752" s="10">
        <v>691</v>
      </c>
      <c r="D752" s="2" t="str">
        <f t="shared" si="10"/>
        <v>OK</v>
      </c>
    </row>
    <row r="753" spans="1:4">
      <c r="A753" s="5">
        <v>692</v>
      </c>
      <c r="B753" s="138">
        <f>'Expenditures 15-22'!C72</f>
        <v>1609671</v>
      </c>
      <c r="C753" s="2" t="s">
        <v>572</v>
      </c>
      <c r="D753" s="2" t="str">
        <f t="shared" si="10"/>
        <v>Error?</v>
      </c>
    </row>
    <row r="754" spans="1:4">
      <c r="A754" s="5">
        <v>693</v>
      </c>
      <c r="B754" s="138">
        <f>'Expenditures 15-22'!C73</f>
        <v>17428</v>
      </c>
      <c r="D754" s="2" t="str">
        <f t="shared" si="10"/>
        <v>Error?</v>
      </c>
    </row>
    <row r="755" spans="1:4">
      <c r="A755" s="5">
        <v>694</v>
      </c>
      <c r="B755" s="138">
        <f>'Expenditures 15-22'!C74</f>
        <v>11339120</v>
      </c>
      <c r="C755" s="2" t="s">
        <v>572</v>
      </c>
      <c r="D755" s="2" t="str">
        <f t="shared" si="10"/>
        <v>Error?</v>
      </c>
    </row>
    <row r="756" spans="1:4">
      <c r="A756" s="5">
        <v>695</v>
      </c>
      <c r="B756" s="138">
        <f>'Expenditures 15-22'!C75</f>
        <v>127247</v>
      </c>
      <c r="D756" s="2" t="str">
        <f t="shared" si="10"/>
        <v>Error?</v>
      </c>
    </row>
    <row r="757" spans="1:4">
      <c r="A757" s="5">
        <v>696</v>
      </c>
      <c r="B757" s="138">
        <f>'Expenditures 15-22'!C114</f>
        <v>47285174</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4195900</v>
      </c>
      <c r="D763" s="2" t="str">
        <f t="shared" si="10"/>
        <v>Error?</v>
      </c>
    </row>
    <row r="764" spans="1:4">
      <c r="A764" s="5">
        <v>703</v>
      </c>
      <c r="B764" s="138">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78</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896039</v>
      </c>
      <c r="D775" s="2" t="str">
        <f t="shared" si="11"/>
        <v>Error?</v>
      </c>
    </row>
    <row r="776" spans="1:4">
      <c r="A776" s="5">
        <v>715</v>
      </c>
      <c r="B776" s="138">
        <f>'Expenditures 15-22'!D14</f>
        <v>91009</v>
      </c>
      <c r="D776" s="2" t="str">
        <f t="shared" si="11"/>
        <v>Error?</v>
      </c>
    </row>
    <row r="777" spans="1:4">
      <c r="A777" s="5">
        <v>716</v>
      </c>
      <c r="B777" s="138">
        <f>'Expenditures 15-22'!D15</f>
        <v>1099</v>
      </c>
      <c r="D777" s="2" t="str">
        <f t="shared" si="11"/>
        <v>Error?</v>
      </c>
    </row>
    <row r="778" spans="1:4">
      <c r="A778" s="5">
        <v>717</v>
      </c>
      <c r="B778" s="138">
        <f>'Expenditures 15-22'!D33</f>
        <v>7082459</v>
      </c>
      <c r="C778" s="2" t="s">
        <v>572</v>
      </c>
      <c r="D778" s="2" t="str">
        <f t="shared" si="11"/>
        <v>Error?</v>
      </c>
    </row>
    <row r="779" spans="1:4">
      <c r="A779" s="5">
        <v>718</v>
      </c>
      <c r="B779" s="138">
        <f>'Expenditures 15-22'!D36</f>
        <v>132971</v>
      </c>
      <c r="D779" s="2" t="str">
        <f t="shared" si="11"/>
        <v>Error?</v>
      </c>
    </row>
    <row r="780" spans="1:4">
      <c r="A780" s="5">
        <v>719</v>
      </c>
      <c r="B780" s="138">
        <f>'Expenditures 15-22'!D37</f>
        <v>624209</v>
      </c>
      <c r="D780" s="2" t="str">
        <f t="shared" si="11"/>
        <v>Error?</v>
      </c>
    </row>
    <row r="781" spans="1:4">
      <c r="A781" s="5">
        <v>720</v>
      </c>
      <c r="B781" s="138">
        <f>'Expenditures 15-22'!D38</f>
        <v>16243</v>
      </c>
      <c r="D781" s="2" t="str">
        <f t="shared" si="11"/>
        <v>Error?</v>
      </c>
    </row>
    <row r="782" spans="1:4">
      <c r="A782" s="5">
        <v>721</v>
      </c>
      <c r="B782" s="138">
        <f>'Expenditures 15-22'!D39</f>
        <v>61497</v>
      </c>
      <c r="D782" s="2" t="str">
        <f t="shared" si="11"/>
        <v>Error?</v>
      </c>
    </row>
    <row r="783" spans="1:4">
      <c r="A783" s="5">
        <v>722</v>
      </c>
      <c r="B783" s="138">
        <f>'Expenditures 15-22'!D40</f>
        <v>388</v>
      </c>
      <c r="D783" s="2" t="str">
        <f t="shared" si="11"/>
        <v>Error?</v>
      </c>
    </row>
    <row r="784" spans="1:4">
      <c r="A784" s="5">
        <v>723</v>
      </c>
      <c r="B784" s="138">
        <f>'Expenditures 15-22'!D41</f>
        <v>0</v>
      </c>
      <c r="D784" s="2" t="str">
        <f t="shared" si="11"/>
        <v>Error?</v>
      </c>
    </row>
    <row r="785" spans="1:4">
      <c r="A785" s="5">
        <v>724</v>
      </c>
      <c r="B785" s="138">
        <f>'Expenditures 15-22'!D42</f>
        <v>835308</v>
      </c>
      <c r="C785" s="2" t="s">
        <v>572</v>
      </c>
      <c r="D785" s="2" t="str">
        <f t="shared" si="11"/>
        <v>Error?</v>
      </c>
    </row>
    <row r="786" spans="1:4">
      <c r="A786" s="5">
        <v>725</v>
      </c>
      <c r="B786" s="138">
        <f>'Expenditures 15-22'!D44</f>
        <v>263293</v>
      </c>
      <c r="D786" s="2" t="str">
        <f t="shared" si="11"/>
        <v>Error?</v>
      </c>
    </row>
    <row r="787" spans="1:4">
      <c r="A787" s="5">
        <v>726</v>
      </c>
      <c r="B787" s="138">
        <f>'Expenditures 15-22'!D45</f>
        <v>19023</v>
      </c>
      <c r="D787" s="2" t="str">
        <f t="shared" si="11"/>
        <v>Error?</v>
      </c>
    </row>
    <row r="788" spans="1:4">
      <c r="A788" s="5">
        <v>727</v>
      </c>
      <c r="B788" s="138">
        <f>'Expenditures 15-22'!D46</f>
        <v>0</v>
      </c>
      <c r="D788" s="2" t="str">
        <f t="shared" si="11"/>
        <v>Error?</v>
      </c>
    </row>
    <row r="789" spans="1:4">
      <c r="A789" s="5">
        <v>728</v>
      </c>
      <c r="B789" s="138">
        <f>'Expenditures 15-22'!D47</f>
        <v>282316</v>
      </c>
      <c r="C789" s="2" t="s">
        <v>572</v>
      </c>
      <c r="D789" s="2" t="str">
        <f t="shared" si="11"/>
        <v>Error?</v>
      </c>
    </row>
    <row r="790" spans="1:4">
      <c r="A790" s="5">
        <v>729</v>
      </c>
      <c r="B790" s="138">
        <f>'Expenditures 15-22'!D49</f>
        <v>0</v>
      </c>
      <c r="D790" s="2" t="str">
        <f t="shared" si="11"/>
        <v>Error?</v>
      </c>
    </row>
    <row r="791" spans="1:4">
      <c r="A791" s="5">
        <v>730</v>
      </c>
      <c r="B791" s="138">
        <f>'Expenditures 15-22'!D50</f>
        <v>73875</v>
      </c>
      <c r="D791" s="2" t="str">
        <f t="shared" si="11"/>
        <v>Error?</v>
      </c>
    </row>
    <row r="792" spans="1:4">
      <c r="A792" s="5">
        <v>731</v>
      </c>
      <c r="B792" s="138">
        <f>'Expenditures 15-22'!D53</f>
        <v>73875</v>
      </c>
      <c r="C792" s="2" t="s">
        <v>572</v>
      </c>
      <c r="D792" s="2" t="str">
        <f t="shared" si="11"/>
        <v>Error?</v>
      </c>
    </row>
    <row r="793" spans="1:4">
      <c r="A793" s="5">
        <v>732</v>
      </c>
      <c r="B793" s="138">
        <f>'Expenditures 15-22'!D55</f>
        <v>609699</v>
      </c>
      <c r="D793" s="2" t="str">
        <f t="shared" si="11"/>
        <v>Error?</v>
      </c>
    </row>
    <row r="794" spans="1:4">
      <c r="A794" s="5">
        <v>733</v>
      </c>
      <c r="B794" s="138">
        <f>'Expenditures 15-22'!D56</f>
        <v>0</v>
      </c>
      <c r="D794" s="2" t="str">
        <f t="shared" si="11"/>
        <v>Error?</v>
      </c>
    </row>
    <row r="795" spans="1:4">
      <c r="A795" s="5">
        <v>734</v>
      </c>
      <c r="B795" s="138">
        <f>'Expenditures 15-22'!D57</f>
        <v>609699</v>
      </c>
      <c r="C795" s="2" t="s">
        <v>572</v>
      </c>
      <c r="D795" s="2" t="str">
        <f t="shared" si="11"/>
        <v>Error?</v>
      </c>
    </row>
    <row r="796" spans="1:4">
      <c r="A796" s="5">
        <v>735</v>
      </c>
      <c r="B796" s="138">
        <f>'Expenditures 15-22'!D59</f>
        <v>18379</v>
      </c>
      <c r="D796" s="2" t="str">
        <f t="shared" si="11"/>
        <v>Error?</v>
      </c>
    </row>
    <row r="797" spans="1:4">
      <c r="A797" s="5">
        <v>736</v>
      </c>
      <c r="B797" s="138">
        <f>'Expenditures 15-22'!D60</f>
        <v>140760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108693</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267832</v>
      </c>
      <c r="C803" s="2" t="s">
        <v>572</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82799</v>
      </c>
      <c r="D806" s="2" t="str">
        <f t="shared" si="11"/>
        <v>Error?</v>
      </c>
    </row>
    <row r="807" spans="1:4">
      <c r="A807" s="5">
        <v>746</v>
      </c>
      <c r="B807" s="138">
        <f>'Expenditures 15-22'!D70</f>
        <v>56542</v>
      </c>
      <c r="D807" s="2" t="str">
        <f t="shared" si="11"/>
        <v>Error?</v>
      </c>
    </row>
    <row r="808" spans="1:4">
      <c r="A808" s="10">
        <v>747</v>
      </c>
      <c r="D808" s="2" t="str">
        <f t="shared" si="11"/>
        <v>OK</v>
      </c>
    </row>
    <row r="809" spans="1:4">
      <c r="A809" s="5">
        <v>748</v>
      </c>
      <c r="B809" s="138">
        <f>'Expenditures 15-22'!D71</f>
        <v>248086</v>
      </c>
      <c r="D809" s="2" t="str">
        <f t="shared" si="11"/>
        <v>Error?</v>
      </c>
    </row>
    <row r="810" spans="1:4">
      <c r="A810" s="10">
        <v>749</v>
      </c>
      <c r="D810" s="2" t="str">
        <f t="shared" si="11"/>
        <v>OK</v>
      </c>
    </row>
    <row r="811" spans="1:4">
      <c r="A811" s="5">
        <v>750</v>
      </c>
      <c r="B811" s="138">
        <f>'Expenditures 15-22'!D72</f>
        <v>387427</v>
      </c>
      <c r="C811" s="2" t="s">
        <v>572</v>
      </c>
      <c r="D811" s="2" t="str">
        <f t="shared" si="11"/>
        <v>Error?</v>
      </c>
    </row>
    <row r="812" spans="1:4">
      <c r="A812" s="5">
        <v>751</v>
      </c>
      <c r="B812" s="138">
        <f>'Expenditures 15-22'!D73</f>
        <v>12085</v>
      </c>
      <c r="D812" s="2" t="str">
        <f t="shared" si="11"/>
        <v>Error?</v>
      </c>
    </row>
    <row r="813" spans="1:4">
      <c r="A813" s="5">
        <v>752</v>
      </c>
      <c r="B813" s="138">
        <f>'Expenditures 15-22'!D74</f>
        <v>2468542</v>
      </c>
      <c r="C813" s="2" t="s">
        <v>572</v>
      </c>
      <c r="D813" s="2" t="str">
        <f t="shared" si="11"/>
        <v>Error?</v>
      </c>
    </row>
    <row r="814" spans="1:4">
      <c r="A814" s="5">
        <v>753</v>
      </c>
      <c r="B814" s="138">
        <f>'Expenditures 15-22'!D75</f>
        <v>9197</v>
      </c>
      <c r="D814" s="2" t="str">
        <f t="shared" si="11"/>
        <v>Error?</v>
      </c>
    </row>
    <row r="815" spans="1:4">
      <c r="A815" s="5">
        <v>754</v>
      </c>
      <c r="B815" s="138">
        <f>'Expenditures 15-22'!D114</f>
        <v>9560198</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605567</v>
      </c>
      <c r="D821" s="2" t="str">
        <f t="shared" si="11"/>
        <v>Error?</v>
      </c>
    </row>
    <row r="822" spans="1:4">
      <c r="A822" s="5">
        <v>761</v>
      </c>
      <c r="B822" s="138">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15510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4455</v>
      </c>
      <c r="D833" s="2" t="str">
        <f t="shared" si="12"/>
        <v>Error?</v>
      </c>
    </row>
    <row r="834" spans="1:4">
      <c r="A834" s="5">
        <v>773</v>
      </c>
      <c r="B834" s="138">
        <f>'Expenditures 15-22'!E14</f>
        <v>291316</v>
      </c>
      <c r="D834" s="2" t="str">
        <f t="shared" si="12"/>
        <v>Error?</v>
      </c>
    </row>
    <row r="835" spans="1:4">
      <c r="A835" s="5">
        <v>774</v>
      </c>
      <c r="B835" s="138">
        <f>'Expenditures 15-22'!E15</f>
        <v>0</v>
      </c>
      <c r="D835" s="2" t="str">
        <f t="shared" si="12"/>
        <v>Error?</v>
      </c>
    </row>
    <row r="836" spans="1:4">
      <c r="A836" s="5">
        <v>775</v>
      </c>
      <c r="B836" s="138">
        <f>'Expenditures 15-22'!E33</f>
        <v>1006533</v>
      </c>
      <c r="C836" s="2" t="s">
        <v>572</v>
      </c>
      <c r="D836" s="2" t="str">
        <f t="shared" si="12"/>
        <v>Error?</v>
      </c>
    </row>
    <row r="837" spans="1:4">
      <c r="A837" s="5">
        <v>776</v>
      </c>
      <c r="B837" s="138">
        <f>'Expenditures 15-22'!E36</f>
        <v>14253</v>
      </c>
      <c r="D837" s="2" t="str">
        <f t="shared" si="12"/>
        <v>Error?</v>
      </c>
    </row>
    <row r="838" spans="1:4">
      <c r="A838" s="5">
        <v>777</v>
      </c>
      <c r="B838" s="138">
        <f>'Expenditures 15-22'!E37</f>
        <v>22223</v>
      </c>
      <c r="D838" s="2" t="str">
        <f t="shared" si="12"/>
        <v>Error?</v>
      </c>
    </row>
    <row r="839" spans="1:4">
      <c r="A839" s="5">
        <v>778</v>
      </c>
      <c r="B839" s="138">
        <f>'Expenditures 15-22'!E38</f>
        <v>249050</v>
      </c>
      <c r="D839" s="2" t="str">
        <f t="shared" si="12"/>
        <v>Error?</v>
      </c>
    </row>
    <row r="840" spans="1:4">
      <c r="A840" s="5">
        <v>779</v>
      </c>
      <c r="B840" s="138">
        <f>'Expenditures 15-22'!E39</f>
        <v>10421</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295947</v>
      </c>
      <c r="C843" s="2" t="s">
        <v>572</v>
      </c>
      <c r="D843" s="2" t="str">
        <f t="shared" si="12"/>
        <v>Error?</v>
      </c>
    </row>
    <row r="844" spans="1:4">
      <c r="A844" s="5">
        <v>783</v>
      </c>
      <c r="B844" s="138">
        <f>'Expenditures 15-22'!E44</f>
        <v>233110</v>
      </c>
      <c r="D844" s="2" t="str">
        <f t="shared" si="12"/>
        <v>Error?</v>
      </c>
    </row>
    <row r="845" spans="1:4">
      <c r="A845" s="5">
        <v>784</v>
      </c>
      <c r="B845" s="138">
        <f>'Expenditures 15-22'!E45</f>
        <v>24919</v>
      </c>
      <c r="D845" s="2" t="str">
        <f t="shared" si="12"/>
        <v>Error?</v>
      </c>
    </row>
    <row r="846" spans="1:4">
      <c r="A846" s="5">
        <v>785</v>
      </c>
      <c r="B846" s="138">
        <f>'Expenditures 15-22'!E46</f>
        <v>104312</v>
      </c>
      <c r="D846" s="2" t="str">
        <f t="shared" si="12"/>
        <v>Error?</v>
      </c>
    </row>
    <row r="847" spans="1:4">
      <c r="A847" s="5">
        <v>786</v>
      </c>
      <c r="B847" s="138">
        <f>'Expenditures 15-22'!E47</f>
        <v>362341</v>
      </c>
      <c r="C847" s="2" t="s">
        <v>572</v>
      </c>
      <c r="D847" s="2" t="str">
        <f t="shared" si="12"/>
        <v>Error?</v>
      </c>
    </row>
    <row r="848" spans="1:4">
      <c r="A848" s="5">
        <v>787</v>
      </c>
      <c r="B848" s="138">
        <f>'Expenditures 15-22'!E49</f>
        <v>75130</v>
      </c>
      <c r="D848" s="2" t="str">
        <f t="shared" si="12"/>
        <v>Error?</v>
      </c>
    </row>
    <row r="849" spans="1:4">
      <c r="A849" s="5">
        <v>788</v>
      </c>
      <c r="B849" s="138">
        <f>'Expenditures 15-22'!E50</f>
        <v>7751</v>
      </c>
      <c r="D849" s="2" t="str">
        <f t="shared" si="12"/>
        <v>Error?</v>
      </c>
    </row>
    <row r="850" spans="1:4">
      <c r="A850" s="5">
        <v>789</v>
      </c>
      <c r="B850" s="138">
        <f>'Expenditures 15-22'!E53</f>
        <v>82881</v>
      </c>
      <c r="C850" s="2" t="s">
        <v>572</v>
      </c>
      <c r="D850" s="2" t="str">
        <f t="shared" si="12"/>
        <v>Error?</v>
      </c>
    </row>
    <row r="851" spans="1:4">
      <c r="A851" s="5">
        <v>790</v>
      </c>
      <c r="B851" s="138">
        <f>'Expenditures 15-22'!E55</f>
        <v>29254</v>
      </c>
      <c r="D851" s="2" t="str">
        <f t="shared" si="12"/>
        <v>Error?</v>
      </c>
    </row>
    <row r="852" spans="1:4">
      <c r="A852" s="5">
        <v>791</v>
      </c>
      <c r="B852" s="138">
        <f>'Expenditures 15-22'!E56</f>
        <v>0</v>
      </c>
      <c r="D852" s="2" t="str">
        <f t="shared" si="12"/>
        <v>Error?</v>
      </c>
    </row>
    <row r="853" spans="1:4">
      <c r="A853" s="5">
        <v>792</v>
      </c>
      <c r="B853" s="138">
        <f>'Expenditures 15-22'!E57</f>
        <v>29254</v>
      </c>
      <c r="C853" s="2" t="s">
        <v>572</v>
      </c>
      <c r="D853" s="2" t="str">
        <f t="shared" si="12"/>
        <v>Error?</v>
      </c>
    </row>
    <row r="854" spans="1:4">
      <c r="A854" s="5">
        <v>793</v>
      </c>
      <c r="B854" s="138">
        <f>'Expenditures 15-22'!E59</f>
        <v>0</v>
      </c>
      <c r="D854" s="2" t="str">
        <f t="shared" si="12"/>
        <v>Error?</v>
      </c>
    </row>
    <row r="855" spans="1:4">
      <c r="A855" s="5">
        <v>794</v>
      </c>
      <c r="B855" s="138">
        <f>'Expenditures 15-22'!E60</f>
        <v>208118</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611</v>
      </c>
      <c r="D858" s="2" t="str">
        <f t="shared" si="12"/>
        <v>Error?</v>
      </c>
    </row>
    <row r="859" spans="1:4">
      <c r="A859" s="5">
        <v>798</v>
      </c>
      <c r="B859" s="138">
        <f>'Expenditures 15-22'!E64</f>
        <v>0</v>
      </c>
      <c r="D859" s="2" t="str">
        <f t="shared" si="12"/>
        <v>Error?</v>
      </c>
    </row>
    <row r="860" spans="1:4">
      <c r="A860" s="10">
        <v>799</v>
      </c>
      <c r="D860" s="2" t="str">
        <f t="shared" si="12"/>
        <v>OK</v>
      </c>
    </row>
    <row r="861" spans="1:4">
      <c r="A861" s="5">
        <v>800</v>
      </c>
      <c r="B861" s="138">
        <f>'Expenditures 15-22'!E65</f>
        <v>208729</v>
      </c>
      <c r="C861" s="2" t="s">
        <v>572</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61015</v>
      </c>
      <c r="D864" s="2" t="str">
        <f t="shared" si="12"/>
        <v>Error?</v>
      </c>
    </row>
    <row r="865" spans="1:4">
      <c r="A865" s="5">
        <v>804</v>
      </c>
      <c r="B865" s="138">
        <f>'Expenditures 15-22'!E70</f>
        <v>34111</v>
      </c>
      <c r="D865" s="2" t="str">
        <f t="shared" si="12"/>
        <v>Error?</v>
      </c>
    </row>
    <row r="866" spans="1:4">
      <c r="A866" s="10">
        <v>805</v>
      </c>
      <c r="D866" s="2" t="str">
        <f t="shared" si="12"/>
        <v>OK</v>
      </c>
    </row>
    <row r="867" spans="1:4">
      <c r="A867" s="5">
        <v>806</v>
      </c>
      <c r="B867" s="138">
        <f>'Expenditures 15-22'!E71</f>
        <v>2446806</v>
      </c>
      <c r="D867" s="2" t="str">
        <f t="shared" si="12"/>
        <v>Error?</v>
      </c>
    </row>
    <row r="868" spans="1:4">
      <c r="A868" s="10">
        <v>807</v>
      </c>
      <c r="D868" s="2" t="str">
        <f t="shared" si="12"/>
        <v>OK</v>
      </c>
    </row>
    <row r="869" spans="1:4">
      <c r="A869" s="5">
        <v>808</v>
      </c>
      <c r="B869" s="138">
        <f>'Expenditures 15-22'!E72</f>
        <v>2541932</v>
      </c>
      <c r="C869" s="2" t="s">
        <v>572</v>
      </c>
      <c r="D869" s="2" t="str">
        <f t="shared" si="12"/>
        <v>Error?</v>
      </c>
    </row>
    <row r="870" spans="1:4">
      <c r="A870" s="5">
        <v>809</v>
      </c>
      <c r="B870" s="138">
        <f>'Expenditures 15-22'!E73</f>
        <v>51925</v>
      </c>
      <c r="D870" s="2" t="str">
        <f t="shared" si="12"/>
        <v>Error?</v>
      </c>
    </row>
    <row r="871" spans="1:4">
      <c r="A871" s="5">
        <v>810</v>
      </c>
      <c r="B871" s="138">
        <f>'Expenditures 15-22'!E74</f>
        <v>3573009</v>
      </c>
      <c r="C871" s="2" t="s">
        <v>572</v>
      </c>
      <c r="D871" s="2" t="str">
        <f t="shared" si="12"/>
        <v>Error?</v>
      </c>
    </row>
    <row r="872" spans="1:4">
      <c r="A872" s="5">
        <v>811</v>
      </c>
      <c r="B872" s="138">
        <f>'Expenditures 15-22'!E75</f>
        <v>12985</v>
      </c>
      <c r="D872" s="2" t="str">
        <f t="shared" si="12"/>
        <v>Error?</v>
      </c>
    </row>
    <row r="873" spans="1:4">
      <c r="A873" s="5">
        <v>812</v>
      </c>
      <c r="B873" s="138">
        <f>'Expenditures 15-22'!E114</f>
        <v>4594327</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702710</v>
      </c>
      <c r="D879" s="2" t="str">
        <f t="shared" si="12"/>
        <v>Error?</v>
      </c>
    </row>
    <row r="880" spans="1:4">
      <c r="A880" s="5">
        <v>819</v>
      </c>
      <c r="B880" s="138">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1618</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51353</v>
      </c>
      <c r="D891" s="2" t="str">
        <f t="shared" si="12"/>
        <v>Error?</v>
      </c>
    </row>
    <row r="892" spans="1:4">
      <c r="A892" s="5">
        <v>831</v>
      </c>
      <c r="B892" s="138">
        <f>'Expenditures 15-22'!F14</f>
        <v>243563</v>
      </c>
      <c r="D892" s="2" t="str">
        <f t="shared" si="12"/>
        <v>Error?</v>
      </c>
    </row>
    <row r="893" spans="1:4">
      <c r="A893" s="5">
        <v>832</v>
      </c>
      <c r="B893" s="138">
        <f>'Expenditures 15-22'!F15</f>
        <v>60</v>
      </c>
      <c r="D893" s="2" t="str">
        <f t="shared" si="12"/>
        <v>Error?</v>
      </c>
    </row>
    <row r="894" spans="1:4">
      <c r="A894" s="5">
        <v>833</v>
      </c>
      <c r="B894" s="138">
        <f>'Expenditures 15-22'!F33</f>
        <v>1036893</v>
      </c>
      <c r="C894" s="2" t="s">
        <v>572</v>
      </c>
      <c r="D894" s="2" t="str">
        <f t="shared" si="12"/>
        <v>Error?</v>
      </c>
    </row>
    <row r="895" spans="1:4">
      <c r="A895" s="5">
        <v>834</v>
      </c>
      <c r="B895" s="138">
        <f>'Expenditures 15-22'!F36</f>
        <v>1515</v>
      </c>
      <c r="D895" s="2" t="str">
        <f t="shared" ref="D895:D958" si="13">IF(ISBLANK(B895),"OK",IF(A895-B895=0,"OK","Error?"))</f>
        <v>Error?</v>
      </c>
    </row>
    <row r="896" spans="1:4">
      <c r="A896" s="5">
        <v>835</v>
      </c>
      <c r="B896" s="138">
        <f>'Expenditures 15-22'!F37</f>
        <v>8061</v>
      </c>
      <c r="D896" s="2" t="str">
        <f t="shared" si="13"/>
        <v>Error?</v>
      </c>
    </row>
    <row r="897" spans="1:4">
      <c r="A897" s="5">
        <v>836</v>
      </c>
      <c r="B897" s="138">
        <f>'Expenditures 15-22'!F38</f>
        <v>700</v>
      </c>
      <c r="D897" s="2" t="str">
        <f t="shared" si="13"/>
        <v>Error?</v>
      </c>
    </row>
    <row r="898" spans="1:4">
      <c r="A898" s="5">
        <v>837</v>
      </c>
      <c r="B898" s="138">
        <f>'Expenditures 15-22'!F39</f>
        <v>0</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10276</v>
      </c>
      <c r="C901" s="2" t="s">
        <v>572</v>
      </c>
      <c r="D901" s="2" t="str">
        <f t="shared" si="13"/>
        <v>Error?</v>
      </c>
    </row>
    <row r="902" spans="1:4">
      <c r="A902" s="5">
        <v>841</v>
      </c>
      <c r="B902" s="138">
        <f>'Expenditures 15-22'!F44</f>
        <v>154447</v>
      </c>
      <c r="D902" s="2" t="str">
        <f t="shared" si="13"/>
        <v>Error?</v>
      </c>
    </row>
    <row r="903" spans="1:4">
      <c r="A903" s="5">
        <v>842</v>
      </c>
      <c r="B903" s="138">
        <f>'Expenditures 15-22'!F45</f>
        <v>22479</v>
      </c>
      <c r="D903" s="2" t="str">
        <f t="shared" si="13"/>
        <v>Error?</v>
      </c>
    </row>
    <row r="904" spans="1:4">
      <c r="A904" s="5">
        <v>843</v>
      </c>
      <c r="B904" s="138">
        <f>'Expenditures 15-22'!F46</f>
        <v>10899</v>
      </c>
      <c r="D904" s="2" t="str">
        <f t="shared" si="13"/>
        <v>Error?</v>
      </c>
    </row>
    <row r="905" spans="1:4">
      <c r="A905" s="5">
        <v>844</v>
      </c>
      <c r="B905" s="138">
        <f>'Expenditures 15-22'!F47</f>
        <v>187825</v>
      </c>
      <c r="C905" s="2" t="s">
        <v>572</v>
      </c>
      <c r="D905" s="2" t="str">
        <f t="shared" si="13"/>
        <v>Error?</v>
      </c>
    </row>
    <row r="906" spans="1:4">
      <c r="A906" s="5">
        <v>845</v>
      </c>
      <c r="B906" s="138">
        <f>'Expenditures 15-22'!F49</f>
        <v>0</v>
      </c>
      <c r="D906" s="2" t="str">
        <f t="shared" si="13"/>
        <v>Error?</v>
      </c>
    </row>
    <row r="907" spans="1:4">
      <c r="A907" s="5">
        <v>846</v>
      </c>
      <c r="B907" s="138">
        <f>'Expenditures 15-22'!F50</f>
        <v>1421</v>
      </c>
      <c r="D907" s="2" t="str">
        <f t="shared" si="13"/>
        <v>Error?</v>
      </c>
    </row>
    <row r="908" spans="1:4">
      <c r="A908" s="5">
        <v>847</v>
      </c>
      <c r="B908" s="138">
        <f>'Expenditures 15-22'!F53</f>
        <v>1421</v>
      </c>
      <c r="C908" s="2" t="s">
        <v>572</v>
      </c>
      <c r="D908" s="2" t="str">
        <f t="shared" si="13"/>
        <v>Error?</v>
      </c>
    </row>
    <row r="909" spans="1:4">
      <c r="A909" s="5">
        <v>848</v>
      </c>
      <c r="B909" s="138">
        <f>'Expenditures 15-22'!F55</f>
        <v>50180</v>
      </c>
      <c r="D909" s="2" t="str">
        <f t="shared" si="13"/>
        <v>Error?</v>
      </c>
    </row>
    <row r="910" spans="1:4">
      <c r="A910" s="5">
        <v>849</v>
      </c>
      <c r="B910" s="138">
        <f>'Expenditures 15-22'!F56</f>
        <v>0</v>
      </c>
      <c r="D910" s="2" t="str">
        <f t="shared" si="13"/>
        <v>Error?</v>
      </c>
    </row>
    <row r="911" spans="1:4">
      <c r="A911" s="5">
        <v>850</v>
      </c>
      <c r="B911" s="138">
        <f>'Expenditures 15-22'!F57</f>
        <v>50180</v>
      </c>
      <c r="C911" s="2" t="s">
        <v>572</v>
      </c>
      <c r="D911" s="2" t="str">
        <f t="shared" si="13"/>
        <v>Error?</v>
      </c>
    </row>
    <row r="912" spans="1:4">
      <c r="A912" s="5">
        <v>851</v>
      </c>
      <c r="B912" s="138">
        <f>'Expenditures 15-22'!F59</f>
        <v>0</v>
      </c>
      <c r="D912" s="2" t="str">
        <f t="shared" si="13"/>
        <v>Error?</v>
      </c>
    </row>
    <row r="913" spans="1:4">
      <c r="A913" s="5">
        <v>852</v>
      </c>
      <c r="B913" s="138">
        <f>'Expenditures 15-22'!F60</f>
        <v>5858</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1106099</v>
      </c>
      <c r="D916" s="2" t="str">
        <f t="shared" si="13"/>
        <v>Error?</v>
      </c>
    </row>
    <row r="917" spans="1:4">
      <c r="A917" s="5">
        <v>856</v>
      </c>
      <c r="B917" s="138">
        <f>'Expenditures 15-22'!F64</f>
        <v>0</v>
      </c>
      <c r="D917" s="2" t="str">
        <f t="shared" si="13"/>
        <v>Error?</v>
      </c>
    </row>
    <row r="918" spans="1:4">
      <c r="A918" s="10">
        <v>857</v>
      </c>
      <c r="D918" s="2" t="str">
        <f t="shared" si="13"/>
        <v>OK</v>
      </c>
    </row>
    <row r="919" spans="1:4">
      <c r="A919" s="5">
        <v>858</v>
      </c>
      <c r="B919" s="138">
        <f>'Expenditures 15-22'!F65</f>
        <v>1111957</v>
      </c>
      <c r="C919" s="2" t="s">
        <v>572</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1275</v>
      </c>
      <c r="D922" s="2" t="str">
        <f t="shared" si="13"/>
        <v>Error?</v>
      </c>
    </row>
    <row r="923" spans="1:4">
      <c r="A923" s="5">
        <v>862</v>
      </c>
      <c r="B923" s="138">
        <f>'Expenditures 15-22'!F70</f>
        <v>3167</v>
      </c>
      <c r="D923" s="2" t="str">
        <f t="shared" si="13"/>
        <v>Error?</v>
      </c>
    </row>
    <row r="924" spans="1:4">
      <c r="A924" s="10">
        <v>863</v>
      </c>
      <c r="D924" s="2" t="str">
        <f t="shared" si="13"/>
        <v>OK</v>
      </c>
    </row>
    <row r="925" spans="1:4">
      <c r="A925" s="5">
        <v>864</v>
      </c>
      <c r="B925" s="138">
        <f>'Expenditures 15-22'!F71</f>
        <v>105700</v>
      </c>
      <c r="D925" s="2" t="str">
        <f t="shared" si="13"/>
        <v>Error?</v>
      </c>
    </row>
    <row r="926" spans="1:4">
      <c r="A926" s="10">
        <v>865</v>
      </c>
      <c r="D926" s="2" t="str">
        <f t="shared" si="13"/>
        <v>OK</v>
      </c>
    </row>
    <row r="927" spans="1:4">
      <c r="A927" s="5">
        <v>866</v>
      </c>
      <c r="B927" s="138">
        <f>'Expenditures 15-22'!F72</f>
        <v>110142</v>
      </c>
      <c r="C927" s="2" t="s">
        <v>572</v>
      </c>
      <c r="D927" s="2" t="str">
        <f t="shared" si="13"/>
        <v>Error?</v>
      </c>
    </row>
    <row r="928" spans="1:4">
      <c r="A928" s="5">
        <v>867</v>
      </c>
      <c r="B928" s="138">
        <f>'Expenditures 15-22'!F73</f>
        <v>2302</v>
      </c>
      <c r="D928" s="2" t="str">
        <f t="shared" si="13"/>
        <v>Error?</v>
      </c>
    </row>
    <row r="929" spans="1:4">
      <c r="A929" s="5">
        <v>868</v>
      </c>
      <c r="B929" s="138">
        <f>'Expenditures 15-22'!F74</f>
        <v>1474103</v>
      </c>
      <c r="C929" s="2" t="s">
        <v>572</v>
      </c>
      <c r="D929" s="2" t="str">
        <f t="shared" si="13"/>
        <v>Error?</v>
      </c>
    </row>
    <row r="930" spans="1:4">
      <c r="A930" s="5">
        <v>869</v>
      </c>
      <c r="B930" s="138">
        <f>'Expenditures 15-22'!F75</f>
        <v>2376</v>
      </c>
      <c r="D930" s="2" t="str">
        <f t="shared" si="13"/>
        <v>Error?</v>
      </c>
    </row>
    <row r="931" spans="1:4">
      <c r="A931" s="5">
        <v>870</v>
      </c>
      <c r="B931" s="138">
        <f>'Expenditures 15-22'!F114</f>
        <v>2513372</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49296</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11079</v>
      </c>
      <c r="D950" s="2" t="str">
        <f t="shared" si="13"/>
        <v>Error?</v>
      </c>
    </row>
    <row r="951" spans="1:4">
      <c r="A951" s="5">
        <v>890</v>
      </c>
      <c r="B951" s="138">
        <f>'Expenditures 15-22'!G15</f>
        <v>0</v>
      </c>
      <c r="D951" s="2" t="str">
        <f t="shared" si="13"/>
        <v>Error?</v>
      </c>
    </row>
    <row r="952" spans="1:4">
      <c r="A952" s="5">
        <v>891</v>
      </c>
      <c r="B952" s="138">
        <f>'Expenditures 15-22'!G33</f>
        <v>79640</v>
      </c>
      <c r="C952" s="2" t="s">
        <v>572</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572</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572</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572</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572</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22416</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22416</v>
      </c>
      <c r="C977" s="2" t="s">
        <v>572</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40078</v>
      </c>
      <c r="D983" s="2" t="str">
        <f t="shared" si="14"/>
        <v>Error?</v>
      </c>
    </row>
    <row r="984" spans="1:4">
      <c r="A984" s="10">
        <v>923</v>
      </c>
      <c r="D984" s="2" t="str">
        <f t="shared" si="14"/>
        <v>OK</v>
      </c>
    </row>
    <row r="985" spans="1:4">
      <c r="A985" s="5">
        <v>924</v>
      </c>
      <c r="B985" s="138">
        <f>'Expenditures 15-22'!G72</f>
        <v>40078</v>
      </c>
      <c r="C985" s="2" t="s">
        <v>572</v>
      </c>
      <c r="D985" s="2" t="str">
        <f t="shared" si="14"/>
        <v>Error?</v>
      </c>
    </row>
    <row r="986" spans="1:4">
      <c r="A986" s="5">
        <v>925</v>
      </c>
      <c r="B986" s="138">
        <f>'Expenditures 15-22'!G73</f>
        <v>0</v>
      </c>
      <c r="D986" s="2" t="str">
        <f t="shared" si="14"/>
        <v>Error?</v>
      </c>
    </row>
    <row r="987" spans="1:4">
      <c r="A987" s="5">
        <v>926</v>
      </c>
      <c r="B987" s="138">
        <f>'Expenditures 15-22'!G74</f>
        <v>62494</v>
      </c>
      <c r="C987" s="2" t="s">
        <v>572</v>
      </c>
      <c r="D987" s="2" t="str">
        <f t="shared" si="14"/>
        <v>Error?</v>
      </c>
    </row>
    <row r="988" spans="1:4">
      <c r="A988" s="5">
        <v>927</v>
      </c>
      <c r="B988" s="138">
        <f>'Expenditures 15-22'!G75</f>
        <v>0</v>
      </c>
      <c r="D988" s="2" t="str">
        <f t="shared" si="14"/>
        <v>Error?</v>
      </c>
    </row>
    <row r="989" spans="1:4">
      <c r="A989" s="5">
        <v>928</v>
      </c>
      <c r="B989" s="138">
        <f>'Expenditures 15-22'!G114</f>
        <v>142134</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9628</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99988</v>
      </c>
      <c r="D1008" s="2" t="str">
        <f t="shared" si="14"/>
        <v>Error?</v>
      </c>
    </row>
    <row r="1009" spans="1:4">
      <c r="A1009" s="5">
        <v>948</v>
      </c>
      <c r="B1009" s="138">
        <f>'Expenditures 15-22'!H15</f>
        <v>0</v>
      </c>
      <c r="D1009" s="2" t="str">
        <f t="shared" si="14"/>
        <v>Error?</v>
      </c>
    </row>
    <row r="1010" spans="1:4">
      <c r="A1010" s="5">
        <v>949</v>
      </c>
      <c r="B1010" s="138">
        <f>'Expenditures 15-22'!H33</f>
        <v>4496390</v>
      </c>
      <c r="C1010" s="2" t="s">
        <v>572</v>
      </c>
      <c r="D1010" s="2" t="str">
        <f t="shared" si="14"/>
        <v>Error?</v>
      </c>
    </row>
    <row r="1011" spans="1:4">
      <c r="A1011" s="5">
        <v>950</v>
      </c>
      <c r="B1011" s="138">
        <f>'Expenditures 15-22'!H36</f>
        <v>0</v>
      </c>
      <c r="D1011" s="2" t="str">
        <f t="shared" si="14"/>
        <v>Error?</v>
      </c>
    </row>
    <row r="1012" spans="1:4">
      <c r="A1012" s="5">
        <v>951</v>
      </c>
      <c r="B1012" s="138">
        <f>'Expenditures 15-22'!H37</f>
        <v>653</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653</v>
      </c>
      <c r="C1017" s="2" t="s">
        <v>572</v>
      </c>
      <c r="D1017" s="2" t="str">
        <f t="shared" si="14"/>
        <v>Error?</v>
      </c>
    </row>
    <row r="1018" spans="1:4">
      <c r="A1018" s="5">
        <v>957</v>
      </c>
      <c r="B1018" s="138">
        <f>'Expenditures 15-22'!H44</f>
        <v>2875</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2875</v>
      </c>
      <c r="C1021" s="2" t="s">
        <v>572</v>
      </c>
      <c r="D1021" s="2" t="str">
        <f t="shared" si="14"/>
        <v>Error?</v>
      </c>
    </row>
    <row r="1022" spans="1:4">
      <c r="A1022" s="5">
        <v>961</v>
      </c>
      <c r="B1022" s="138">
        <f>'Expenditures 15-22'!H49</f>
        <v>28123</v>
      </c>
      <c r="D1022" s="2" t="str">
        <f t="shared" si="14"/>
        <v>Error?</v>
      </c>
    </row>
    <row r="1023" spans="1:4">
      <c r="A1023" s="5">
        <v>962</v>
      </c>
      <c r="B1023" s="138">
        <f>'Expenditures 15-22'!H50</f>
        <v>23839</v>
      </c>
      <c r="D1023" s="2" t="str">
        <f t="shared" ref="D1023:D1086" si="15">IF(ISBLANK(B1023),"OK",IF(A1023-B1023=0,"OK","Error?"))</f>
        <v>Error?</v>
      </c>
    </row>
    <row r="1024" spans="1:4">
      <c r="A1024" s="5">
        <v>963</v>
      </c>
      <c r="B1024" s="138">
        <f>'Expenditures 15-22'!H53</f>
        <v>52412</v>
      </c>
      <c r="C1024" s="2" t="s">
        <v>572</v>
      </c>
      <c r="D1024" s="2" t="str">
        <f t="shared" si="15"/>
        <v>Error?</v>
      </c>
    </row>
    <row r="1025" spans="1:4">
      <c r="A1025" s="5">
        <v>964</v>
      </c>
      <c r="B1025" s="138">
        <f>'Expenditures 15-22'!H55</f>
        <v>15766</v>
      </c>
      <c r="D1025" s="2" t="str">
        <f t="shared" si="15"/>
        <v>Error?</v>
      </c>
    </row>
    <row r="1026" spans="1:4">
      <c r="A1026" s="5">
        <v>965</v>
      </c>
      <c r="B1026" s="138">
        <f>'Expenditures 15-22'!H56</f>
        <v>0</v>
      </c>
      <c r="D1026" s="2" t="str">
        <f t="shared" si="15"/>
        <v>Error?</v>
      </c>
    </row>
    <row r="1027" spans="1:4">
      <c r="A1027" s="5">
        <v>966</v>
      </c>
      <c r="B1027" s="138">
        <f>'Expenditures 15-22'!H57</f>
        <v>15766</v>
      </c>
      <c r="C1027" s="2" t="s">
        <v>572</v>
      </c>
      <c r="D1027" s="2" t="str">
        <f t="shared" si="15"/>
        <v>Error?</v>
      </c>
    </row>
    <row r="1028" spans="1:4">
      <c r="A1028" s="5">
        <v>967</v>
      </c>
      <c r="B1028" s="138">
        <f>'Expenditures 15-22'!H59</f>
        <v>0</v>
      </c>
      <c r="D1028" s="2" t="str">
        <f t="shared" si="15"/>
        <v>Error?</v>
      </c>
    </row>
    <row r="1029" spans="1:4">
      <c r="A1029" s="5">
        <v>968</v>
      </c>
      <c r="B1029" s="138">
        <f>'Expenditures 15-22'!H60</f>
        <v>3112</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45817</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48929</v>
      </c>
      <c r="C1035" s="2" t="s">
        <v>572</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2036</v>
      </c>
      <c r="D1038" s="2" t="str">
        <f t="shared" si="15"/>
        <v>Error?</v>
      </c>
    </row>
    <row r="1039" spans="1:4">
      <c r="A1039" s="5">
        <v>978</v>
      </c>
      <c r="B1039" s="138">
        <f>'Expenditures 15-22'!H70</f>
        <v>29320</v>
      </c>
      <c r="D1039" s="2" t="str">
        <f t="shared" si="15"/>
        <v>Error?</v>
      </c>
    </row>
    <row r="1040" spans="1:4">
      <c r="A1040" s="10">
        <v>979</v>
      </c>
      <c r="D1040" s="2" t="str">
        <f t="shared" si="15"/>
        <v>OK</v>
      </c>
    </row>
    <row r="1041" spans="1:4">
      <c r="A1041" s="5">
        <v>980</v>
      </c>
      <c r="B1041" s="138">
        <f>'Expenditures 15-22'!H71</f>
        <v>185588</v>
      </c>
      <c r="D1041" s="2" t="str">
        <f t="shared" si="15"/>
        <v>Error?</v>
      </c>
    </row>
    <row r="1042" spans="1:4">
      <c r="A1042" s="10">
        <v>981</v>
      </c>
      <c r="D1042" s="2" t="str">
        <f t="shared" si="15"/>
        <v>OK</v>
      </c>
    </row>
    <row r="1043" spans="1:4">
      <c r="A1043" s="5">
        <v>982</v>
      </c>
      <c r="B1043" s="138">
        <f>'Expenditures 15-22'!H72</f>
        <v>216944</v>
      </c>
      <c r="C1043" s="2" t="s">
        <v>572</v>
      </c>
      <c r="D1043" s="2" t="str">
        <f t="shared" si="15"/>
        <v>Error?</v>
      </c>
    </row>
    <row r="1044" spans="1:4">
      <c r="A1044" s="5">
        <v>983</v>
      </c>
      <c r="B1044" s="138">
        <f>'Expenditures 15-22'!H73</f>
        <v>0</v>
      </c>
      <c r="D1044" s="2" t="str">
        <f t="shared" si="15"/>
        <v>Error?</v>
      </c>
    </row>
    <row r="1045" spans="1:4">
      <c r="A1045" s="5">
        <v>984</v>
      </c>
      <c r="B1045" s="138">
        <f>'Expenditures 15-22'!H74</f>
        <v>337579</v>
      </c>
      <c r="C1045" s="2" t="s">
        <v>572</v>
      </c>
      <c r="D1045" s="2" t="str">
        <f t="shared" si="15"/>
        <v>Error?</v>
      </c>
    </row>
    <row r="1046" spans="1:4">
      <c r="A1046" s="5">
        <v>985</v>
      </c>
      <c r="B1046" s="138">
        <f>'Expenditures 15-22'!H75</f>
        <v>0</v>
      </c>
      <c r="D1046" s="2" t="str">
        <f t="shared" si="15"/>
        <v>Error?</v>
      </c>
    </row>
    <row r="1047" spans="1:4">
      <c r="A1047" s="5">
        <v>986</v>
      </c>
      <c r="B1047" s="138">
        <f>'Expenditures 15-22'!H102</f>
        <v>236555</v>
      </c>
      <c r="C1047" s="2" t="s">
        <v>572</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572</v>
      </c>
      <c r="D1053" s="2" t="str">
        <f t="shared" si="15"/>
        <v>Error?</v>
      </c>
    </row>
    <row r="1054" spans="1:4">
      <c r="A1054" s="5">
        <v>993</v>
      </c>
      <c r="B1054" s="138">
        <f>'Expenditures 15-22'!H114</f>
        <v>5070524</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26800186</v>
      </c>
      <c r="C1093" s="2" t="s">
        <v>572</v>
      </c>
      <c r="D1093" s="2" t="str">
        <f t="shared" si="16"/>
        <v>Error?</v>
      </c>
    </row>
    <row r="1094" spans="1:4">
      <c r="A1094" s="5">
        <v>1033</v>
      </c>
      <c r="B1094" s="138">
        <f>'Expenditures 15-22'!K16</f>
        <v>0</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19638</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97</v>
      </c>
      <c r="C1104" s="2" t="s">
        <v>572</v>
      </c>
      <c r="D1104" s="2" t="str">
        <f t="shared" si="16"/>
        <v>Error?</v>
      </c>
    </row>
    <row r="1105" spans="1:4">
      <c r="A1105" s="5">
        <v>1044</v>
      </c>
      <c r="B1105" s="138">
        <f>'Expenditures 15-22'!K13</f>
        <v>5143429</v>
      </c>
      <c r="C1105" s="2" t="s">
        <v>572</v>
      </c>
      <c r="D1105" s="2" t="str">
        <f t="shared" si="16"/>
        <v>Error?</v>
      </c>
    </row>
    <row r="1106" spans="1:4">
      <c r="A1106" s="5">
        <v>1045</v>
      </c>
      <c r="B1106" s="138">
        <f>'Expenditures 15-22'!K14</f>
        <v>2273149</v>
      </c>
      <c r="C1106" s="2" t="s">
        <v>572</v>
      </c>
      <c r="D1106" s="2" t="str">
        <f t="shared" si="16"/>
        <v>Error?</v>
      </c>
    </row>
    <row r="1107" spans="1:4">
      <c r="A1107" s="5">
        <v>1046</v>
      </c>
      <c r="B1107" s="138">
        <f>'Expenditures 15-22'!K15</f>
        <v>79270</v>
      </c>
      <c r="C1107" s="2" t="s">
        <v>572</v>
      </c>
      <c r="D1107" s="2" t="str">
        <f t="shared" si="16"/>
        <v>Error?</v>
      </c>
    </row>
    <row r="1108" spans="1:4">
      <c r="A1108" s="5">
        <v>1047</v>
      </c>
      <c r="B1108" s="138">
        <f>'Expenditures 15-22'!K33</f>
        <v>49666393</v>
      </c>
      <c r="C1108" s="2" t="s">
        <v>572</v>
      </c>
      <c r="D1108" s="2" t="str">
        <f t="shared" si="16"/>
        <v>Error?</v>
      </c>
    </row>
    <row r="1109" spans="1:4">
      <c r="A1109" s="5">
        <v>1048</v>
      </c>
      <c r="B1109" s="138">
        <f>'Expenditures 15-22'!K36</f>
        <v>757239</v>
      </c>
      <c r="C1109" s="2" t="s">
        <v>572</v>
      </c>
      <c r="D1109" s="2" t="str">
        <f t="shared" si="16"/>
        <v>Error?</v>
      </c>
    </row>
    <row r="1110" spans="1:4">
      <c r="A1110" s="5">
        <v>1049</v>
      </c>
      <c r="B1110" s="138">
        <f>'Expenditures 15-22'!K37</f>
        <v>3940844</v>
      </c>
      <c r="C1110" s="2" t="s">
        <v>572</v>
      </c>
      <c r="D1110" s="2" t="str">
        <f t="shared" si="16"/>
        <v>Error?</v>
      </c>
    </row>
    <row r="1111" spans="1:4">
      <c r="A1111" s="5">
        <v>1050</v>
      </c>
      <c r="B1111" s="138">
        <f>'Expenditures 15-22'!K38</f>
        <v>299194</v>
      </c>
      <c r="C1111" s="2" t="s">
        <v>572</v>
      </c>
      <c r="D1111" s="2" t="str">
        <f t="shared" si="16"/>
        <v>Error?</v>
      </c>
    </row>
    <row r="1112" spans="1:4">
      <c r="A1112" s="5">
        <v>1051</v>
      </c>
      <c r="B1112" s="138">
        <f>'Expenditures 15-22'!K39</f>
        <v>383759</v>
      </c>
      <c r="C1112" s="2" t="s">
        <v>572</v>
      </c>
      <c r="D1112" s="2" t="str">
        <f t="shared" si="16"/>
        <v>Error?</v>
      </c>
    </row>
    <row r="1113" spans="1:4">
      <c r="A1113" s="5">
        <v>1052</v>
      </c>
      <c r="B1113" s="138">
        <f>'Expenditures 15-22'!K40</f>
        <v>3048</v>
      </c>
      <c r="C1113" s="2" t="s">
        <v>572</v>
      </c>
      <c r="D1113" s="2" t="str">
        <f t="shared" si="16"/>
        <v>Error?</v>
      </c>
    </row>
    <row r="1114" spans="1:4">
      <c r="A1114" s="5">
        <v>1053</v>
      </c>
      <c r="B1114" s="138">
        <f>'Expenditures 15-22'!K41</f>
        <v>0</v>
      </c>
      <c r="C1114" s="2" t="s">
        <v>572</v>
      </c>
      <c r="D1114" s="2" t="str">
        <f t="shared" si="16"/>
        <v>Error?</v>
      </c>
    </row>
    <row r="1115" spans="1:4">
      <c r="A1115" s="5">
        <v>1054</v>
      </c>
      <c r="B1115" s="138">
        <f>'Expenditures 15-22'!K42</f>
        <v>5384084</v>
      </c>
      <c r="C1115" s="2" t="s">
        <v>572</v>
      </c>
      <c r="D1115" s="2" t="str">
        <f t="shared" si="16"/>
        <v>Error?</v>
      </c>
    </row>
    <row r="1116" spans="1:4">
      <c r="A1116" s="5">
        <v>1055</v>
      </c>
      <c r="B1116" s="138">
        <f>'Expenditures 15-22'!K44</f>
        <v>1720775</v>
      </c>
      <c r="C1116" s="2" t="s">
        <v>572</v>
      </c>
      <c r="D1116" s="2" t="str">
        <f t="shared" si="16"/>
        <v>Error?</v>
      </c>
    </row>
    <row r="1117" spans="1:4">
      <c r="A1117" s="5">
        <v>1056</v>
      </c>
      <c r="B1117" s="138">
        <f>'Expenditures 15-22'!K45</f>
        <v>195776</v>
      </c>
      <c r="C1117" s="2" t="s">
        <v>572</v>
      </c>
      <c r="D1117" s="2" t="str">
        <f t="shared" si="16"/>
        <v>Error?</v>
      </c>
    </row>
    <row r="1118" spans="1:4">
      <c r="A1118" s="5">
        <v>1057</v>
      </c>
      <c r="B1118" s="138">
        <f>'Expenditures 15-22'!K46</f>
        <v>115211</v>
      </c>
      <c r="C1118" s="2" t="s">
        <v>572</v>
      </c>
      <c r="D1118" s="2" t="str">
        <f t="shared" si="16"/>
        <v>Error?</v>
      </c>
    </row>
    <row r="1119" spans="1:4">
      <c r="A1119" s="5">
        <v>1058</v>
      </c>
      <c r="B1119" s="138">
        <f>'Expenditures 15-22'!K47</f>
        <v>2031762</v>
      </c>
      <c r="C1119" s="2" t="s">
        <v>572</v>
      </c>
      <c r="D1119" s="2" t="str">
        <f t="shared" si="16"/>
        <v>Error?</v>
      </c>
    </row>
    <row r="1120" spans="1:4">
      <c r="A1120" s="5">
        <v>1059</v>
      </c>
      <c r="B1120" s="138">
        <f>'Expenditures 15-22'!K49</f>
        <v>103253</v>
      </c>
      <c r="C1120" s="2" t="s">
        <v>572</v>
      </c>
      <c r="D1120" s="2" t="str">
        <f t="shared" si="16"/>
        <v>Error?</v>
      </c>
    </row>
    <row r="1121" spans="1:4">
      <c r="A1121" s="5">
        <v>1060</v>
      </c>
      <c r="B1121" s="138">
        <f>'Expenditures 15-22'!K50</f>
        <v>501616</v>
      </c>
      <c r="C1121" s="2" t="s">
        <v>572</v>
      </c>
      <c r="D1121" s="2" t="str">
        <f t="shared" si="16"/>
        <v>Error?</v>
      </c>
    </row>
    <row r="1122" spans="1:4">
      <c r="A1122" s="5">
        <v>1061</v>
      </c>
      <c r="B1122" s="138">
        <f>'Expenditures 15-22'!K53</f>
        <v>605319</v>
      </c>
      <c r="C1122" s="2" t="s">
        <v>572</v>
      </c>
      <c r="D1122" s="2" t="str">
        <f t="shared" si="16"/>
        <v>Error?</v>
      </c>
    </row>
    <row r="1123" spans="1:4">
      <c r="A1123" s="5">
        <v>1062</v>
      </c>
      <c r="B1123" s="138">
        <f>'Expenditures 15-22'!K55</f>
        <v>3232992</v>
      </c>
      <c r="C1123" s="2" t="s">
        <v>572</v>
      </c>
      <c r="D1123" s="2" t="str">
        <f t="shared" si="16"/>
        <v>Error?</v>
      </c>
    </row>
    <row r="1124" spans="1:4">
      <c r="A1124" s="5">
        <v>1063</v>
      </c>
      <c r="B1124" s="138">
        <f>'Expenditures 15-22'!K56</f>
        <v>0</v>
      </c>
      <c r="C1124" s="2" t="s">
        <v>572</v>
      </c>
      <c r="D1124" s="2" t="str">
        <f t="shared" si="16"/>
        <v>Error?</v>
      </c>
    </row>
    <row r="1125" spans="1:4">
      <c r="A1125" s="5">
        <v>1064</v>
      </c>
      <c r="B1125" s="138">
        <f>'Expenditures 15-22'!K57</f>
        <v>3232992</v>
      </c>
      <c r="C1125" s="2" t="s">
        <v>572</v>
      </c>
      <c r="D1125" s="2" t="str">
        <f t="shared" si="16"/>
        <v>Error?</v>
      </c>
    </row>
    <row r="1126" spans="1:4">
      <c r="A1126" s="5">
        <v>1065</v>
      </c>
      <c r="B1126" s="138">
        <f>'Expenditures 15-22'!K59</f>
        <v>246897</v>
      </c>
      <c r="C1126" s="2" t="s">
        <v>572</v>
      </c>
      <c r="D1126" s="2" t="str">
        <f t="shared" si="16"/>
        <v>Error?</v>
      </c>
    </row>
    <row r="1127" spans="1:4">
      <c r="A1127" s="5">
        <v>1066</v>
      </c>
      <c r="B1127" s="138">
        <f>'Expenditures 15-22'!K60</f>
        <v>746786</v>
      </c>
      <c r="C1127" s="2" t="s">
        <v>572</v>
      </c>
      <c r="D1127" s="2" t="str">
        <f t="shared" si="16"/>
        <v>Error?</v>
      </c>
    </row>
    <row r="1128" spans="1:4">
      <c r="A1128" s="5">
        <v>1067</v>
      </c>
      <c r="B1128" s="138">
        <f>'Expenditures 15-22'!K61</f>
        <v>0</v>
      </c>
      <c r="C1128" s="2" t="s">
        <v>572</v>
      </c>
      <c r="D1128" s="2" t="str">
        <f t="shared" si="16"/>
        <v>Error?</v>
      </c>
    </row>
    <row r="1129" spans="1:4">
      <c r="A1129" s="5">
        <v>1068</v>
      </c>
      <c r="B1129" s="138">
        <f>'Expenditures 15-22'!K62</f>
        <v>0</v>
      </c>
      <c r="C1129" s="2" t="s">
        <v>572</v>
      </c>
      <c r="D1129" s="2" t="str">
        <f t="shared" si="16"/>
        <v>Error?</v>
      </c>
    </row>
    <row r="1130" spans="1:4">
      <c r="A1130" s="5">
        <v>1069</v>
      </c>
      <c r="B1130" s="138">
        <f>'Expenditures 15-22'!K63</f>
        <v>2017073</v>
      </c>
      <c r="C1130" s="2" t="s">
        <v>572</v>
      </c>
      <c r="D1130" s="2" t="str">
        <f t="shared" si="16"/>
        <v>Error?</v>
      </c>
    </row>
    <row r="1131" spans="1:4">
      <c r="A1131" s="5">
        <v>1070</v>
      </c>
      <c r="B1131" s="138">
        <f>'Expenditures 15-22'!K64</f>
        <v>0</v>
      </c>
      <c r="C1131" s="2" t="s">
        <v>572</v>
      </c>
      <c r="D1131" s="2" t="str">
        <f t="shared" si="16"/>
        <v>Error?</v>
      </c>
    </row>
    <row r="1132" spans="1:4">
      <c r="A1132" s="10">
        <v>1071</v>
      </c>
      <c r="D1132" s="2" t="str">
        <f t="shared" si="16"/>
        <v>OK</v>
      </c>
    </row>
    <row r="1133" spans="1:4">
      <c r="A1133" s="5">
        <v>1072</v>
      </c>
      <c r="B1133" s="138">
        <f>'Expenditures 15-22'!K65</f>
        <v>3010756</v>
      </c>
      <c r="C1133" s="2" t="s">
        <v>572</v>
      </c>
      <c r="D1133" s="2" t="str">
        <f t="shared" si="16"/>
        <v>Error?</v>
      </c>
    </row>
    <row r="1134" spans="1:4">
      <c r="A1134" s="5">
        <v>1073</v>
      </c>
      <c r="B1134" s="138">
        <f>'Expenditures 15-22'!K67</f>
        <v>0</v>
      </c>
      <c r="C1134" s="2" t="s">
        <v>572</v>
      </c>
      <c r="D1134" s="2" t="str">
        <f t="shared" si="16"/>
        <v>Error?</v>
      </c>
    </row>
    <row r="1135" spans="1:4">
      <c r="A1135" s="5">
        <v>1074</v>
      </c>
      <c r="B1135" s="138">
        <f>'Expenditures 15-22'!K68</f>
        <v>0</v>
      </c>
      <c r="C1135" s="2" t="s">
        <v>572</v>
      </c>
      <c r="D1135" s="2" t="str">
        <f t="shared" si="16"/>
        <v>Error?</v>
      </c>
    </row>
    <row r="1136" spans="1:4">
      <c r="A1136" s="5">
        <v>1075</v>
      </c>
      <c r="B1136" s="138">
        <f>'Expenditures 15-22'!K69</f>
        <v>479698</v>
      </c>
      <c r="C1136" s="2" t="s">
        <v>572</v>
      </c>
      <c r="D1136" s="2" t="str">
        <f t="shared" si="16"/>
        <v>Error?</v>
      </c>
    </row>
    <row r="1137" spans="1:4">
      <c r="A1137" s="5">
        <v>1076</v>
      </c>
      <c r="B1137" s="138">
        <f>'Expenditures 15-22'!K70</f>
        <v>250227</v>
      </c>
      <c r="C1137" s="2" t="s">
        <v>572</v>
      </c>
      <c r="D1137" s="2" t="str">
        <f t="shared" si="16"/>
        <v>Error?</v>
      </c>
    </row>
    <row r="1138" spans="1:4">
      <c r="A1138" s="10">
        <v>1077</v>
      </c>
      <c r="D1138" s="2" t="str">
        <f t="shared" si="16"/>
        <v>OK</v>
      </c>
    </row>
    <row r="1139" spans="1:4">
      <c r="A1139" s="5">
        <v>1078</v>
      </c>
      <c r="B1139" s="138">
        <f>'Expenditures 15-22'!K71</f>
        <v>4176269</v>
      </c>
      <c r="C1139" s="2" t="s">
        <v>572</v>
      </c>
      <c r="D1139" s="2" t="str">
        <f t="shared" si="16"/>
        <v>Error?</v>
      </c>
    </row>
    <row r="1140" spans="1:4">
      <c r="A1140" s="10">
        <v>1079</v>
      </c>
      <c r="D1140" s="2" t="str">
        <f t="shared" si="16"/>
        <v>OK</v>
      </c>
    </row>
    <row r="1141" spans="1:4">
      <c r="A1141" s="5">
        <v>1080</v>
      </c>
      <c r="B1141" s="138">
        <f>'Expenditures 15-22'!K72</f>
        <v>4906194</v>
      </c>
      <c r="C1141" s="2" t="s">
        <v>572</v>
      </c>
      <c r="D1141" s="2" t="str">
        <f t="shared" si="16"/>
        <v>Error?</v>
      </c>
    </row>
    <row r="1142" spans="1:4">
      <c r="A1142" s="5">
        <v>1081</v>
      </c>
      <c r="B1142" s="138">
        <f>'Expenditures 15-22'!K73</f>
        <v>356307</v>
      </c>
      <c r="C1142" s="2" t="s">
        <v>572</v>
      </c>
      <c r="D1142" s="2" t="str">
        <f t="shared" si="16"/>
        <v>Error?</v>
      </c>
    </row>
    <row r="1143" spans="1:4">
      <c r="A1143" s="5">
        <v>1082</v>
      </c>
      <c r="B1143" s="138">
        <f>'Expenditures 15-22'!K74</f>
        <v>19527414</v>
      </c>
      <c r="C1143" s="2" t="s">
        <v>572</v>
      </c>
      <c r="D1143" s="2" t="str">
        <f t="shared" si="16"/>
        <v>Error?</v>
      </c>
    </row>
    <row r="1144" spans="1:4">
      <c r="A1144" s="5">
        <v>1083</v>
      </c>
      <c r="B1144" s="138">
        <f>'Expenditures 15-22'!K75</f>
        <v>151805</v>
      </c>
      <c r="C1144" s="2" t="s">
        <v>572</v>
      </c>
      <c r="D1144" s="2" t="str">
        <f t="shared" si="16"/>
        <v>Error?</v>
      </c>
    </row>
    <row r="1145" spans="1:4">
      <c r="A1145" s="5">
        <v>1084</v>
      </c>
      <c r="B1145" s="138">
        <f>'Expenditures 15-22'!K102</f>
        <v>238355</v>
      </c>
      <c r="C1145" s="2" t="s">
        <v>572</v>
      </c>
      <c r="D1145" s="2" t="str">
        <f t="shared" si="16"/>
        <v>Error?</v>
      </c>
    </row>
    <row r="1146" spans="1:4">
      <c r="A1146" s="5">
        <v>1085</v>
      </c>
      <c r="B1146" s="138">
        <f>'Expenditures 15-22'!K105</f>
        <v>0</v>
      </c>
      <c r="C1146" s="2" t="s">
        <v>572</v>
      </c>
      <c r="D1146" s="2" t="str">
        <f t="shared" si="16"/>
        <v>Error?</v>
      </c>
    </row>
    <row r="1147" spans="1:4">
      <c r="A1147" s="5">
        <v>1086</v>
      </c>
      <c r="B1147" s="138">
        <f>'Expenditures 15-22'!K106</f>
        <v>0</v>
      </c>
      <c r="C1147" s="2" t="s">
        <v>572</v>
      </c>
      <c r="D1147" s="2" t="str">
        <f t="shared" si="16"/>
        <v>Error?</v>
      </c>
    </row>
    <row r="1148" spans="1:4">
      <c r="A1148" s="10">
        <v>1087</v>
      </c>
      <c r="C1148" s="2" t="s">
        <v>572</v>
      </c>
      <c r="D1148" s="2" t="str">
        <f t="shared" si="16"/>
        <v>OK</v>
      </c>
    </row>
    <row r="1149" spans="1:4">
      <c r="A1149" s="5">
        <v>1088</v>
      </c>
      <c r="B1149" s="138">
        <f>'Expenditures 15-22'!K109</f>
        <v>0</v>
      </c>
      <c r="C1149" s="2" t="s">
        <v>572</v>
      </c>
      <c r="D1149" s="2" t="str">
        <f t="shared" si="16"/>
        <v>Error?</v>
      </c>
    </row>
    <row r="1150" spans="1:4">
      <c r="A1150" s="10">
        <v>1089</v>
      </c>
      <c r="D1150" s="2" t="str">
        <f t="shared" si="16"/>
        <v>OK</v>
      </c>
    </row>
    <row r="1151" spans="1:4">
      <c r="A1151" s="5">
        <v>1090</v>
      </c>
      <c r="B1151" s="138">
        <f>'Expenditures 15-22'!K110</f>
        <v>0</v>
      </c>
      <c r="C1151" s="2" t="s">
        <v>572</v>
      </c>
      <c r="D1151" s="2" t="str">
        <f t="shared" ref="D1151:D1214" si="17">IF(ISBLANK(B1151),"OK",IF(A1151-B1151=0,"OK","Error?"))</f>
        <v>Error?</v>
      </c>
    </row>
    <row r="1152" spans="1:4">
      <c r="A1152" s="5">
        <v>1091</v>
      </c>
      <c r="B1152" s="138">
        <f>'Expenditures 15-22'!K114</f>
        <v>69583967</v>
      </c>
      <c r="C1152" s="2" t="s">
        <v>572</v>
      </c>
      <c r="D1152" s="2" t="str">
        <f t="shared" si="17"/>
        <v>Error?</v>
      </c>
    </row>
    <row r="1153" spans="1:4">
      <c r="A1153" s="5">
        <v>1092</v>
      </c>
      <c r="B1153" s="138">
        <f>'Expenditures 15-22'!K115</f>
        <v>12384804</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3618906</v>
      </c>
      <c r="D1221" s="2" t="str">
        <f t="shared" si="18"/>
        <v>Error?</v>
      </c>
    </row>
    <row r="1222" spans="1:4">
      <c r="A1222" s="10">
        <v>1161</v>
      </c>
      <c r="D1222" s="2" t="str">
        <f t="shared" si="18"/>
        <v>OK</v>
      </c>
    </row>
    <row r="1223" spans="1:4">
      <c r="A1223" s="5">
        <v>1162</v>
      </c>
      <c r="B1223" s="138">
        <f>'Expenditures 15-22'!C127</f>
        <v>3618906</v>
      </c>
      <c r="C1223" s="2" t="s">
        <v>572</v>
      </c>
      <c r="D1223" s="2" t="str">
        <f t="shared" si="18"/>
        <v>Error?</v>
      </c>
    </row>
    <row r="1224" spans="1:4">
      <c r="A1224" s="5">
        <v>1163</v>
      </c>
      <c r="B1224" s="138">
        <f>'Expenditures 15-22'!C128</f>
        <v>0</v>
      </c>
      <c r="D1224" s="2" t="str">
        <f t="shared" si="18"/>
        <v>Error?</v>
      </c>
    </row>
    <row r="1225" spans="1:4">
      <c r="A1225" s="5">
        <v>1164</v>
      </c>
      <c r="B1225" s="138">
        <f>'Expenditures 15-22'!C129</f>
        <v>3618906</v>
      </c>
      <c r="C1225" s="2" t="s">
        <v>572</v>
      </c>
      <c r="D1225" s="2" t="str">
        <f t="shared" si="18"/>
        <v>Error?</v>
      </c>
    </row>
    <row r="1226" spans="1:4">
      <c r="A1226" s="5">
        <v>1165</v>
      </c>
      <c r="B1226" s="138">
        <f>'Expenditures 15-22'!C151</f>
        <v>3618906</v>
      </c>
      <c r="C1226" s="2" t="s">
        <v>572</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1087046</v>
      </c>
      <c r="D1229" s="2" t="str">
        <f t="shared" si="18"/>
        <v>Error?</v>
      </c>
    </row>
    <row r="1230" spans="1:4">
      <c r="A1230" s="10">
        <v>1169</v>
      </c>
      <c r="D1230" s="2" t="str">
        <f t="shared" si="18"/>
        <v>OK</v>
      </c>
    </row>
    <row r="1231" spans="1:4">
      <c r="A1231" s="5">
        <v>1170</v>
      </c>
      <c r="B1231" s="138">
        <f>'Expenditures 15-22'!D127</f>
        <v>1087046</v>
      </c>
      <c r="C1231" s="2" t="s">
        <v>572</v>
      </c>
      <c r="D1231" s="2" t="str">
        <f t="shared" si="18"/>
        <v>Error?</v>
      </c>
    </row>
    <row r="1232" spans="1:4">
      <c r="A1232" s="5">
        <v>1171</v>
      </c>
      <c r="B1232" s="138">
        <f>'Expenditures 15-22'!D128</f>
        <v>0</v>
      </c>
      <c r="D1232" s="2" t="str">
        <f t="shared" si="18"/>
        <v>Error?</v>
      </c>
    </row>
    <row r="1233" spans="1:4">
      <c r="A1233" s="5">
        <v>1172</v>
      </c>
      <c r="B1233" s="138">
        <f>'Expenditures 15-22'!D129</f>
        <v>1087046</v>
      </c>
      <c r="C1233" s="2" t="s">
        <v>572</v>
      </c>
      <c r="D1233" s="2" t="str">
        <f t="shared" si="18"/>
        <v>Error?</v>
      </c>
    </row>
    <row r="1234" spans="1:4">
      <c r="A1234" s="5">
        <v>1173</v>
      </c>
      <c r="B1234" s="138">
        <f>'Expenditures 15-22'!D151</f>
        <v>1087046</v>
      </c>
      <c r="C1234" s="2" t="s">
        <v>572</v>
      </c>
      <c r="D1234" s="2" t="str">
        <f t="shared" si="18"/>
        <v>Error?</v>
      </c>
    </row>
    <row r="1235" spans="1:4">
      <c r="A1235" s="5">
        <v>1174</v>
      </c>
      <c r="B1235" s="138">
        <f>'Expenditures 15-22'!E122</f>
        <v>0</v>
      </c>
      <c r="D1235" s="2" t="str">
        <f t="shared" si="18"/>
        <v>Error?</v>
      </c>
    </row>
    <row r="1236" spans="1:4">
      <c r="A1236" s="5">
        <v>1175</v>
      </c>
      <c r="B1236" s="138">
        <f>'Expenditures 15-22'!E123</f>
        <v>139560</v>
      </c>
      <c r="D1236" s="2" t="str">
        <f t="shared" si="18"/>
        <v>Error?</v>
      </c>
    </row>
    <row r="1237" spans="1:4">
      <c r="A1237" s="5">
        <v>1176</v>
      </c>
      <c r="B1237" s="138">
        <f>'Expenditures 15-22'!E124</f>
        <v>1246079</v>
      </c>
      <c r="D1237" s="2" t="str">
        <f t="shared" si="18"/>
        <v>Error?</v>
      </c>
    </row>
    <row r="1238" spans="1:4">
      <c r="A1238" s="10">
        <v>1177</v>
      </c>
      <c r="D1238" s="2" t="str">
        <f t="shared" si="18"/>
        <v>OK</v>
      </c>
    </row>
    <row r="1239" spans="1:4">
      <c r="A1239" s="5">
        <v>1178</v>
      </c>
      <c r="B1239" s="138">
        <f>'Expenditures 15-22'!E127</f>
        <v>1385639</v>
      </c>
      <c r="C1239" s="2" t="s">
        <v>572</v>
      </c>
      <c r="D1239" s="2" t="str">
        <f t="shared" si="18"/>
        <v>Error?</v>
      </c>
    </row>
    <row r="1240" spans="1:4">
      <c r="A1240" s="5">
        <v>1179</v>
      </c>
      <c r="B1240" s="138">
        <f>'Expenditures 15-22'!E128</f>
        <v>0</v>
      </c>
      <c r="D1240" s="2" t="str">
        <f t="shared" si="18"/>
        <v>Error?</v>
      </c>
    </row>
    <row r="1241" spans="1:4">
      <c r="A1241" s="5">
        <v>1180</v>
      </c>
      <c r="B1241" s="138">
        <f>'Expenditures 15-22'!E129</f>
        <v>1385639</v>
      </c>
      <c r="C1241" s="2" t="s">
        <v>572</v>
      </c>
      <c r="D1241" s="2" t="str">
        <f t="shared" si="18"/>
        <v>Error?</v>
      </c>
    </row>
    <row r="1242" spans="1:4">
      <c r="A1242" s="5">
        <v>1181</v>
      </c>
      <c r="B1242" s="138">
        <f>'Expenditures 15-22'!E151</f>
        <v>1385639</v>
      </c>
      <c r="C1242" s="2" t="s">
        <v>572</v>
      </c>
      <c r="D1242" s="2" t="str">
        <f t="shared" si="18"/>
        <v>Error?</v>
      </c>
    </row>
    <row r="1243" spans="1:4">
      <c r="A1243" s="5">
        <v>1182</v>
      </c>
      <c r="B1243" s="138">
        <f>'Expenditures 15-22'!F122</f>
        <v>0</v>
      </c>
      <c r="D1243" s="2" t="str">
        <f t="shared" si="18"/>
        <v>Error?</v>
      </c>
    </row>
    <row r="1244" spans="1:4">
      <c r="A1244" s="5">
        <v>1183</v>
      </c>
      <c r="B1244" s="138">
        <f>'Expenditures 15-22'!F123</f>
        <v>10694</v>
      </c>
      <c r="D1244" s="2" t="str">
        <f t="shared" si="18"/>
        <v>Error?</v>
      </c>
    </row>
    <row r="1245" spans="1:4">
      <c r="A1245" s="5">
        <v>1184</v>
      </c>
      <c r="B1245" s="138">
        <f>'Expenditures 15-22'!F124</f>
        <v>2083798</v>
      </c>
      <c r="D1245" s="2" t="str">
        <f t="shared" si="18"/>
        <v>Error?</v>
      </c>
    </row>
    <row r="1246" spans="1:4">
      <c r="A1246" s="10">
        <v>1185</v>
      </c>
      <c r="D1246" s="2" t="str">
        <f t="shared" si="18"/>
        <v>OK</v>
      </c>
    </row>
    <row r="1247" spans="1:4">
      <c r="A1247" s="5">
        <v>1186</v>
      </c>
      <c r="B1247" s="138">
        <f>'Expenditures 15-22'!F127</f>
        <v>2094492</v>
      </c>
      <c r="C1247" s="2" t="s">
        <v>572</v>
      </c>
      <c r="D1247" s="2" t="str">
        <f t="shared" si="18"/>
        <v>Error?</v>
      </c>
    </row>
    <row r="1248" spans="1:4">
      <c r="A1248" s="5">
        <v>1187</v>
      </c>
      <c r="B1248" s="138">
        <f>'Expenditures 15-22'!F128</f>
        <v>0</v>
      </c>
      <c r="D1248" s="2" t="str">
        <f t="shared" si="18"/>
        <v>Error?</v>
      </c>
    </row>
    <row r="1249" spans="1:4">
      <c r="A1249" s="5">
        <v>1188</v>
      </c>
      <c r="B1249" s="138">
        <f>'Expenditures 15-22'!F129</f>
        <v>2094492</v>
      </c>
      <c r="C1249" s="2" t="s">
        <v>572</v>
      </c>
      <c r="D1249" s="2" t="str">
        <f t="shared" si="18"/>
        <v>Error?</v>
      </c>
    </row>
    <row r="1250" spans="1:4">
      <c r="A1250" s="5">
        <v>1189</v>
      </c>
      <c r="B1250" s="138">
        <f>'Expenditures 15-22'!F151</f>
        <v>2094492</v>
      </c>
      <c r="C1250" s="2" t="s">
        <v>572</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513671</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513671</v>
      </c>
      <c r="C1256" s="2" t="s">
        <v>572</v>
      </c>
      <c r="D1256" s="2" t="str">
        <f t="shared" si="18"/>
        <v>Error?</v>
      </c>
    </row>
    <row r="1257" spans="1:4">
      <c r="A1257" s="5">
        <v>1196</v>
      </c>
      <c r="B1257" s="138">
        <f>'Expenditures 15-22'!G128</f>
        <v>0</v>
      </c>
      <c r="D1257" s="2" t="str">
        <f t="shared" si="18"/>
        <v>Error?</v>
      </c>
    </row>
    <row r="1258" spans="1:4">
      <c r="A1258" s="5">
        <v>1197</v>
      </c>
      <c r="B1258" s="138">
        <f>'Expenditures 15-22'!G129</f>
        <v>513671</v>
      </c>
      <c r="C1258" s="2" t="s">
        <v>572</v>
      </c>
      <c r="D1258" s="2" t="str">
        <f t="shared" si="18"/>
        <v>Error?</v>
      </c>
    </row>
    <row r="1259" spans="1:4">
      <c r="A1259" s="5">
        <v>1198</v>
      </c>
      <c r="B1259" s="138">
        <f>'Expenditures 15-22'!G151</f>
        <v>513671</v>
      </c>
      <c r="C1259" s="2" t="s">
        <v>572</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885</v>
      </c>
      <c r="D1262" s="2" t="str">
        <f t="shared" si="18"/>
        <v>Error?</v>
      </c>
    </row>
    <row r="1263" spans="1:4">
      <c r="A1263" s="10">
        <v>1202</v>
      </c>
      <c r="D1263" s="2" t="str">
        <f t="shared" si="18"/>
        <v>OK</v>
      </c>
    </row>
    <row r="1264" spans="1:4">
      <c r="A1264" s="5">
        <v>1203</v>
      </c>
      <c r="B1264" s="138">
        <f>'Expenditures 15-22'!H127</f>
        <v>885</v>
      </c>
      <c r="C1264" s="2" t="s">
        <v>572</v>
      </c>
      <c r="D1264" s="2" t="str">
        <f t="shared" si="18"/>
        <v>Error?</v>
      </c>
    </row>
    <row r="1265" spans="1:4">
      <c r="A1265" s="5">
        <v>1204</v>
      </c>
      <c r="B1265" s="138">
        <f>'Expenditures 15-22'!H128</f>
        <v>0</v>
      </c>
      <c r="D1265" s="2" t="str">
        <f t="shared" si="18"/>
        <v>Error?</v>
      </c>
    </row>
    <row r="1266" spans="1:4">
      <c r="A1266" s="5">
        <v>1205</v>
      </c>
      <c r="B1266" s="138">
        <f>'Expenditures 15-22'!H129</f>
        <v>885</v>
      </c>
      <c r="C1266" s="2" t="s">
        <v>572</v>
      </c>
      <c r="D1266" s="2" t="str">
        <f t="shared" si="18"/>
        <v>Error?</v>
      </c>
    </row>
    <row r="1267" spans="1:4">
      <c r="A1267" s="5">
        <v>1206</v>
      </c>
      <c r="B1267" s="138">
        <f>'Expenditures 15-22'!H139</f>
        <v>0</v>
      </c>
      <c r="C1267" s="2" t="s">
        <v>572</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572</v>
      </c>
      <c r="D1272" s="2" t="str">
        <f t="shared" si="18"/>
        <v>Error?</v>
      </c>
    </row>
    <row r="1273" spans="1:4">
      <c r="A1273" s="5">
        <v>1212</v>
      </c>
      <c r="B1273" s="138">
        <f>'Expenditures 15-22'!H151</f>
        <v>885</v>
      </c>
      <c r="C1273" s="2" t="s">
        <v>572</v>
      </c>
      <c r="D1273" s="2" t="str">
        <f t="shared" si="18"/>
        <v>Error?</v>
      </c>
    </row>
    <row r="1274" spans="1:4">
      <c r="A1274" s="5">
        <v>1213</v>
      </c>
      <c r="B1274" s="138">
        <f>'Expenditures 15-22'!K122</f>
        <v>0</v>
      </c>
      <c r="C1274" s="2" t="s">
        <v>572</v>
      </c>
      <c r="D1274" s="2" t="str">
        <f t="shared" si="18"/>
        <v>Error?</v>
      </c>
    </row>
    <row r="1275" spans="1:4">
      <c r="A1275" s="5">
        <v>1214</v>
      </c>
      <c r="B1275" s="138">
        <f>'Expenditures 15-22'!K123</f>
        <v>150254</v>
      </c>
      <c r="C1275" s="2" t="s">
        <v>572</v>
      </c>
      <c r="D1275" s="2" t="str">
        <f t="shared" si="18"/>
        <v>Error?</v>
      </c>
    </row>
    <row r="1276" spans="1:4">
      <c r="A1276" s="5">
        <v>1215</v>
      </c>
      <c r="B1276" s="138">
        <f>'Expenditures 15-22'!K124</f>
        <v>8550385</v>
      </c>
      <c r="C1276" s="2" t="s">
        <v>572</v>
      </c>
      <c r="D1276" s="2" t="str">
        <f t="shared" si="18"/>
        <v>Error?</v>
      </c>
    </row>
    <row r="1277" spans="1:4">
      <c r="A1277" s="5">
        <v>1216</v>
      </c>
      <c r="B1277" s="138">
        <f>'Expenditures 15-22'!K126</f>
        <v>0</v>
      </c>
      <c r="C1277" s="2" t="s">
        <v>572</v>
      </c>
      <c r="D1277" s="2" t="str">
        <f t="shared" si="18"/>
        <v>Error?</v>
      </c>
    </row>
    <row r="1278" spans="1:4">
      <c r="A1278" s="10">
        <v>1217</v>
      </c>
      <c r="D1278" s="2" t="str">
        <f t="shared" si="18"/>
        <v>OK</v>
      </c>
    </row>
    <row r="1279" spans="1:4">
      <c r="A1279" s="5">
        <v>1218</v>
      </c>
      <c r="B1279" s="138">
        <f>'Expenditures 15-22'!K127</f>
        <v>8700639</v>
      </c>
      <c r="C1279" s="2" t="s">
        <v>572</v>
      </c>
      <c r="D1279" s="2" t="str">
        <f t="shared" ref="D1279:D1342" si="19">IF(ISBLANK(B1279),"OK",IF(A1279-B1279=0,"OK","Error?"))</f>
        <v>Error?</v>
      </c>
    </row>
    <row r="1280" spans="1:4">
      <c r="A1280" s="5">
        <v>1219</v>
      </c>
      <c r="B1280" s="138">
        <f>'Expenditures 15-22'!K128</f>
        <v>0</v>
      </c>
      <c r="C1280" s="2" t="s">
        <v>572</v>
      </c>
      <c r="D1280" s="2" t="str">
        <f t="shared" si="19"/>
        <v>Error?</v>
      </c>
    </row>
    <row r="1281" spans="1:4">
      <c r="A1281" s="5">
        <v>1220</v>
      </c>
      <c r="B1281" s="138">
        <f>'Expenditures 15-22'!K129</f>
        <v>8700639</v>
      </c>
      <c r="C1281" s="2" t="s">
        <v>572</v>
      </c>
      <c r="D1281" s="2" t="str">
        <f t="shared" si="19"/>
        <v>Error?</v>
      </c>
    </row>
    <row r="1282" spans="1:4">
      <c r="A1282" s="5">
        <v>1221</v>
      </c>
      <c r="B1282" s="138">
        <f>'Expenditures 15-22'!K139</f>
        <v>0</v>
      </c>
      <c r="C1282" s="2" t="s">
        <v>572</v>
      </c>
      <c r="D1282" s="2" t="str">
        <f t="shared" si="19"/>
        <v>Error?</v>
      </c>
    </row>
    <row r="1283" spans="1:4">
      <c r="A1283" s="5">
        <v>1222</v>
      </c>
      <c r="B1283" s="138">
        <f>'Expenditures 15-22'!K142</f>
        <v>0</v>
      </c>
      <c r="C1283" s="2" t="s">
        <v>572</v>
      </c>
      <c r="D1283" s="2" t="str">
        <f t="shared" si="19"/>
        <v>Error?</v>
      </c>
    </row>
    <row r="1284" spans="1:4">
      <c r="A1284" s="5">
        <v>1223</v>
      </c>
      <c r="B1284" s="138">
        <f>'Expenditures 15-22'!K143</f>
        <v>0</v>
      </c>
      <c r="C1284" s="2" t="s">
        <v>572</v>
      </c>
      <c r="D1284" s="2" t="str">
        <f t="shared" si="19"/>
        <v>Error?</v>
      </c>
    </row>
    <row r="1285" spans="1:4">
      <c r="A1285" s="5">
        <v>1224</v>
      </c>
      <c r="B1285" s="138">
        <f>'Expenditures 15-22'!K146</f>
        <v>0</v>
      </c>
      <c r="C1285" s="2" t="s">
        <v>572</v>
      </c>
      <c r="D1285" s="2" t="str">
        <f t="shared" si="19"/>
        <v>Error?</v>
      </c>
    </row>
    <row r="1286" spans="1:4">
      <c r="A1286" s="10">
        <v>1225</v>
      </c>
      <c r="D1286" s="2" t="str">
        <f t="shared" si="19"/>
        <v>OK</v>
      </c>
    </row>
    <row r="1287" spans="1:4">
      <c r="A1287" s="12">
        <v>1226</v>
      </c>
      <c r="B1287" s="138">
        <f>'Expenditures 15-22'!K149</f>
        <v>0</v>
      </c>
      <c r="C1287" s="2" t="s">
        <v>572</v>
      </c>
      <c r="D1287" s="2" t="str">
        <f t="shared" si="19"/>
        <v>Error?</v>
      </c>
    </row>
    <row r="1288" spans="1:4">
      <c r="A1288" s="5">
        <v>1227</v>
      </c>
      <c r="B1288" s="138">
        <f>'Expenditures 15-22'!K151</f>
        <v>8700639</v>
      </c>
      <c r="C1288" s="2" t="s">
        <v>572</v>
      </c>
      <c r="D1288" s="2" t="str">
        <f t="shared" si="19"/>
        <v>Error?</v>
      </c>
    </row>
    <row r="1289" spans="1:4">
      <c r="A1289" s="5">
        <v>1228</v>
      </c>
      <c r="B1289" s="138">
        <f>'Expenditures 15-22'!K152</f>
        <v>1271355</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2950</v>
      </c>
      <c r="D1307" s="2" t="str">
        <f t="shared" si="19"/>
        <v>Error?</v>
      </c>
    </row>
    <row r="1308" spans="1:4">
      <c r="A1308" s="5">
        <v>1247</v>
      </c>
      <c r="B1308" s="138">
        <f>'Expenditures 15-22'!E172</f>
        <v>2950</v>
      </c>
      <c r="C1308" s="2" t="s">
        <v>572</v>
      </c>
      <c r="D1308" s="2" t="str">
        <f t="shared" si="19"/>
        <v>Error?</v>
      </c>
    </row>
    <row r="1309" spans="1:4">
      <c r="A1309" s="5">
        <v>1248</v>
      </c>
      <c r="B1309" s="138">
        <f>'Expenditures 15-22'!E174</f>
        <v>2950</v>
      </c>
      <c r="C1309" s="2" t="s">
        <v>572</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4022730</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572</v>
      </c>
      <c r="D1314" s="2" t="str">
        <f t="shared" si="19"/>
        <v>Error?</v>
      </c>
    </row>
    <row r="1315" spans="1:4">
      <c r="A1315" s="5">
        <v>1254</v>
      </c>
      <c r="B1315" s="138">
        <f>'Expenditures 15-22'!H170</f>
        <v>4220380</v>
      </c>
      <c r="D1315" s="2" t="str">
        <f t="shared" si="19"/>
        <v>Error?</v>
      </c>
    </row>
    <row r="1316" spans="1:4">
      <c r="A1316" s="5">
        <v>1255</v>
      </c>
      <c r="B1316" s="138">
        <f>'Expenditures 15-22'!H171</f>
        <v>0</v>
      </c>
      <c r="D1316" s="2" t="str">
        <f t="shared" si="19"/>
        <v>Error?</v>
      </c>
    </row>
    <row r="1317" spans="1:4">
      <c r="A1317" s="5">
        <v>1256</v>
      </c>
      <c r="B1317" s="138">
        <f>'Expenditures 15-22'!H172</f>
        <v>8243110</v>
      </c>
      <c r="C1317" s="2" t="s">
        <v>572</v>
      </c>
      <c r="D1317" s="2" t="str">
        <f t="shared" si="19"/>
        <v>Error?</v>
      </c>
    </row>
    <row r="1318" spans="1:4">
      <c r="A1318" s="5">
        <v>1257</v>
      </c>
      <c r="B1318" s="138">
        <f>'Expenditures 15-22'!H174</f>
        <v>8243110</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8">
        <f>'Expenditures 15-22'!K155</f>
        <v>0</v>
      </c>
      <c r="C1323" s="2" t="s">
        <v>572</v>
      </c>
      <c r="D1323" s="2" t="str">
        <f t="shared" si="19"/>
        <v>Error?</v>
      </c>
    </row>
    <row r="1324" spans="1:4">
      <c r="A1324" s="5">
        <v>1263</v>
      </c>
      <c r="B1324" s="138">
        <f>'Expenditures 15-22'!K163</f>
        <v>0</v>
      </c>
      <c r="C1324" s="2" t="s">
        <v>572</v>
      </c>
      <c r="D1324" s="2" t="str">
        <f t="shared" si="19"/>
        <v>Error?</v>
      </c>
    </row>
    <row r="1325" spans="1:4">
      <c r="A1325" s="5">
        <v>1264</v>
      </c>
      <c r="B1325" s="138">
        <f>'Expenditures 15-22'!K164</f>
        <v>0</v>
      </c>
      <c r="C1325" s="2" t="s">
        <v>572</v>
      </c>
      <c r="D1325" s="2" t="str">
        <f t="shared" si="19"/>
        <v>Error?</v>
      </c>
    </row>
    <row r="1326" spans="1:4">
      <c r="A1326" s="5">
        <v>1265</v>
      </c>
      <c r="B1326" s="138">
        <f>'Expenditures 15-22'!K169</f>
        <v>4022730</v>
      </c>
      <c r="C1326" s="2" t="s">
        <v>572</v>
      </c>
      <c r="D1326" s="2" t="str">
        <f t="shared" si="19"/>
        <v>Error?</v>
      </c>
    </row>
    <row r="1327" spans="1:4">
      <c r="A1327" s="5">
        <v>1266</v>
      </c>
      <c r="B1327" s="138">
        <f>'Expenditures 15-22'!K167</f>
        <v>0</v>
      </c>
      <c r="C1327" s="2" t="s">
        <v>572</v>
      </c>
      <c r="D1327" s="2" t="str">
        <f t="shared" si="19"/>
        <v>Error?</v>
      </c>
    </row>
    <row r="1328" spans="1:4">
      <c r="A1328" s="5">
        <v>1267</v>
      </c>
      <c r="B1328" s="138">
        <f>'Expenditures 15-22'!K168</f>
        <v>0</v>
      </c>
      <c r="C1328" s="2" t="s">
        <v>572</v>
      </c>
      <c r="D1328" s="2" t="str">
        <f t="shared" si="19"/>
        <v>Error?</v>
      </c>
    </row>
    <row r="1329" spans="1:4">
      <c r="A1329" s="5">
        <v>1268</v>
      </c>
      <c r="B1329" s="138">
        <f>'Expenditures 15-22'!K170</f>
        <v>4220380</v>
      </c>
      <c r="C1329" s="2" t="s">
        <v>572</v>
      </c>
      <c r="D1329" s="2" t="str">
        <f t="shared" si="19"/>
        <v>Error?</v>
      </c>
    </row>
    <row r="1330" spans="1:4">
      <c r="A1330" s="5">
        <v>1269</v>
      </c>
      <c r="B1330" s="138">
        <f>'Expenditures 15-22'!K171</f>
        <v>2950</v>
      </c>
      <c r="C1330" s="2" t="s">
        <v>572</v>
      </c>
      <c r="D1330" s="2" t="str">
        <f t="shared" si="19"/>
        <v>Error?</v>
      </c>
    </row>
    <row r="1331" spans="1:4">
      <c r="A1331" s="5">
        <v>1270</v>
      </c>
      <c r="B1331" s="138">
        <f>'Expenditures 15-22'!K172</f>
        <v>8246060</v>
      </c>
      <c r="C1331" s="2" t="s">
        <v>572</v>
      </c>
      <c r="D1331" s="2" t="str">
        <f t="shared" si="19"/>
        <v>Error?</v>
      </c>
    </row>
    <row r="1332" spans="1:4">
      <c r="A1332" s="5">
        <v>1271</v>
      </c>
      <c r="B1332" s="138">
        <f>'Expenditures 15-22'!K174</f>
        <v>8246060</v>
      </c>
      <c r="C1332" s="2" t="s">
        <v>572</v>
      </c>
      <c r="D1332" s="2" t="str">
        <f t="shared" si="19"/>
        <v>Error?</v>
      </c>
    </row>
    <row r="1333" spans="1:4">
      <c r="A1333" s="5">
        <v>1272</v>
      </c>
      <c r="B1333" s="138">
        <f>'Expenditures 15-22'!K175</f>
        <v>-408695</v>
      </c>
      <c r="C1333" s="2" t="s">
        <v>572</v>
      </c>
      <c r="D1333" s="2" t="str">
        <f t="shared" si="19"/>
        <v>Error?</v>
      </c>
    </row>
    <row r="1334" spans="1:4">
      <c r="A1334" s="10">
        <v>1273</v>
      </c>
      <c r="D1334" s="2" t="str">
        <f t="shared" si="19"/>
        <v>OK</v>
      </c>
    </row>
    <row r="1335" spans="1:4">
      <c r="A1335" s="5">
        <v>1274</v>
      </c>
      <c r="B1335" s="138">
        <f>'Expenditures 15-22'!C182</f>
        <v>4078155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4078155</v>
      </c>
      <c r="C1339" s="2" t="s">
        <v>572</v>
      </c>
      <c r="D1339" s="2" t="str">
        <f t="shared" si="19"/>
        <v>Error?</v>
      </c>
    </row>
    <row r="1340" spans="1:4">
      <c r="A1340" s="5">
        <v>1279</v>
      </c>
      <c r="B1340" s="138">
        <f>'Expenditures 15-22'!C210</f>
        <v>4078155</v>
      </c>
      <c r="C1340" s="2" t="s">
        <v>572</v>
      </c>
      <c r="D1340" s="2" t="str">
        <f t="shared" si="19"/>
        <v>Error?</v>
      </c>
    </row>
    <row r="1341" spans="1:4">
      <c r="A1341" s="5">
        <v>1280</v>
      </c>
      <c r="B1341" s="138">
        <f>'Expenditures 15-22'!D182</f>
        <v>608818</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608818</v>
      </c>
      <c r="C1345" s="2" t="s">
        <v>572</v>
      </c>
      <c r="D1345" s="2" t="str">
        <f t="shared" si="20"/>
        <v>Error?</v>
      </c>
    </row>
    <row r="1346" spans="1:4">
      <c r="A1346" s="5">
        <v>1285</v>
      </c>
      <c r="B1346" s="138">
        <f>'Expenditures 15-22'!D210</f>
        <v>608818</v>
      </c>
      <c r="C1346" s="2" t="s">
        <v>572</v>
      </c>
      <c r="D1346" s="2" t="str">
        <f t="shared" si="20"/>
        <v>Error?</v>
      </c>
    </row>
    <row r="1347" spans="1:4">
      <c r="A1347" s="5">
        <v>1286</v>
      </c>
      <c r="B1347" s="138">
        <f>'Expenditures 15-22'!E182</f>
        <v>1979216</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1979216</v>
      </c>
      <c r="C1351" s="2" t="s">
        <v>572</v>
      </c>
      <c r="D1351" s="2" t="str">
        <f t="shared" si="20"/>
        <v>Error?</v>
      </c>
    </row>
    <row r="1352" spans="1:4">
      <c r="A1352" s="5">
        <v>1291</v>
      </c>
      <c r="B1352" s="138">
        <f>'Expenditures 15-22'!E196</f>
        <v>0</v>
      </c>
      <c r="C1352" s="2" t="s">
        <v>572</v>
      </c>
      <c r="D1352" s="2" t="str">
        <f t="shared" si="20"/>
        <v>Error?</v>
      </c>
    </row>
    <row r="1353" spans="1:4">
      <c r="A1353" s="5">
        <v>1292</v>
      </c>
      <c r="B1353" s="138">
        <f>'Expenditures 15-22'!E210</f>
        <v>1979216</v>
      </c>
      <c r="C1353" s="2" t="s">
        <v>572</v>
      </c>
      <c r="D1353" s="2" t="str">
        <f t="shared" si="20"/>
        <v>Error?</v>
      </c>
    </row>
    <row r="1354" spans="1:4">
      <c r="A1354" s="5">
        <v>1293</v>
      </c>
      <c r="B1354" s="138">
        <f>'Expenditures 15-22'!F182</f>
        <v>566003</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566003</v>
      </c>
      <c r="C1358" s="2" t="s">
        <v>572</v>
      </c>
      <c r="D1358" s="2" t="str">
        <f t="shared" si="20"/>
        <v>Error?</v>
      </c>
    </row>
    <row r="1359" spans="1:4">
      <c r="A1359" s="5">
        <v>1298</v>
      </c>
      <c r="B1359" s="138">
        <f>'Expenditures 15-22'!F210</f>
        <v>566003</v>
      </c>
      <c r="C1359" s="2" t="s">
        <v>572</v>
      </c>
      <c r="D1359" s="2" t="str">
        <f t="shared" si="20"/>
        <v>Error?</v>
      </c>
    </row>
    <row r="1360" spans="1:4">
      <c r="A1360" s="5">
        <v>1299</v>
      </c>
      <c r="B1360" s="138">
        <f>'Expenditures 15-22'!G182</f>
        <v>254408</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254408</v>
      </c>
      <c r="C1364" s="2" t="s">
        <v>572</v>
      </c>
      <c r="D1364" s="2" t="str">
        <f t="shared" si="20"/>
        <v>Error?</v>
      </c>
    </row>
    <row r="1365" spans="1:4">
      <c r="A1365" s="5">
        <v>1304</v>
      </c>
      <c r="B1365" s="138">
        <f>'Expenditures 15-22'!G210</f>
        <v>254408</v>
      </c>
      <c r="C1365" s="2" t="s">
        <v>572</v>
      </c>
      <c r="D1365" s="2" t="str">
        <f t="shared" si="20"/>
        <v>Error?</v>
      </c>
    </row>
    <row r="1366" spans="1:4">
      <c r="A1366" s="5">
        <v>1305</v>
      </c>
      <c r="B1366" s="138">
        <f>'Expenditures 15-22'!H182</f>
        <v>70880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70880</v>
      </c>
      <c r="C1370" s="2" t="s">
        <v>572</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572</v>
      </c>
      <c r="D1375" s="2" t="str">
        <f t="shared" si="20"/>
        <v>Error?</v>
      </c>
    </row>
    <row r="1376" spans="1:4">
      <c r="A1376" s="5">
        <v>1315</v>
      </c>
      <c r="B1376" s="138">
        <f>'Expenditures 15-22'!H210</f>
        <v>70880</v>
      </c>
      <c r="C1376" s="2" t="s">
        <v>572</v>
      </c>
      <c r="D1376" s="2" t="str">
        <f t="shared" si="20"/>
        <v>Error?</v>
      </c>
    </row>
    <row r="1377" spans="1:4">
      <c r="A1377" s="5">
        <v>1316</v>
      </c>
      <c r="B1377" s="138">
        <f>'Expenditures 15-22'!K182</f>
        <v>7557480</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572</v>
      </c>
      <c r="D1380" s="2" t="str">
        <f t="shared" si="20"/>
        <v>Error?</v>
      </c>
    </row>
    <row r="1381" spans="1:4">
      <c r="A1381" s="5">
        <v>1320</v>
      </c>
      <c r="B1381" s="138">
        <f>'Expenditures 15-22'!K184</f>
        <v>7557480</v>
      </c>
      <c r="C1381" s="2" t="s">
        <v>572</v>
      </c>
      <c r="D1381" s="2" t="str">
        <f t="shared" si="20"/>
        <v>Error?</v>
      </c>
    </row>
    <row r="1382" spans="1:4">
      <c r="A1382" s="5">
        <v>1321</v>
      </c>
      <c r="B1382" s="138">
        <f>'Expenditures 15-22'!K196</f>
        <v>0</v>
      </c>
      <c r="C1382" s="2" t="s">
        <v>572</v>
      </c>
      <c r="D1382" s="2" t="str">
        <f t="shared" si="20"/>
        <v>Error?</v>
      </c>
    </row>
    <row r="1383" spans="1:4">
      <c r="A1383" s="5">
        <v>1322</v>
      </c>
      <c r="B1383" s="138">
        <f>'Expenditures 15-22'!K199</f>
        <v>0</v>
      </c>
      <c r="C1383" s="2" t="s">
        <v>572</v>
      </c>
      <c r="D1383" s="2" t="str">
        <f t="shared" si="20"/>
        <v>Error?</v>
      </c>
    </row>
    <row r="1384" spans="1:4">
      <c r="A1384" s="5">
        <v>1323</v>
      </c>
      <c r="B1384" s="138">
        <f>'Expenditures 15-22'!K200</f>
        <v>0</v>
      </c>
      <c r="C1384" s="2" t="s">
        <v>572</v>
      </c>
      <c r="D1384" s="2" t="str">
        <f t="shared" si="20"/>
        <v>Error?</v>
      </c>
    </row>
    <row r="1385" spans="1:4">
      <c r="A1385" s="5">
        <v>1324</v>
      </c>
      <c r="B1385" s="138">
        <f>'Expenditures 15-22'!K203</f>
        <v>0</v>
      </c>
      <c r="C1385" s="2" t="s">
        <v>572</v>
      </c>
      <c r="D1385" s="2" t="str">
        <f t="shared" si="20"/>
        <v>Error?</v>
      </c>
    </row>
    <row r="1386" spans="1:4">
      <c r="A1386" s="10">
        <v>1325</v>
      </c>
      <c r="D1386" s="2" t="str">
        <f t="shared" si="20"/>
        <v>OK</v>
      </c>
    </row>
    <row r="1387" spans="1:4">
      <c r="A1387" s="5">
        <v>1326</v>
      </c>
      <c r="B1387" s="138">
        <f>'Expenditures 15-22'!K208</f>
        <v>0</v>
      </c>
      <c r="C1387" s="2" t="s">
        <v>572</v>
      </c>
      <c r="D1387" s="2" t="str">
        <f t="shared" si="20"/>
        <v>Error?</v>
      </c>
    </row>
    <row r="1388" spans="1:4">
      <c r="A1388" s="5">
        <v>1327</v>
      </c>
      <c r="B1388" s="138">
        <f>'Expenditures 15-22'!K210</f>
        <v>7557480</v>
      </c>
      <c r="C1388" s="2" t="s">
        <v>572</v>
      </c>
      <c r="D1388" s="2" t="str">
        <f t="shared" si="20"/>
        <v>Error?</v>
      </c>
    </row>
    <row r="1389" spans="1:4">
      <c r="A1389" s="5">
        <v>1328</v>
      </c>
      <c r="B1389" s="138">
        <f>'Expenditures 15-22'!K211</f>
        <v>725177</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31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58024</v>
      </c>
      <c r="D1407" s="2" t="str">
        <f t="shared" ref="D1407:D1470" si="21">IF(ISBLANK(B1407),"OK",IF(A1407-B1407=0,"OK","Error?"))</f>
        <v>Error?</v>
      </c>
    </row>
    <row r="1408" spans="1:4">
      <c r="A1408" s="5">
        <v>1347</v>
      </c>
      <c r="B1408" s="138">
        <f>'Expenditures 15-22'!D223</f>
        <v>66716</v>
      </c>
      <c r="D1408" s="2" t="str">
        <f t="shared" si="21"/>
        <v>Error?</v>
      </c>
    </row>
    <row r="1409" spans="1:4">
      <c r="A1409" s="5">
        <v>1348</v>
      </c>
      <c r="B1409" s="138">
        <f>'Expenditures 15-22'!D224</f>
        <v>1664</v>
      </c>
      <c r="D1409" s="2" t="str">
        <f t="shared" si="21"/>
        <v>Error?</v>
      </c>
    </row>
    <row r="1410" spans="1:4">
      <c r="A1410" s="5">
        <v>1349</v>
      </c>
      <c r="B1410" s="138">
        <f>'Expenditures 15-22'!D229</f>
        <v>946962</v>
      </c>
      <c r="C1410" s="2" t="s">
        <v>572</v>
      </c>
      <c r="D1410" s="2" t="str">
        <f t="shared" si="21"/>
        <v>Error?</v>
      </c>
    </row>
    <row r="1411" spans="1:4">
      <c r="A1411" s="5">
        <v>1350</v>
      </c>
      <c r="B1411" s="138">
        <f>'Expenditures 15-22'!D232</f>
        <v>16186</v>
      </c>
      <c r="D1411" s="2" t="str">
        <f t="shared" si="21"/>
        <v>Error?</v>
      </c>
    </row>
    <row r="1412" spans="1:4">
      <c r="A1412" s="5">
        <v>1351</v>
      </c>
      <c r="B1412" s="138">
        <f>'Expenditures 15-22'!D233</f>
        <v>101244</v>
      </c>
      <c r="D1412" s="2" t="str">
        <f t="shared" si="21"/>
        <v>Error?</v>
      </c>
    </row>
    <row r="1413" spans="1:4">
      <c r="A1413" s="5">
        <v>1352</v>
      </c>
      <c r="B1413" s="138">
        <f>'Expenditures 15-22'!D234</f>
        <v>5280</v>
      </c>
      <c r="D1413" s="2" t="str">
        <f t="shared" si="21"/>
        <v>Error?</v>
      </c>
    </row>
    <row r="1414" spans="1:4">
      <c r="A1414" s="5">
        <v>1353</v>
      </c>
      <c r="B1414" s="138">
        <f>'Expenditures 15-22'!D235</f>
        <v>4356</v>
      </c>
      <c r="D1414" s="2" t="str">
        <f t="shared" si="21"/>
        <v>Error?</v>
      </c>
    </row>
    <row r="1415" spans="1:4">
      <c r="A1415" s="5">
        <v>1354</v>
      </c>
      <c r="B1415" s="138">
        <f>'Expenditures 15-22'!D236</f>
        <v>50</v>
      </c>
      <c r="D1415" s="2" t="str">
        <f t="shared" si="21"/>
        <v>Error?</v>
      </c>
    </row>
    <row r="1416" spans="1:4">
      <c r="A1416" s="5">
        <v>1355</v>
      </c>
      <c r="B1416" s="138">
        <f>'Expenditures 15-22'!D237</f>
        <v>0</v>
      </c>
      <c r="D1416" s="2" t="str">
        <f t="shared" si="21"/>
        <v>Error?</v>
      </c>
    </row>
    <row r="1417" spans="1:4">
      <c r="A1417" s="5">
        <v>1356</v>
      </c>
      <c r="B1417" s="138">
        <f>'Expenditures 15-22'!D238</f>
        <v>127116</v>
      </c>
      <c r="C1417" s="2" t="s">
        <v>572</v>
      </c>
      <c r="D1417" s="2" t="str">
        <f t="shared" si="21"/>
        <v>Error?</v>
      </c>
    </row>
    <row r="1418" spans="1:4">
      <c r="A1418" s="5">
        <v>1357</v>
      </c>
      <c r="B1418" s="138">
        <f>'Expenditures 15-22'!D240</f>
        <v>31687</v>
      </c>
      <c r="D1418" s="2" t="str">
        <f t="shared" si="21"/>
        <v>Error?</v>
      </c>
    </row>
    <row r="1419" spans="1:4">
      <c r="A1419" s="5">
        <v>1358</v>
      </c>
      <c r="B1419" s="138">
        <f>'Expenditures 15-22'!D241</f>
        <v>9232</v>
      </c>
      <c r="D1419" s="2" t="str">
        <f t="shared" si="21"/>
        <v>Error?</v>
      </c>
    </row>
    <row r="1420" spans="1:4">
      <c r="A1420" s="5">
        <v>1359</v>
      </c>
      <c r="B1420" s="138">
        <f>'Expenditures 15-22'!D242</f>
        <v>0</v>
      </c>
      <c r="D1420" s="2" t="str">
        <f t="shared" si="21"/>
        <v>Error?</v>
      </c>
    </row>
    <row r="1421" spans="1:4">
      <c r="A1421" s="5">
        <v>1360</v>
      </c>
      <c r="B1421" s="138">
        <f>'Expenditures 15-22'!D243</f>
        <v>40919</v>
      </c>
      <c r="C1421" s="2" t="s">
        <v>572</v>
      </c>
      <c r="D1421" s="2" t="str">
        <f t="shared" si="21"/>
        <v>Error?</v>
      </c>
    </row>
    <row r="1422" spans="1:4">
      <c r="A1422" s="5">
        <v>1361</v>
      </c>
      <c r="B1422" s="138">
        <f>'Expenditures 15-22'!D245</f>
        <v>0</v>
      </c>
      <c r="D1422" s="2" t="str">
        <f t="shared" si="21"/>
        <v>Error?</v>
      </c>
    </row>
    <row r="1423" spans="1:4">
      <c r="A1423" s="5">
        <v>1362</v>
      </c>
      <c r="B1423" s="138">
        <f>'Expenditures 15-22'!D246</f>
        <v>16123</v>
      </c>
      <c r="D1423" s="2" t="str">
        <f t="shared" si="21"/>
        <v>Error?</v>
      </c>
    </row>
    <row r="1424" spans="1:4">
      <c r="A1424" s="5">
        <v>1363</v>
      </c>
      <c r="B1424" s="138">
        <f>'Expenditures 15-22'!D257</f>
        <v>256382</v>
      </c>
      <c r="C1424" s="2" t="s">
        <v>572</v>
      </c>
      <c r="D1424" s="2" t="str">
        <f t="shared" si="21"/>
        <v>Error?</v>
      </c>
    </row>
    <row r="1425" spans="1:4">
      <c r="A1425" s="5">
        <v>1364</v>
      </c>
      <c r="B1425" s="138">
        <f>'Expenditures 15-22'!D259</f>
        <v>166841</v>
      </c>
      <c r="D1425" s="2" t="str">
        <f t="shared" si="21"/>
        <v>Error?</v>
      </c>
    </row>
    <row r="1426" spans="1:4">
      <c r="A1426" s="5">
        <v>1365</v>
      </c>
      <c r="B1426" s="138">
        <f>'Expenditures 15-22'!D260</f>
        <v>0</v>
      </c>
      <c r="D1426" s="2" t="str">
        <f t="shared" si="21"/>
        <v>Error?</v>
      </c>
    </row>
    <row r="1427" spans="1:4">
      <c r="A1427" s="5">
        <v>1366</v>
      </c>
      <c r="B1427" s="138">
        <f>'Expenditures 15-22'!D261</f>
        <v>166841</v>
      </c>
      <c r="C1427" s="2" t="s">
        <v>572</v>
      </c>
      <c r="D1427" s="2" t="str">
        <f t="shared" si="21"/>
        <v>Error?</v>
      </c>
    </row>
    <row r="1428" spans="1:4">
      <c r="A1428" s="5">
        <v>1367</v>
      </c>
      <c r="B1428" s="138">
        <f>'Expenditures 15-22'!D263</f>
        <v>3297</v>
      </c>
      <c r="D1428" s="2" t="str">
        <f t="shared" si="21"/>
        <v>Error?</v>
      </c>
    </row>
    <row r="1429" spans="1:4">
      <c r="A1429" s="5">
        <v>1368</v>
      </c>
      <c r="B1429" s="138">
        <f>'Expenditures 15-22'!D264</f>
        <v>61814</v>
      </c>
      <c r="D1429" s="2" t="str">
        <f t="shared" si="21"/>
        <v>Error?</v>
      </c>
    </row>
    <row r="1430" spans="1:4">
      <c r="A1430" s="5">
        <v>1369</v>
      </c>
      <c r="B1430" s="138">
        <f>'Expenditures 15-22'!D265</f>
        <v>0</v>
      </c>
      <c r="D1430" s="2" t="str">
        <f t="shared" si="21"/>
        <v>Error?</v>
      </c>
    </row>
    <row r="1431" spans="1:4">
      <c r="A1431" s="5">
        <v>1370</v>
      </c>
      <c r="B1431" s="138">
        <f>'Expenditures 15-22'!D266</f>
        <v>590682</v>
      </c>
      <c r="D1431" s="2" t="str">
        <f t="shared" si="21"/>
        <v>Error?</v>
      </c>
    </row>
    <row r="1432" spans="1:4">
      <c r="A1432" s="5">
        <v>1371</v>
      </c>
      <c r="B1432" s="138">
        <f>'Expenditures 15-22'!D267</f>
        <v>646529</v>
      </c>
      <c r="D1432" s="2" t="str">
        <f t="shared" si="21"/>
        <v>Error?</v>
      </c>
    </row>
    <row r="1433" spans="1:4">
      <c r="A1433" s="5">
        <v>1372</v>
      </c>
      <c r="B1433" s="138">
        <f>'Expenditures 15-22'!D268</f>
        <v>116875</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1419197</v>
      </c>
      <c r="C1436" s="2" t="s">
        <v>572</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41395</v>
      </c>
      <c r="D1439" s="2" t="str">
        <f t="shared" si="21"/>
        <v>Error?</v>
      </c>
    </row>
    <row r="1440" spans="1:4">
      <c r="A1440" s="5">
        <v>1379</v>
      </c>
      <c r="B1440" s="138">
        <f>'Expenditures 15-22'!D275</f>
        <v>13518</v>
      </c>
      <c r="D1440" s="2" t="str">
        <f t="shared" si="21"/>
        <v>Error?</v>
      </c>
    </row>
    <row r="1441" spans="1:4">
      <c r="A1441" s="10">
        <v>1380</v>
      </c>
      <c r="D1441" s="2" t="str">
        <f t="shared" si="21"/>
        <v>OK</v>
      </c>
    </row>
    <row r="1442" spans="1:4">
      <c r="A1442" s="5">
        <v>1381</v>
      </c>
      <c r="B1442" s="138">
        <f>'Expenditures 15-22'!D276</f>
        <v>171863</v>
      </c>
      <c r="D1442" s="2" t="str">
        <f t="shared" si="21"/>
        <v>Error?</v>
      </c>
    </row>
    <row r="1443" spans="1:4">
      <c r="A1443" s="10">
        <v>1382</v>
      </c>
      <c r="D1443" s="2" t="str">
        <f t="shared" si="21"/>
        <v>OK</v>
      </c>
    </row>
    <row r="1444" spans="1:4">
      <c r="A1444" s="5">
        <v>1383</v>
      </c>
      <c r="B1444" s="138">
        <f>'Expenditures 15-22'!D277</f>
        <v>226776</v>
      </c>
      <c r="C1444" s="2" t="s">
        <v>572</v>
      </c>
      <c r="D1444" s="2" t="str">
        <f t="shared" si="21"/>
        <v>Error?</v>
      </c>
    </row>
    <row r="1445" spans="1:4">
      <c r="A1445" s="5">
        <v>1384</v>
      </c>
      <c r="B1445" s="138">
        <f>'Expenditures 15-22'!D278</f>
        <v>6778</v>
      </c>
      <c r="D1445" s="2" t="str">
        <f t="shared" si="21"/>
        <v>Error?</v>
      </c>
    </row>
    <row r="1446" spans="1:4">
      <c r="A1446" s="5">
        <v>1385</v>
      </c>
      <c r="B1446" s="138">
        <f>'Expenditures 15-22'!D279</f>
        <v>2244009</v>
      </c>
      <c r="C1446" s="2" t="s">
        <v>572</v>
      </c>
      <c r="D1446" s="2" t="str">
        <f t="shared" si="21"/>
        <v>Error?</v>
      </c>
    </row>
    <row r="1447" spans="1:4">
      <c r="A1447" s="5">
        <v>1386</v>
      </c>
      <c r="B1447" s="138">
        <f>'Expenditures 15-22'!D280</f>
        <v>6293</v>
      </c>
      <c r="D1447" s="2" t="str">
        <f t="shared" si="21"/>
        <v>Error?</v>
      </c>
    </row>
    <row r="1448" spans="1:4">
      <c r="A1448" s="5">
        <v>1387</v>
      </c>
      <c r="B1448" s="138">
        <f>'Expenditures 15-22'!D295</f>
        <v>3197264</v>
      </c>
      <c r="C1448" s="2" t="s">
        <v>572</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572</v>
      </c>
      <c r="D1452" s="2" t="str">
        <f t="shared" si="21"/>
        <v>Error?</v>
      </c>
    </row>
    <row r="1453" spans="1:4">
      <c r="A1453" s="10">
        <v>1392</v>
      </c>
      <c r="D1453" s="2" t="str">
        <f t="shared" si="21"/>
        <v>OK</v>
      </c>
    </row>
    <row r="1454" spans="1:4">
      <c r="A1454" s="5">
        <v>1393</v>
      </c>
      <c r="B1454" s="138">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0</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31</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572</v>
      </c>
      <c r="D1470" s="2" t="str">
        <f t="shared" si="21"/>
        <v>Error?</v>
      </c>
    </row>
    <row r="1471" spans="1:4">
      <c r="A1471" s="5">
        <v>1410</v>
      </c>
      <c r="B1471" s="138">
        <f>'Expenditures 15-22'!K222</f>
        <v>58024</v>
      </c>
      <c r="C1471" s="2" t="s">
        <v>572</v>
      </c>
      <c r="D1471" s="2" t="str">
        <f t="shared" ref="D1471:D1534" si="22">IF(ISBLANK(B1471),"OK",IF(A1471-B1471=0,"OK","Error?"))</f>
        <v>Error?</v>
      </c>
    </row>
    <row r="1472" spans="1:4">
      <c r="A1472" s="5">
        <v>1411</v>
      </c>
      <c r="B1472" s="138">
        <f>'Expenditures 15-22'!K223</f>
        <v>66716</v>
      </c>
      <c r="C1472" s="2" t="s">
        <v>572</v>
      </c>
      <c r="D1472" s="2" t="str">
        <f t="shared" si="22"/>
        <v>Error?</v>
      </c>
    </row>
    <row r="1473" spans="1:4">
      <c r="A1473" s="5">
        <v>1412</v>
      </c>
      <c r="B1473" s="138">
        <f>'Expenditures 15-22'!K224</f>
        <v>1664</v>
      </c>
      <c r="C1473" s="2" t="s">
        <v>572</v>
      </c>
      <c r="D1473" s="2" t="str">
        <f t="shared" si="22"/>
        <v>Error?</v>
      </c>
    </row>
    <row r="1474" spans="1:4">
      <c r="A1474" s="5">
        <v>1413</v>
      </c>
      <c r="B1474" s="138">
        <f>'Expenditures 15-22'!K229</f>
        <v>946962</v>
      </c>
      <c r="C1474" s="2" t="s">
        <v>572</v>
      </c>
      <c r="D1474" s="2" t="str">
        <f t="shared" si="22"/>
        <v>Error?</v>
      </c>
    </row>
    <row r="1475" spans="1:4">
      <c r="A1475" s="5">
        <v>1414</v>
      </c>
      <c r="B1475" s="138">
        <f>'Expenditures 15-22'!K232</f>
        <v>16186</v>
      </c>
      <c r="C1475" s="2" t="s">
        <v>572</v>
      </c>
      <c r="D1475" s="2" t="str">
        <f t="shared" si="22"/>
        <v>Error?</v>
      </c>
    </row>
    <row r="1476" spans="1:4">
      <c r="A1476" s="5">
        <v>1415</v>
      </c>
      <c r="B1476" s="138">
        <f>'Expenditures 15-22'!K233</f>
        <v>101244</v>
      </c>
      <c r="C1476" s="2" t="s">
        <v>572</v>
      </c>
      <c r="D1476" s="2" t="str">
        <f t="shared" si="22"/>
        <v>Error?</v>
      </c>
    </row>
    <row r="1477" spans="1:4">
      <c r="A1477" s="5">
        <v>1416</v>
      </c>
      <c r="B1477" s="138">
        <f>'Expenditures 15-22'!K234</f>
        <v>5280</v>
      </c>
      <c r="C1477" s="2" t="s">
        <v>572</v>
      </c>
      <c r="D1477" s="2" t="str">
        <f t="shared" si="22"/>
        <v>Error?</v>
      </c>
    </row>
    <row r="1478" spans="1:4">
      <c r="A1478" s="5">
        <v>1417</v>
      </c>
      <c r="B1478" s="138">
        <f>'Expenditures 15-22'!K235</f>
        <v>4356</v>
      </c>
      <c r="C1478" s="2" t="s">
        <v>572</v>
      </c>
      <c r="D1478" s="2" t="str">
        <f t="shared" si="22"/>
        <v>Error?</v>
      </c>
    </row>
    <row r="1479" spans="1:4">
      <c r="A1479" s="5">
        <v>1418</v>
      </c>
      <c r="B1479" s="138">
        <f>'Expenditures 15-22'!K236</f>
        <v>50</v>
      </c>
      <c r="C1479" s="2" t="s">
        <v>572</v>
      </c>
      <c r="D1479" s="2" t="str">
        <f t="shared" si="22"/>
        <v>Error?</v>
      </c>
    </row>
    <row r="1480" spans="1:4">
      <c r="A1480" s="5">
        <v>1419</v>
      </c>
      <c r="B1480" s="138">
        <f>'Expenditures 15-22'!K237</f>
        <v>0</v>
      </c>
      <c r="C1480" s="2" t="s">
        <v>572</v>
      </c>
      <c r="D1480" s="2" t="str">
        <f t="shared" si="22"/>
        <v>Error?</v>
      </c>
    </row>
    <row r="1481" spans="1:4">
      <c r="A1481" s="5">
        <v>1420</v>
      </c>
      <c r="B1481" s="138">
        <f>'Expenditures 15-22'!K238</f>
        <v>127116</v>
      </c>
      <c r="C1481" s="2" t="s">
        <v>572</v>
      </c>
      <c r="D1481" s="2" t="str">
        <f t="shared" si="22"/>
        <v>Error?</v>
      </c>
    </row>
    <row r="1482" spans="1:4">
      <c r="A1482" s="5">
        <v>1421</v>
      </c>
      <c r="B1482" s="138">
        <f>'Expenditures 15-22'!K240</f>
        <v>31687</v>
      </c>
      <c r="C1482" s="2" t="s">
        <v>572</v>
      </c>
      <c r="D1482" s="2" t="str">
        <f t="shared" si="22"/>
        <v>Error?</v>
      </c>
    </row>
    <row r="1483" spans="1:4">
      <c r="A1483" s="5">
        <v>1422</v>
      </c>
      <c r="B1483" s="138">
        <f>'Expenditures 15-22'!K241</f>
        <v>9232</v>
      </c>
      <c r="C1483" s="2" t="s">
        <v>572</v>
      </c>
      <c r="D1483" s="2" t="str">
        <f t="shared" si="22"/>
        <v>Error?</v>
      </c>
    </row>
    <row r="1484" spans="1:4">
      <c r="A1484" s="5">
        <v>1423</v>
      </c>
      <c r="B1484" s="138">
        <f>'Expenditures 15-22'!K242</f>
        <v>0</v>
      </c>
      <c r="C1484" s="2" t="s">
        <v>572</v>
      </c>
      <c r="D1484" s="2" t="str">
        <f t="shared" si="22"/>
        <v>Error?</v>
      </c>
    </row>
    <row r="1485" spans="1:4">
      <c r="A1485" s="5">
        <v>1424</v>
      </c>
      <c r="B1485" s="138">
        <f>'Expenditures 15-22'!K243</f>
        <v>40919</v>
      </c>
      <c r="C1485" s="2" t="s">
        <v>572</v>
      </c>
      <c r="D1485" s="2" t="str">
        <f t="shared" si="22"/>
        <v>Error?</v>
      </c>
    </row>
    <row r="1486" spans="1:4">
      <c r="A1486" s="5">
        <v>1425</v>
      </c>
      <c r="B1486" s="138">
        <f>'Expenditures 15-22'!K245</f>
        <v>0</v>
      </c>
      <c r="C1486" s="2" t="s">
        <v>572</v>
      </c>
      <c r="D1486" s="2" t="str">
        <f t="shared" si="22"/>
        <v>Error?</v>
      </c>
    </row>
    <row r="1487" spans="1:4">
      <c r="A1487" s="5">
        <v>1426</v>
      </c>
      <c r="B1487" s="138">
        <f>'Expenditures 15-22'!K246</f>
        <v>16123</v>
      </c>
      <c r="C1487" s="2" t="s">
        <v>572</v>
      </c>
      <c r="D1487" s="2" t="str">
        <f t="shared" si="22"/>
        <v>Error?</v>
      </c>
    </row>
    <row r="1488" spans="1:4">
      <c r="A1488" s="5">
        <v>1427</v>
      </c>
      <c r="B1488" s="138">
        <f>'Expenditures 15-22'!K257</f>
        <v>256382</v>
      </c>
      <c r="C1488" s="2" t="s">
        <v>572</v>
      </c>
      <c r="D1488" s="2" t="str">
        <f t="shared" si="22"/>
        <v>Error?</v>
      </c>
    </row>
    <row r="1489" spans="1:4">
      <c r="A1489" s="5">
        <v>1428</v>
      </c>
      <c r="B1489" s="138">
        <f>'Expenditures 15-22'!K259</f>
        <v>166841</v>
      </c>
      <c r="C1489" s="2" t="s">
        <v>572</v>
      </c>
      <c r="D1489" s="2" t="str">
        <f t="shared" si="22"/>
        <v>Error?</v>
      </c>
    </row>
    <row r="1490" spans="1:4">
      <c r="A1490" s="5">
        <v>1429</v>
      </c>
      <c r="B1490" s="138">
        <f>'Expenditures 15-22'!K260</f>
        <v>0</v>
      </c>
      <c r="C1490" s="2" t="s">
        <v>572</v>
      </c>
      <c r="D1490" s="2" t="str">
        <f t="shared" si="22"/>
        <v>Error?</v>
      </c>
    </row>
    <row r="1491" spans="1:4">
      <c r="A1491" s="5">
        <v>1430</v>
      </c>
      <c r="B1491" s="138">
        <f>'Expenditures 15-22'!K261</f>
        <v>166841</v>
      </c>
      <c r="C1491" s="2" t="s">
        <v>572</v>
      </c>
      <c r="D1491" s="2" t="str">
        <f t="shared" si="22"/>
        <v>Error?</v>
      </c>
    </row>
    <row r="1492" spans="1:4">
      <c r="A1492" s="5">
        <v>1431</v>
      </c>
      <c r="B1492" s="138">
        <f>'Expenditures 15-22'!K263</f>
        <v>3297</v>
      </c>
      <c r="C1492" s="2" t="s">
        <v>572</v>
      </c>
      <c r="D1492" s="2" t="str">
        <f t="shared" si="22"/>
        <v>Error?</v>
      </c>
    </row>
    <row r="1493" spans="1:4">
      <c r="A1493" s="5">
        <v>1432</v>
      </c>
      <c r="B1493" s="138">
        <f>'Expenditures 15-22'!K264</f>
        <v>61814</v>
      </c>
      <c r="C1493" s="2" t="s">
        <v>572</v>
      </c>
      <c r="D1493" s="2" t="str">
        <f t="shared" si="22"/>
        <v>Error?</v>
      </c>
    </row>
    <row r="1494" spans="1:4">
      <c r="A1494" s="5">
        <v>1433</v>
      </c>
      <c r="B1494" s="138">
        <f>'Expenditures 15-22'!K265</f>
        <v>0</v>
      </c>
      <c r="C1494" s="2" t="s">
        <v>572</v>
      </c>
      <c r="D1494" s="2" t="str">
        <f t="shared" si="22"/>
        <v>Error?</v>
      </c>
    </row>
    <row r="1495" spans="1:4">
      <c r="A1495" s="5">
        <v>1434</v>
      </c>
      <c r="B1495" s="138">
        <f>'Expenditures 15-22'!K266</f>
        <v>590682</v>
      </c>
      <c r="C1495" s="2" t="s">
        <v>572</v>
      </c>
      <c r="D1495" s="2" t="str">
        <f t="shared" si="22"/>
        <v>Error?</v>
      </c>
    </row>
    <row r="1496" spans="1:4">
      <c r="A1496" s="5">
        <v>1435</v>
      </c>
      <c r="B1496" s="138">
        <f>'Expenditures 15-22'!K267</f>
        <v>646529</v>
      </c>
      <c r="C1496" s="2" t="s">
        <v>572</v>
      </c>
      <c r="D1496" s="2" t="str">
        <f t="shared" si="22"/>
        <v>Error?</v>
      </c>
    </row>
    <row r="1497" spans="1:4">
      <c r="A1497" s="5">
        <v>1436</v>
      </c>
      <c r="B1497" s="138">
        <f>'Expenditures 15-22'!K268</f>
        <v>116875</v>
      </c>
      <c r="C1497" s="2" t="s">
        <v>572</v>
      </c>
      <c r="D1497" s="2" t="str">
        <f t="shared" si="22"/>
        <v>Error?</v>
      </c>
    </row>
    <row r="1498" spans="1:4">
      <c r="A1498" s="5">
        <v>1437</v>
      </c>
      <c r="B1498" s="138">
        <f>'Expenditures 15-22'!K269</f>
        <v>0</v>
      </c>
      <c r="C1498" s="2" t="s">
        <v>572</v>
      </c>
      <c r="D1498" s="2" t="str">
        <f t="shared" si="22"/>
        <v>Error?</v>
      </c>
    </row>
    <row r="1499" spans="1:4">
      <c r="A1499" s="10">
        <v>1438</v>
      </c>
      <c r="D1499" s="2" t="str">
        <f t="shared" si="22"/>
        <v>OK</v>
      </c>
    </row>
    <row r="1500" spans="1:4">
      <c r="A1500" s="5">
        <v>1439</v>
      </c>
      <c r="B1500" s="138">
        <f>'Expenditures 15-22'!K270</f>
        <v>1419197</v>
      </c>
      <c r="C1500" s="2" t="s">
        <v>572</v>
      </c>
      <c r="D1500" s="2" t="str">
        <f t="shared" si="22"/>
        <v>Error?</v>
      </c>
    </row>
    <row r="1501" spans="1:4">
      <c r="A1501" s="5">
        <v>1440</v>
      </c>
      <c r="B1501" s="138">
        <f>'Expenditures 15-22'!K272</f>
        <v>0</v>
      </c>
      <c r="C1501" s="2" t="s">
        <v>572</v>
      </c>
      <c r="D1501" s="2" t="str">
        <f t="shared" si="22"/>
        <v>Error?</v>
      </c>
    </row>
    <row r="1502" spans="1:4">
      <c r="A1502" s="5">
        <v>1441</v>
      </c>
      <c r="B1502" s="138">
        <f>'Expenditures 15-22'!K273</f>
        <v>0</v>
      </c>
      <c r="C1502" s="2" t="s">
        <v>572</v>
      </c>
      <c r="D1502" s="2" t="str">
        <f t="shared" si="22"/>
        <v>Error?</v>
      </c>
    </row>
    <row r="1503" spans="1:4">
      <c r="A1503" s="5">
        <v>1442</v>
      </c>
      <c r="B1503" s="138">
        <f>'Expenditures 15-22'!K274</f>
        <v>41395</v>
      </c>
      <c r="C1503" s="2" t="s">
        <v>572</v>
      </c>
      <c r="D1503" s="2" t="str">
        <f t="shared" si="22"/>
        <v>Error?</v>
      </c>
    </row>
    <row r="1504" spans="1:4">
      <c r="A1504" s="5">
        <v>1443</v>
      </c>
      <c r="B1504" s="138">
        <f>'Expenditures 15-22'!K275</f>
        <v>13518</v>
      </c>
      <c r="C1504" s="2" t="s">
        <v>572</v>
      </c>
      <c r="D1504" s="2" t="str">
        <f t="shared" si="22"/>
        <v>Error?</v>
      </c>
    </row>
    <row r="1505" spans="1:4">
      <c r="A1505" s="10">
        <v>1444</v>
      </c>
      <c r="D1505" s="2" t="str">
        <f t="shared" si="22"/>
        <v>OK</v>
      </c>
    </row>
    <row r="1506" spans="1:4">
      <c r="A1506" s="5">
        <v>1445</v>
      </c>
      <c r="B1506" s="138">
        <f>'Expenditures 15-22'!K276</f>
        <v>171863</v>
      </c>
      <c r="C1506" s="2" t="s">
        <v>572</v>
      </c>
      <c r="D1506" s="2" t="str">
        <f t="shared" si="22"/>
        <v>Error?</v>
      </c>
    </row>
    <row r="1507" spans="1:4">
      <c r="A1507" s="10">
        <v>1446</v>
      </c>
      <c r="D1507" s="2" t="str">
        <f t="shared" si="22"/>
        <v>OK</v>
      </c>
    </row>
    <row r="1508" spans="1:4">
      <c r="A1508" s="5">
        <v>1447</v>
      </c>
      <c r="B1508" s="138">
        <f>'Expenditures 15-22'!K277</f>
        <v>226776</v>
      </c>
      <c r="C1508" s="2" t="s">
        <v>572</v>
      </c>
      <c r="D1508" s="2" t="str">
        <f t="shared" si="22"/>
        <v>Error?</v>
      </c>
    </row>
    <row r="1509" spans="1:4">
      <c r="A1509" s="5">
        <v>1448</v>
      </c>
      <c r="B1509" s="138">
        <f>'Expenditures 15-22'!K278</f>
        <v>6778</v>
      </c>
      <c r="C1509" s="2" t="s">
        <v>572</v>
      </c>
      <c r="D1509" s="2" t="str">
        <f t="shared" si="22"/>
        <v>Error?</v>
      </c>
    </row>
    <row r="1510" spans="1:4">
      <c r="A1510" s="5">
        <v>1449</v>
      </c>
      <c r="B1510" s="138">
        <f>'Expenditures 15-22'!K279</f>
        <v>2244009</v>
      </c>
      <c r="C1510" s="2" t="s">
        <v>572</v>
      </c>
      <c r="D1510" s="2" t="str">
        <f t="shared" si="22"/>
        <v>Error?</v>
      </c>
    </row>
    <row r="1511" spans="1:4">
      <c r="A1511" s="5">
        <v>1450</v>
      </c>
      <c r="B1511" s="138">
        <f>'Expenditures 15-22'!K280</f>
        <v>6293</v>
      </c>
      <c r="C1511" s="2" t="s">
        <v>572</v>
      </c>
      <c r="D1511" s="2" t="str">
        <f t="shared" si="22"/>
        <v>Error?</v>
      </c>
    </row>
    <row r="1512" spans="1:4">
      <c r="A1512" s="5">
        <v>1451</v>
      </c>
      <c r="B1512" s="138">
        <f>'Expenditures 15-22'!K288</f>
        <v>0</v>
      </c>
      <c r="C1512" s="2" t="s">
        <v>572</v>
      </c>
      <c r="D1512" s="2" t="str">
        <f t="shared" si="22"/>
        <v>Error?</v>
      </c>
    </row>
    <row r="1513" spans="1:4">
      <c r="A1513" s="5">
        <v>1452</v>
      </c>
      <c r="B1513" s="138">
        <f>'Expenditures 15-22'!K289</f>
        <v>0</v>
      </c>
      <c r="C1513" s="2" t="s">
        <v>572</v>
      </c>
      <c r="D1513" s="2" t="str">
        <f t="shared" si="22"/>
        <v>Error?</v>
      </c>
    </row>
    <row r="1514" spans="1:4">
      <c r="A1514" s="5">
        <v>1453</v>
      </c>
      <c r="B1514" s="138">
        <f>'Expenditures 15-22'!K292</f>
        <v>0</v>
      </c>
      <c r="C1514" s="2" t="s">
        <v>572</v>
      </c>
      <c r="D1514" s="2" t="str">
        <f t="shared" si="22"/>
        <v>Error?</v>
      </c>
    </row>
    <row r="1515" spans="1:4">
      <c r="A1515" s="5">
        <v>1454</v>
      </c>
      <c r="B1515" s="138">
        <f>'Expenditures 15-22'!K293</f>
        <v>0</v>
      </c>
      <c r="C1515" s="2" t="s">
        <v>572</v>
      </c>
      <c r="D1515" s="2" t="str">
        <f t="shared" si="22"/>
        <v>Error?</v>
      </c>
    </row>
    <row r="1516" spans="1:4">
      <c r="A1516" s="10">
        <v>1455</v>
      </c>
      <c r="D1516" s="2" t="str">
        <f t="shared" si="22"/>
        <v>OK</v>
      </c>
    </row>
    <row r="1517" spans="1:4">
      <c r="A1517" s="5">
        <v>1456</v>
      </c>
      <c r="B1517" s="138">
        <f>'Expenditures 15-22'!K295</f>
        <v>3197264</v>
      </c>
      <c r="C1517" s="2" t="s">
        <v>572</v>
      </c>
      <c r="D1517" s="2" t="str">
        <f t="shared" si="22"/>
        <v>Error?</v>
      </c>
    </row>
    <row r="1518" spans="1:4">
      <c r="A1518" s="5">
        <v>1457</v>
      </c>
      <c r="B1518" s="138">
        <f>'Expenditures 15-22'!K296</f>
        <v>604790</v>
      </c>
      <c r="C1518" s="2" t="s">
        <v>572</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572</v>
      </c>
      <c r="D1523" s="2" t="str">
        <f t="shared" si="22"/>
        <v>Error?</v>
      </c>
    </row>
    <row r="1524" spans="1:4">
      <c r="A1524" s="5">
        <v>1463</v>
      </c>
      <c r="B1524" s="138">
        <f>'Expenditures 15-22'!C312</f>
        <v>0</v>
      </c>
      <c r="C1524" s="2" t="s">
        <v>572</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572</v>
      </c>
      <c r="D1529" s="2" t="str">
        <f t="shared" si="22"/>
        <v>Error?</v>
      </c>
    </row>
    <row r="1530" spans="1:4">
      <c r="A1530" s="5">
        <v>1469</v>
      </c>
      <c r="B1530" s="138">
        <f>'Expenditures 15-22'!D312</f>
        <v>0</v>
      </c>
      <c r="C1530" s="2" t="s">
        <v>572</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572</v>
      </c>
      <c r="D1535" s="2" t="str">
        <f t="shared" ref="D1535:D1598" si="23">IF(ISBLANK(B1535),"OK",IF(A1535-B1535=0,"OK","Error?"))</f>
        <v>Error?</v>
      </c>
    </row>
    <row r="1536" spans="1:4">
      <c r="A1536" s="5">
        <v>1475</v>
      </c>
      <c r="B1536" s="138">
        <f>'Expenditures 15-22'!E312</f>
        <v>0</v>
      </c>
      <c r="C1536" s="2" t="s">
        <v>572</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572</v>
      </c>
      <c r="D1541" s="2" t="str">
        <f t="shared" si="23"/>
        <v>Error?</v>
      </c>
    </row>
    <row r="1542" spans="1:4">
      <c r="A1542" s="5">
        <v>1481</v>
      </c>
      <c r="B1542" s="138">
        <f>'Expenditures 15-22'!F312</f>
        <v>0</v>
      </c>
      <c r="C1542" s="2" t="s">
        <v>572</v>
      </c>
      <c r="D1542" s="2" t="str">
        <f t="shared" si="23"/>
        <v>Error?</v>
      </c>
    </row>
    <row r="1543" spans="1:4">
      <c r="A1543" s="5">
        <v>1482</v>
      </c>
      <c r="B1543" s="138">
        <f>'Expenditures 15-22'!G301</f>
        <v>2023777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2023777</v>
      </c>
      <c r="C1547" s="2" t="s">
        <v>572</v>
      </c>
      <c r="D1547" s="2" t="str">
        <f t="shared" si="23"/>
        <v>Error?</v>
      </c>
    </row>
    <row r="1548" spans="1:4">
      <c r="A1548" s="5">
        <v>1487</v>
      </c>
      <c r="B1548" s="138">
        <f>'Expenditures 15-22'!G312</f>
        <v>2023777</v>
      </c>
      <c r="C1548" s="2" t="s">
        <v>572</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572</v>
      </c>
      <c r="D1553" s="2" t="str">
        <f t="shared" si="23"/>
        <v>Error?</v>
      </c>
    </row>
    <row r="1554" spans="1:4">
      <c r="A1554" s="5">
        <v>1493</v>
      </c>
      <c r="B1554" s="138">
        <f>'Expenditures 15-22'!H312</f>
        <v>0</v>
      </c>
      <c r="C1554" s="2" t="s">
        <v>572</v>
      </c>
      <c r="D1554" s="2" t="str">
        <f t="shared" si="23"/>
        <v>Error?</v>
      </c>
    </row>
    <row r="1555" spans="1:4">
      <c r="A1555" s="5">
        <v>1494</v>
      </c>
      <c r="B1555" s="138">
        <f>'Expenditures 15-22'!K301</f>
        <v>2023777</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572</v>
      </c>
      <c r="D1558" s="2" t="str">
        <f t="shared" si="23"/>
        <v>Error?</v>
      </c>
    </row>
    <row r="1559" spans="1:4">
      <c r="A1559" s="5">
        <v>1498</v>
      </c>
      <c r="B1559" s="138">
        <f>'Expenditures 15-22'!K303</f>
        <v>2023777</v>
      </c>
      <c r="C1559" s="2" t="s">
        <v>572</v>
      </c>
      <c r="D1559" s="2" t="str">
        <f t="shared" si="23"/>
        <v>Error?</v>
      </c>
    </row>
    <row r="1560" spans="1:4">
      <c r="A1560" s="5">
        <v>1499</v>
      </c>
      <c r="B1560" s="138">
        <f>'Expenditures 15-22'!K312</f>
        <v>2023777</v>
      </c>
      <c r="C1560" s="2" t="s">
        <v>572</v>
      </c>
      <c r="D1560" s="2" t="str">
        <f t="shared" si="23"/>
        <v>Error?</v>
      </c>
    </row>
    <row r="1561" spans="1:4">
      <c r="A1561" s="5">
        <v>1500</v>
      </c>
      <c r="B1561" s="138">
        <f>'Expenditures 15-22'!K313</f>
        <v>-1826624</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30926855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42896479</v>
      </c>
      <c r="C1630" s="2" t="s">
        <v>572</v>
      </c>
      <c r="D1630" s="2" t="str">
        <f t="shared" si="24"/>
        <v>Error?</v>
      </c>
    </row>
    <row r="1631" spans="1:4">
      <c r="A1631" s="5">
        <v>1570</v>
      </c>
      <c r="B1631" s="138">
        <f>'Acct Summary 7-8'!D79</f>
        <v>3416970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4688325</v>
      </c>
      <c r="C1644" s="2" t="s">
        <v>572</v>
      </c>
      <c r="D1644" s="2" t="str">
        <f t="shared" si="24"/>
        <v>Error?</v>
      </c>
    </row>
    <row r="1645" spans="1:4">
      <c r="A1645" s="5">
        <v>1584</v>
      </c>
      <c r="B1645" s="138">
        <f>'Acct Summary 7-8'!E79</f>
        <v>3184123</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3195808</v>
      </c>
      <c r="C1658" s="2" t="s">
        <v>572</v>
      </c>
      <c r="D1658" s="2" t="str">
        <f t="shared" si="24"/>
        <v>Error?</v>
      </c>
    </row>
    <row r="1659" spans="1:4">
      <c r="A1659" s="5">
        <v>1598</v>
      </c>
      <c r="B1659" s="138">
        <f>'Acct Summary 7-8'!F79</f>
        <v>9486557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10258409</v>
      </c>
      <c r="C1672" s="2" t="s">
        <v>572</v>
      </c>
      <c r="D1672" s="2" t="str">
        <f t="shared" si="25"/>
        <v>Error?</v>
      </c>
    </row>
    <row r="1673" spans="1:4">
      <c r="A1673" s="5">
        <v>1612</v>
      </c>
      <c r="B1673" s="138">
        <f>'Acct Summary 7-8'!G79</f>
        <v>4011235</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4616025</v>
      </c>
      <c r="C1686" s="2" t="s">
        <v>572</v>
      </c>
      <c r="D1686" s="2" t="str">
        <f t="shared" si="25"/>
        <v>Error?</v>
      </c>
    </row>
    <row r="1687" spans="1:4">
      <c r="A1687" s="5">
        <v>1626</v>
      </c>
      <c r="B1687" s="138">
        <f>'Acct Summary 7-8'!H79</f>
        <v>3594566</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1767942</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47639449</v>
      </c>
      <c r="C1744" s="2" t="s">
        <v>572</v>
      </c>
      <c r="D1744" s="2" t="str">
        <f t="shared" si="26"/>
        <v>Error?</v>
      </c>
    </row>
    <row r="1745" spans="1:5">
      <c r="A1745" s="5">
        <v>1684</v>
      </c>
      <c r="B1745" s="138">
        <f>'Tax Sched 23'!B5</f>
        <v>9031059</v>
      </c>
      <c r="C1745" s="2" t="s">
        <v>572</v>
      </c>
      <c r="D1745" s="2" t="str">
        <f t="shared" si="26"/>
        <v>Error?</v>
      </c>
    </row>
    <row r="1746" spans="1:5">
      <c r="A1746" s="5">
        <v>1685</v>
      </c>
      <c r="B1746" s="138">
        <f>'Tax Sched 23'!B6</f>
        <v>7494504</v>
      </c>
      <c r="C1746" s="2" t="s">
        <v>572</v>
      </c>
      <c r="D1746" s="2" t="str">
        <f t="shared" si="26"/>
        <v>Error?</v>
      </c>
    </row>
    <row r="1747" spans="1:5">
      <c r="A1747" s="5">
        <v>1686</v>
      </c>
      <c r="B1747" s="138">
        <f>'Tax Sched 23'!B7</f>
        <v>3536373</v>
      </c>
      <c r="C1747" s="2" t="s">
        <v>572</v>
      </c>
      <c r="D1747" s="2" t="str">
        <f t="shared" si="26"/>
        <v>Error?</v>
      </c>
    </row>
    <row r="1748" spans="1:5">
      <c r="A1748" s="5">
        <v>1687</v>
      </c>
      <c r="B1748" s="138">
        <f>'Tax Sched 23'!B8</f>
        <v>1641681</v>
      </c>
      <c r="C1748" s="2" t="s">
        <v>572</v>
      </c>
      <c r="D1748" s="2" t="str">
        <f t="shared" si="26"/>
        <v>Error?</v>
      </c>
    </row>
    <row r="1749" spans="1:5">
      <c r="A1749" s="5">
        <v>1688</v>
      </c>
      <c r="B1749" s="138">
        <f>'Tax Sched 23'!B10</f>
        <v>988228</v>
      </c>
      <c r="C1749" s="2" t="s">
        <v>572</v>
      </c>
      <c r="D1749" s="2" t="str">
        <f t="shared" si="26"/>
        <v>Error?</v>
      </c>
    </row>
    <row r="1750" spans="1:5">
      <c r="A1750" s="10">
        <v>1689</v>
      </c>
      <c r="D1750" s="2" t="str">
        <f t="shared" si="26"/>
        <v>OK</v>
      </c>
      <c r="E1750" s="2" t="s">
        <v>187</v>
      </c>
    </row>
    <row r="1751" spans="1:5">
      <c r="A1751" s="5">
        <v>1690</v>
      </c>
      <c r="B1751" s="138">
        <f>'Tax Sched 23'!B9</f>
        <v>0</v>
      </c>
      <c r="C1751" s="2" t="s">
        <v>572</v>
      </c>
      <c r="D1751" s="2" t="str">
        <f t="shared" si="26"/>
        <v>Error?</v>
      </c>
    </row>
    <row r="1752" spans="1:5">
      <c r="A1752" s="5">
        <v>1691</v>
      </c>
      <c r="B1752" s="138">
        <f>'Tax Sched 23'!B11</f>
        <v>4361898</v>
      </c>
      <c r="C1752" s="2" t="s">
        <v>572</v>
      </c>
      <c r="D1752" s="2" t="str">
        <f t="shared" si="26"/>
        <v>Error?</v>
      </c>
    </row>
    <row r="1753" spans="1:5">
      <c r="A1753" s="5">
        <v>1692</v>
      </c>
      <c r="B1753" s="138">
        <f>'Tax Sched 23'!B12</f>
        <v>0</v>
      </c>
      <c r="C1753" s="2" t="s">
        <v>572</v>
      </c>
      <c r="D1753" s="2" t="str">
        <f t="shared" si="26"/>
        <v>Error?</v>
      </c>
    </row>
    <row r="1754" spans="1:5">
      <c r="A1754" s="5">
        <v>1693</v>
      </c>
      <c r="B1754" s="138">
        <f>'Tax Sched 23'!B14</f>
        <v>100757</v>
      </c>
      <c r="C1754" s="2" t="s">
        <v>572</v>
      </c>
      <c r="D1754" s="2" t="str">
        <f t="shared" si="26"/>
        <v>Error?</v>
      </c>
    </row>
    <row r="1755" spans="1:5">
      <c r="A1755" s="10">
        <v>1694</v>
      </c>
      <c r="D1755" s="2" t="str">
        <f t="shared" si="26"/>
        <v>OK</v>
      </c>
    </row>
    <row r="1756" spans="1:5">
      <c r="A1756" s="5">
        <v>1695</v>
      </c>
      <c r="B1756" s="138">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8">
        <f>'Tax Sched 23'!B19</f>
        <v>76714781</v>
      </c>
      <c r="C1759" s="2" t="s">
        <v>572</v>
      </c>
      <c r="D1759" s="2" t="str">
        <f t="shared" si="26"/>
        <v>Error?</v>
      </c>
    </row>
    <row r="1760" spans="1:5">
      <c r="A1760" s="5">
        <v>1699</v>
      </c>
      <c r="B1760" s="138">
        <f>'Tax Sched 23'!D4</f>
        <v>22932764</v>
      </c>
      <c r="C1760" s="2" t="s">
        <v>572</v>
      </c>
      <c r="D1760" s="2" t="str">
        <f t="shared" si="26"/>
        <v>Error?</v>
      </c>
    </row>
    <row r="1761" spans="1:5">
      <c r="A1761" s="5">
        <v>1700</v>
      </c>
      <c r="B1761" s="138">
        <f>'Tax Sched 23'!D5</f>
        <v>4373553</v>
      </c>
      <c r="C1761" s="2" t="s">
        <v>572</v>
      </c>
      <c r="D1761" s="2" t="str">
        <f t="shared" si="26"/>
        <v>Error?</v>
      </c>
    </row>
    <row r="1762" spans="1:5" s="8" customFormat="1">
      <c r="A1762" s="5">
        <v>1701</v>
      </c>
      <c r="B1762" s="138">
        <f>'Tax Sched 23'!D6</f>
        <v>3669021</v>
      </c>
      <c r="C1762" s="2" t="s">
        <v>572</v>
      </c>
      <c r="D1762" s="2" t="str">
        <f t="shared" si="26"/>
        <v>Error?</v>
      </c>
      <c r="E1762" s="9"/>
    </row>
    <row r="1763" spans="1:5">
      <c r="A1763" s="5">
        <v>1702</v>
      </c>
      <c r="B1763" s="138">
        <f>'Tax Sched 23'!D7</f>
        <v>1625913</v>
      </c>
      <c r="C1763" s="2" t="s">
        <v>572</v>
      </c>
      <c r="D1763" s="2" t="str">
        <f t="shared" si="26"/>
        <v>Error?</v>
      </c>
    </row>
    <row r="1764" spans="1:5">
      <c r="A1764" s="5">
        <v>1703</v>
      </c>
      <c r="B1764" s="138">
        <f>'Tax Sched 23'!D8</f>
        <v>893316</v>
      </c>
      <c r="C1764" s="2" t="s">
        <v>572</v>
      </c>
      <c r="D1764" s="2" t="str">
        <f t="shared" si="26"/>
        <v>Error?</v>
      </c>
    </row>
    <row r="1765" spans="1:5">
      <c r="A1765" s="5">
        <v>1704</v>
      </c>
      <c r="B1765" s="138">
        <f>'Tax Sched 23'!D10</f>
        <v>489318</v>
      </c>
      <c r="C1765" s="2" t="s">
        <v>572</v>
      </c>
      <c r="D1765" s="2" t="str">
        <f t="shared" si="26"/>
        <v>Error?</v>
      </c>
    </row>
    <row r="1766" spans="1:5">
      <c r="A1766" s="10">
        <v>1705</v>
      </c>
      <c r="C1766" s="2" t="s">
        <v>572</v>
      </c>
      <c r="D1766" s="2" t="str">
        <f t="shared" si="26"/>
        <v>OK</v>
      </c>
    </row>
    <row r="1767" spans="1:5">
      <c r="A1767" s="5">
        <v>1706</v>
      </c>
      <c r="B1767" s="138">
        <f>'Tax Sched 23'!D9</f>
        <v>0</v>
      </c>
      <c r="C1767" s="2" t="s">
        <v>572</v>
      </c>
      <c r="D1767" s="2" t="str">
        <f t="shared" si="26"/>
        <v>Error?</v>
      </c>
    </row>
    <row r="1768" spans="1:5">
      <c r="A1768" s="5">
        <v>1707</v>
      </c>
      <c r="B1768" s="138">
        <f>'Tax Sched 23'!D11</f>
        <v>2084861</v>
      </c>
      <c r="C1768" s="2" t="s">
        <v>572</v>
      </c>
      <c r="D1768" s="2" t="str">
        <f t="shared" si="26"/>
        <v>Error?</v>
      </c>
    </row>
    <row r="1769" spans="1:5">
      <c r="A1769" s="5">
        <v>1708</v>
      </c>
      <c r="B1769" s="138">
        <f>'Tax Sched 23'!D12</f>
        <v>0</v>
      </c>
      <c r="C1769" s="2" t="s">
        <v>572</v>
      </c>
      <c r="D1769" s="2" t="str">
        <f t="shared" si="26"/>
        <v>Error?</v>
      </c>
    </row>
    <row r="1770" spans="1:5">
      <c r="A1770" s="5">
        <v>1709</v>
      </c>
      <c r="B1770" s="138">
        <f>'Tax Sched 23'!D14</f>
        <v>49041</v>
      </c>
      <c r="C1770" s="2" t="s">
        <v>572</v>
      </c>
      <c r="D1770" s="2" t="str">
        <f t="shared" si="26"/>
        <v>Error?</v>
      </c>
    </row>
    <row r="1771" spans="1:5">
      <c r="A1771" s="10">
        <v>1710</v>
      </c>
      <c r="D1771" s="2" t="str">
        <f t="shared" si="26"/>
        <v>OK</v>
      </c>
    </row>
    <row r="1772" spans="1:5">
      <c r="A1772" s="5">
        <v>1711</v>
      </c>
      <c r="B1772" s="138">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8">
        <f>'Tax Sched 23'!D19</f>
        <v>37141190</v>
      </c>
      <c r="C1775" s="2" t="s">
        <v>572</v>
      </c>
      <c r="D1775" s="2" t="str">
        <f t="shared" si="26"/>
        <v>Error?</v>
      </c>
    </row>
    <row r="1776" spans="1:5">
      <c r="A1776" s="5">
        <v>1715</v>
      </c>
      <c r="B1776" s="138">
        <f>'Tax Sched 23'!C4</f>
        <v>24706685</v>
      </c>
      <c r="D1776" s="2" t="str">
        <f t="shared" si="26"/>
        <v>Error?</v>
      </c>
    </row>
    <row r="1777" spans="1:4">
      <c r="A1777" s="5">
        <v>1716</v>
      </c>
      <c r="B1777" s="138">
        <f>'Tax Sched 23'!C5</f>
        <v>4657506</v>
      </c>
      <c r="D1777" s="2" t="str">
        <f t="shared" si="26"/>
        <v>Error?</v>
      </c>
    </row>
    <row r="1778" spans="1:4">
      <c r="A1778" s="5">
        <v>1717</v>
      </c>
      <c r="B1778" s="138">
        <f>'Tax Sched 23'!C6</f>
        <v>3825483</v>
      </c>
      <c r="D1778" s="2" t="str">
        <f t="shared" si="26"/>
        <v>Error?</v>
      </c>
    </row>
    <row r="1779" spans="1:4">
      <c r="A1779" s="5">
        <v>1718</v>
      </c>
      <c r="B1779" s="138">
        <f>'Tax Sched 23'!C7</f>
        <v>1910460</v>
      </c>
      <c r="D1779" s="2" t="str">
        <f t="shared" si="26"/>
        <v>Error?</v>
      </c>
    </row>
    <row r="1780" spans="1:4">
      <c r="A1780" s="5">
        <v>1719</v>
      </c>
      <c r="B1780" s="138">
        <f>'Tax Sched 23'!C8</f>
        <v>748365</v>
      </c>
      <c r="D1780" s="2" t="str">
        <f t="shared" si="26"/>
        <v>Error?</v>
      </c>
    </row>
    <row r="1781" spans="1:4">
      <c r="A1781" s="5">
        <v>1720</v>
      </c>
      <c r="B1781" s="138">
        <f>'Tax Sched 23'!C10</f>
        <v>498910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2277037</v>
      </c>
      <c r="D1784" s="2" t="str">
        <f t="shared" si="26"/>
        <v>Error?</v>
      </c>
    </row>
    <row r="1785" spans="1:4">
      <c r="A1785" s="5">
        <v>1724</v>
      </c>
      <c r="B1785" s="138">
        <f>'Tax Sched 23'!C12</f>
        <v>0</v>
      </c>
      <c r="D1785" s="2" t="str">
        <f t="shared" si="26"/>
        <v>Error?</v>
      </c>
    </row>
    <row r="1786" spans="1:4">
      <c r="A1786" s="5">
        <v>1725</v>
      </c>
      <c r="B1786" s="138">
        <f>'Tax Sched 23'!C14</f>
        <v>51716</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39573591</v>
      </c>
      <c r="C1791" s="2" t="s">
        <v>572</v>
      </c>
      <c r="D1791" s="2" t="str">
        <f t="shared" ref="D1791:D1854" si="27">IF(ISBLANK(B1791),"OK",IF(A1791-B1791=0,"OK","Error?"))</f>
        <v>Error?</v>
      </c>
    </row>
    <row r="1792" spans="1:4">
      <c r="A1792" s="5">
        <v>1731</v>
      </c>
      <c r="B1792" s="138">
        <f>'Tax Sched 23'!F4</f>
        <v>24263528</v>
      </c>
      <c r="C1792" s="2" t="s">
        <v>572</v>
      </c>
      <c r="D1792" s="2" t="str">
        <f t="shared" si="27"/>
        <v>Error?</v>
      </c>
    </row>
    <row r="1793" spans="1:4">
      <c r="A1793" s="5">
        <v>1732</v>
      </c>
      <c r="B1793" s="138">
        <f>'Tax Sched 23'!F5</f>
        <v>4573966</v>
      </c>
      <c r="C1793" s="2" t="s">
        <v>572</v>
      </c>
      <c r="D1793" s="2" t="str">
        <f t="shared" si="27"/>
        <v>Error?</v>
      </c>
    </row>
    <row r="1794" spans="1:4">
      <c r="A1794" s="5">
        <v>1733</v>
      </c>
      <c r="B1794" s="138">
        <f>'Tax Sched 23'!F6</f>
        <v>3756865</v>
      </c>
      <c r="C1794" s="2" t="s">
        <v>572</v>
      </c>
      <c r="D1794" s="2" t="str">
        <f t="shared" si="27"/>
        <v>Error?</v>
      </c>
    </row>
    <row r="1795" spans="1:4">
      <c r="A1795" s="5">
        <v>1734</v>
      </c>
      <c r="B1795" s="138">
        <f>'Tax Sched 23'!F7</f>
        <v>1876192</v>
      </c>
      <c r="C1795" s="2" t="s">
        <v>572</v>
      </c>
      <c r="D1795" s="2" t="str">
        <f t="shared" si="27"/>
        <v>Error?</v>
      </c>
    </row>
    <row r="1796" spans="1:4">
      <c r="A1796" s="5">
        <v>1735</v>
      </c>
      <c r="B1796" s="138">
        <f>'Tax Sched 23'!F8</f>
        <v>734941</v>
      </c>
      <c r="C1796" s="2" t="s">
        <v>572</v>
      </c>
      <c r="D1796" s="2" t="str">
        <f t="shared" si="27"/>
        <v>Error?</v>
      </c>
    </row>
    <row r="1797" spans="1:4">
      <c r="A1797" s="5">
        <v>1736</v>
      </c>
      <c r="B1797" s="138">
        <f>'Tax Sched 23'!F10</f>
        <v>489961</v>
      </c>
      <c r="C1797" s="2" t="s">
        <v>572</v>
      </c>
      <c r="D1797" s="2" t="str">
        <f t="shared" si="27"/>
        <v>Error?</v>
      </c>
    </row>
    <row r="1798" spans="1:4">
      <c r="A1798" s="10">
        <v>1737</v>
      </c>
      <c r="C1798" s="2" t="s">
        <v>572</v>
      </c>
      <c r="D1798" s="2" t="str">
        <f t="shared" si="27"/>
        <v>OK</v>
      </c>
    </row>
    <row r="1799" spans="1:4">
      <c r="A1799" s="5">
        <v>1738</v>
      </c>
      <c r="B1799" s="138">
        <f>'Tax Sched 23'!F9</f>
        <v>0</v>
      </c>
      <c r="C1799" s="2" t="s">
        <v>572</v>
      </c>
      <c r="D1799" s="2" t="str">
        <f t="shared" si="27"/>
        <v>Error?</v>
      </c>
    </row>
    <row r="1800" spans="1:4">
      <c r="A1800" s="5">
        <v>1739</v>
      </c>
      <c r="B1800" s="138">
        <f>'Tax Sched 23'!F11</f>
        <v>2236194</v>
      </c>
      <c r="C1800" s="2" t="s">
        <v>572</v>
      </c>
      <c r="D1800" s="2" t="str">
        <f t="shared" si="27"/>
        <v>Error?</v>
      </c>
    </row>
    <row r="1801" spans="1:4">
      <c r="A1801" s="5">
        <v>1740</v>
      </c>
      <c r="B1801" s="138">
        <f>'Tax Sched 23'!F12</f>
        <v>0</v>
      </c>
      <c r="C1801" s="2" t="s">
        <v>572</v>
      </c>
      <c r="D1801" s="2" t="str">
        <f t="shared" si="27"/>
        <v>Error?</v>
      </c>
    </row>
    <row r="1802" spans="1:4">
      <c r="A1802" s="5">
        <v>1741</v>
      </c>
      <c r="B1802" s="138">
        <f>'Tax Sched 23'!F14</f>
        <v>50789</v>
      </c>
      <c r="C1802" s="2" t="s">
        <v>572</v>
      </c>
      <c r="D1802" s="2" t="str">
        <f t="shared" si="27"/>
        <v>Error?</v>
      </c>
    </row>
    <row r="1803" spans="1:4">
      <c r="A1803" s="10">
        <v>1742</v>
      </c>
      <c r="D1803" s="2" t="str">
        <f t="shared" si="27"/>
        <v>OK</v>
      </c>
    </row>
    <row r="1804" spans="1:4">
      <c r="A1804" s="5">
        <v>1743</v>
      </c>
      <c r="B1804" s="138">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8">
        <f>'Tax Sched 23'!F19</f>
        <v>38863769</v>
      </c>
      <c r="C1807" s="2" t="s">
        <v>572</v>
      </c>
      <c r="D1807" s="2" t="str">
        <f t="shared" si="27"/>
        <v>Error?</v>
      </c>
    </row>
    <row r="1808" spans="1:4">
      <c r="A1808" s="5">
        <v>1747</v>
      </c>
      <c r="B1808" s="138">
        <f>'Tax Sched 23'!E4</f>
        <v>48970213</v>
      </c>
      <c r="D1808" s="2" t="str">
        <f t="shared" si="27"/>
        <v>Error?</v>
      </c>
    </row>
    <row r="1809" spans="1:4">
      <c r="A1809" s="5">
        <v>1748</v>
      </c>
      <c r="B1809" s="138">
        <f>'Tax Sched 23'!E5</f>
        <v>9231472</v>
      </c>
      <c r="D1809" s="2" t="str">
        <f t="shared" si="27"/>
        <v>Error?</v>
      </c>
    </row>
    <row r="1810" spans="1:4">
      <c r="A1810" s="5">
        <v>1749</v>
      </c>
      <c r="B1810" s="138">
        <f>'Tax Sched 23'!E6</f>
        <v>7582348</v>
      </c>
      <c r="D1810" s="2" t="str">
        <f t="shared" si="27"/>
        <v>Error?</v>
      </c>
    </row>
    <row r="1811" spans="1:4">
      <c r="A1811" s="5">
        <v>1750</v>
      </c>
      <c r="B1811" s="138">
        <f>'Tax Sched 23'!E7</f>
        <v>3786652</v>
      </c>
      <c r="D1811" s="2" t="str">
        <f t="shared" si="27"/>
        <v>Error?</v>
      </c>
    </row>
    <row r="1812" spans="1:4">
      <c r="A1812" s="5">
        <v>1751</v>
      </c>
      <c r="B1812" s="138">
        <f>'Tax Sched 23'!E8</f>
        <v>1483306</v>
      </c>
      <c r="D1812" s="2" t="str">
        <f t="shared" si="27"/>
        <v>Error?</v>
      </c>
    </row>
    <row r="1813" spans="1:4">
      <c r="A1813" s="5">
        <v>1752</v>
      </c>
      <c r="B1813" s="138">
        <f>'Tax Sched 23'!E10</f>
        <v>988871</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4513231</v>
      </c>
      <c r="D1816" s="2" t="str">
        <f t="shared" si="27"/>
        <v>Error?</v>
      </c>
    </row>
    <row r="1817" spans="1:4">
      <c r="A1817" s="5">
        <v>1756</v>
      </c>
      <c r="B1817" s="138">
        <f>'Tax Sched 23'!E12</f>
        <v>0</v>
      </c>
      <c r="D1817" s="2" t="str">
        <f t="shared" si="27"/>
        <v>Error?</v>
      </c>
    </row>
    <row r="1818" spans="1:4">
      <c r="A1818" s="5">
        <v>1757</v>
      </c>
      <c r="B1818" s="138">
        <f>'Tax Sched 23'!E14</f>
        <v>102505</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78437360</v>
      </c>
      <c r="C1823" s="2" t="s">
        <v>572</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572</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572</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572</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572</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572</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572</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572</v>
      </c>
      <c r="D1867" s="2" t="str">
        <f t="shared" si="28"/>
        <v>Error?</v>
      </c>
    </row>
    <row r="1868" spans="1:4">
      <c r="A1868" s="5">
        <v>1807</v>
      </c>
      <c r="B1868" s="138">
        <f>'Short-Term Long-Term Debt 24'!F7</f>
        <v>0</v>
      </c>
      <c r="C1868" s="2" t="s">
        <v>572</v>
      </c>
      <c r="D1868" s="2" t="str">
        <f t="shared" si="28"/>
        <v>Error?</v>
      </c>
    </row>
    <row r="1869" spans="1:4">
      <c r="A1869" s="5">
        <v>1808</v>
      </c>
      <c r="B1869" s="138">
        <f>'Short-Term Long-Term Debt 24'!F12</f>
        <v>0</v>
      </c>
      <c r="C1869" s="2" t="s">
        <v>572</v>
      </c>
      <c r="D1869" s="2" t="str">
        <f t="shared" si="28"/>
        <v>Error?</v>
      </c>
    </row>
    <row r="1870" spans="1:4">
      <c r="A1870" s="5">
        <v>1809</v>
      </c>
      <c r="B1870" s="138">
        <f>'Short-Term Long-Term Debt 24'!F11</f>
        <v>0</v>
      </c>
      <c r="C1870" s="2" t="s">
        <v>572</v>
      </c>
      <c r="D1870" s="2" t="str">
        <f t="shared" si="28"/>
        <v>Error?</v>
      </c>
    </row>
    <row r="1871" spans="1:4">
      <c r="A1871" s="5">
        <v>1810</v>
      </c>
      <c r="B1871" s="138">
        <f>'Short-Term Long-Term Debt 24'!F8</f>
        <v>0</v>
      </c>
      <c r="C1871" s="2" t="s">
        <v>572</v>
      </c>
      <c r="D1871" s="2" t="str">
        <f t="shared" si="28"/>
        <v>Error?</v>
      </c>
    </row>
    <row r="1872" spans="1:4">
      <c r="A1872" s="5">
        <v>1811</v>
      </c>
      <c r="B1872" s="138">
        <f>'Short-Term Long-Term Debt 24'!F9</f>
        <v>0</v>
      </c>
      <c r="C1872" s="2" t="s">
        <v>572</v>
      </c>
      <c r="D1872" s="2" t="str">
        <f t="shared" si="28"/>
        <v>Error?</v>
      </c>
    </row>
    <row r="1873" spans="1:4">
      <c r="A1873" s="5">
        <v>1812</v>
      </c>
      <c r="B1873" s="138">
        <f>'Short-Term Long-Term Debt 24'!F10</f>
        <v>0</v>
      </c>
      <c r="C1873" s="2" t="s">
        <v>572</v>
      </c>
      <c r="D1873" s="2" t="str">
        <f t="shared" si="28"/>
        <v>Error?</v>
      </c>
    </row>
    <row r="1874" spans="1:4">
      <c r="A1874" s="5">
        <v>1813</v>
      </c>
      <c r="B1874" s="138">
        <f>'Short-Term Long-Term Debt 24'!F14</f>
        <v>0</v>
      </c>
      <c r="C1874" s="2" t="s">
        <v>572</v>
      </c>
      <c r="D1874" s="2" t="str">
        <f t="shared" si="28"/>
        <v>Error?</v>
      </c>
    </row>
    <row r="1875" spans="1:4">
      <c r="A1875" s="5">
        <v>1814</v>
      </c>
      <c r="B1875" s="138">
        <f>'Short-Term Long-Term Debt 24'!F15</f>
        <v>0</v>
      </c>
      <c r="C1875" s="2" t="s">
        <v>572</v>
      </c>
      <c r="D1875" s="2" t="str">
        <f t="shared" si="28"/>
        <v>Error?</v>
      </c>
    </row>
    <row r="1876" spans="1:4">
      <c r="A1876" s="5">
        <v>1815</v>
      </c>
      <c r="B1876" s="138">
        <f>'Short-Term Long-Term Debt 24'!F17</f>
        <v>0</v>
      </c>
      <c r="C1876" s="2" t="s">
        <v>572</v>
      </c>
      <c r="D1876" s="2" t="str">
        <f t="shared" si="28"/>
        <v>Error?</v>
      </c>
    </row>
    <row r="1877" spans="1:4">
      <c r="A1877" s="5">
        <v>1816</v>
      </c>
      <c r="B1877" s="138">
        <f>'Short-Term Long-Term Debt 24'!F18</f>
        <v>0</v>
      </c>
      <c r="C1877" s="2" t="s">
        <v>572</v>
      </c>
      <c r="D1877" s="2" t="str">
        <f t="shared" si="28"/>
        <v>Error?</v>
      </c>
    </row>
    <row r="1878" spans="1:4">
      <c r="A1878" s="5">
        <v>1817</v>
      </c>
      <c r="B1878" s="138">
        <f>'Short-Term Long-Term Debt 24'!F20</f>
        <v>0</v>
      </c>
      <c r="C1878" s="2" t="s">
        <v>572</v>
      </c>
      <c r="D1878" s="2" t="str">
        <f t="shared" si="28"/>
        <v>Error?</v>
      </c>
    </row>
    <row r="1879" spans="1:4">
      <c r="A1879" s="5">
        <v>1818</v>
      </c>
      <c r="B1879" s="138">
        <f>'Short-Term Long-Term Debt 24'!F21</f>
        <v>0</v>
      </c>
      <c r="C1879" s="2" t="s">
        <v>572</v>
      </c>
      <c r="D1879" s="2" t="str">
        <f t="shared" si="28"/>
        <v>Error?</v>
      </c>
    </row>
    <row r="1880" spans="1:4">
      <c r="A1880" s="5">
        <v>1819</v>
      </c>
      <c r="B1880" s="138">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90231519</v>
      </c>
      <c r="C1939" s="2" t="s">
        <v>572</v>
      </c>
      <c r="D1939" s="2" t="str">
        <f t="shared" si="29"/>
        <v>Error?</v>
      </c>
    </row>
    <row r="1940" spans="1:5">
      <c r="A1940" s="5">
        <v>1879</v>
      </c>
      <c r="B1940" s="138">
        <f>'Short-Term Long-Term Debt 24'!F49</f>
        <v>0</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572</v>
      </c>
      <c r="D1957" s="2" t="str">
        <f t="shared" si="29"/>
        <v>Error?</v>
      </c>
    </row>
    <row r="1958" spans="1:5">
      <c r="A1958" s="5">
        <v>1897</v>
      </c>
      <c r="B1958" s="138">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100757</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100757</v>
      </c>
      <c r="C1977" s="2" t="s">
        <v>572</v>
      </c>
      <c r="D1977" s="2" t="str">
        <f t="shared" si="29"/>
        <v>Error?</v>
      </c>
    </row>
    <row r="1978" spans="1:5">
      <c r="A1978" s="10">
        <v>1917</v>
      </c>
      <c r="C1978" s="2" t="s">
        <v>572</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100757</v>
      </c>
      <c r="C1982" s="2" t="s">
        <v>572</v>
      </c>
      <c r="D1982" s="2" t="str">
        <f t="shared" si="29"/>
        <v>Error?</v>
      </c>
    </row>
    <row r="1983" spans="1:5">
      <c r="A1983" s="5">
        <v>1922</v>
      </c>
      <c r="B1983" s="138">
        <f>'Rest Tax Levies-Tort Im 25'!H24</f>
        <v>0</v>
      </c>
      <c r="C1983" s="2" t="s">
        <v>572</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572</v>
      </c>
      <c r="D1995" s="2" t="str">
        <f t="shared" si="30"/>
        <v>Error?</v>
      </c>
    </row>
    <row r="1996" spans="1:5">
      <c r="A1996" s="5">
        <v>1935</v>
      </c>
      <c r="B1996" s="138">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8529255</v>
      </c>
      <c r="D2008" s="2" t="str">
        <f t="shared" si="30"/>
        <v>Error?</v>
      </c>
    </row>
    <row r="2009" spans="1:4">
      <c r="A2009" s="5">
        <v>1948</v>
      </c>
      <c r="B2009" s="138">
        <f>'Cap Outlay Deprec 26'!C8</f>
        <v>156587111</v>
      </c>
      <c r="D2009" s="2" t="str">
        <f t="shared" si="30"/>
        <v>Error?</v>
      </c>
    </row>
    <row r="2010" spans="1:4">
      <c r="A2010" s="5">
        <v>1949</v>
      </c>
      <c r="B2010" s="138">
        <f>'Cap Outlay Deprec 26'!C10</f>
        <v>11569366</v>
      </c>
      <c r="D2010" s="2" t="str">
        <f t="shared" si="30"/>
        <v>Error?</v>
      </c>
    </row>
    <row r="2011" spans="1:4">
      <c r="A2011" s="5">
        <v>1950</v>
      </c>
      <c r="B2011" s="138">
        <f>'Cap Outlay Deprec 26'!C12</f>
        <v>19092783</v>
      </c>
      <c r="D2011" s="2" t="str">
        <f t="shared" si="30"/>
        <v>Error?</v>
      </c>
    </row>
    <row r="2012" spans="1:4">
      <c r="A2012" s="5">
        <v>1951</v>
      </c>
      <c r="B2012" s="138">
        <f>'Cap Outlay Deprec 26'!C13</f>
        <v>3015010</v>
      </c>
      <c r="D2012" s="2" t="str">
        <f t="shared" si="30"/>
        <v>Error?</v>
      </c>
    </row>
    <row r="2013" spans="1:4">
      <c r="A2013" s="5">
        <v>1952</v>
      </c>
      <c r="B2013" s="138">
        <f>'Cap Outlay Deprec 26'!C16</f>
        <v>203273008</v>
      </c>
      <c r="C2013" s="2" t="s">
        <v>572</v>
      </c>
      <c r="D2013" s="2" t="str">
        <f t="shared" si="30"/>
        <v>Error?</v>
      </c>
    </row>
    <row r="2014" spans="1:4">
      <c r="A2014" s="5">
        <v>1953</v>
      </c>
      <c r="B2014" s="138">
        <f>'Cap Outlay Deprec 26'!D5</f>
        <v>0</v>
      </c>
      <c r="D2014" s="2" t="str">
        <f t="shared" si="30"/>
        <v>Error?</v>
      </c>
    </row>
    <row r="2015" spans="1:4">
      <c r="A2015" s="5">
        <v>1954</v>
      </c>
      <c r="B2015" s="138">
        <f>'Cap Outlay Deprec 26'!D8</f>
        <v>1561579</v>
      </c>
      <c r="D2015" s="2" t="str">
        <f t="shared" si="30"/>
        <v>Error?</v>
      </c>
    </row>
    <row r="2016" spans="1:4">
      <c r="A2016" s="5">
        <v>1955</v>
      </c>
      <c r="B2016" s="138">
        <f>'Cap Outlay Deprec 26'!D10</f>
        <v>486611</v>
      </c>
      <c r="D2016" s="2" t="str">
        <f t="shared" si="30"/>
        <v>Error?</v>
      </c>
    </row>
    <row r="2017" spans="1:4">
      <c r="A2017" s="5">
        <v>1956</v>
      </c>
      <c r="B2017" s="138">
        <f>'Cap Outlay Deprec 26'!D12</f>
        <v>3617543</v>
      </c>
      <c r="D2017" s="2" t="str">
        <f t="shared" si="30"/>
        <v>Error?</v>
      </c>
    </row>
    <row r="2018" spans="1:4">
      <c r="A2018" s="5">
        <v>1957</v>
      </c>
      <c r="B2018" s="138">
        <f>'Cap Outlay Deprec 26'!D13</f>
        <v>273673</v>
      </c>
      <c r="D2018" s="2" t="str">
        <f t="shared" si="30"/>
        <v>Error?</v>
      </c>
    </row>
    <row r="2019" spans="1:4">
      <c r="A2019" s="5">
        <v>1958</v>
      </c>
      <c r="B2019" s="138">
        <f>'Cap Outlay Deprec 26'!D16</f>
        <v>8058302</v>
      </c>
      <c r="C2019" s="2" t="s">
        <v>572</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120098</v>
      </c>
      <c r="D2022" s="2" t="str">
        <f t="shared" si="30"/>
        <v>Error?</v>
      </c>
    </row>
    <row r="2023" spans="1:4">
      <c r="A2023" s="5">
        <v>1962</v>
      </c>
      <c r="B2023" s="138">
        <f>'Cap Outlay Deprec 26'!E12</f>
        <v>432027</v>
      </c>
      <c r="D2023" s="2" t="str">
        <f t="shared" si="30"/>
        <v>Error?</v>
      </c>
    </row>
    <row r="2024" spans="1:4">
      <c r="A2024" s="5">
        <v>1963</v>
      </c>
      <c r="B2024" s="138">
        <f>'Cap Outlay Deprec 26'!E13</f>
        <v>112337</v>
      </c>
      <c r="D2024" s="2" t="str">
        <f t="shared" si="30"/>
        <v>Error?</v>
      </c>
    </row>
    <row r="2025" spans="1:4">
      <c r="A2025" s="5">
        <v>1964</v>
      </c>
      <c r="B2025" s="138">
        <f>'Cap Outlay Deprec 26'!E16</f>
        <v>5697552</v>
      </c>
      <c r="C2025" s="2" t="s">
        <v>572</v>
      </c>
      <c r="D2025" s="2" t="str">
        <f t="shared" si="30"/>
        <v>Error?</v>
      </c>
    </row>
    <row r="2026" spans="1:4">
      <c r="A2026" s="5">
        <v>1965</v>
      </c>
      <c r="B2026" s="138">
        <f>'Cap Outlay Deprec 26'!F5</f>
        <v>8529255</v>
      </c>
      <c r="C2026" s="2" t="s">
        <v>572</v>
      </c>
      <c r="D2026" s="2" t="str">
        <f t="shared" si="30"/>
        <v>Error?</v>
      </c>
    </row>
    <row r="2027" spans="1:4">
      <c r="A2027" s="5">
        <v>1966</v>
      </c>
      <c r="B2027" s="138">
        <f>'Cap Outlay Deprec 26'!F8</f>
        <v>158148690</v>
      </c>
      <c r="C2027" s="2" t="s">
        <v>572</v>
      </c>
      <c r="D2027" s="2" t="str">
        <f t="shared" si="30"/>
        <v>Error?</v>
      </c>
    </row>
    <row r="2028" spans="1:4">
      <c r="A2028" s="5">
        <v>1967</v>
      </c>
      <c r="B2028" s="138">
        <f>'Cap Outlay Deprec 26'!F10</f>
        <v>11935879</v>
      </c>
      <c r="C2028" s="2" t="s">
        <v>572</v>
      </c>
      <c r="D2028" s="2" t="str">
        <f t="shared" si="30"/>
        <v>Error?</v>
      </c>
    </row>
    <row r="2029" spans="1:4">
      <c r="A2029" s="5">
        <v>1968</v>
      </c>
      <c r="B2029" s="138">
        <f>'Cap Outlay Deprec 26'!F12</f>
        <v>22278299</v>
      </c>
      <c r="C2029" s="2" t="s">
        <v>572</v>
      </c>
      <c r="D2029" s="2" t="str">
        <f t="shared" si="30"/>
        <v>Error?</v>
      </c>
    </row>
    <row r="2030" spans="1:4">
      <c r="A2030" s="5">
        <v>1969</v>
      </c>
      <c r="B2030" s="138">
        <f>'Cap Outlay Deprec 26'!F13</f>
        <v>3176346</v>
      </c>
      <c r="C2030" s="2" t="s">
        <v>572</v>
      </c>
      <c r="D2030" s="2" t="str">
        <f t="shared" si="30"/>
        <v>Error?</v>
      </c>
    </row>
    <row r="2031" spans="1:4">
      <c r="A2031" s="5">
        <v>1970</v>
      </c>
      <c r="B2031" s="138">
        <f>'Cap Outlay Deprec 26'!F16</f>
        <v>205633758</v>
      </c>
      <c r="C2031" s="2" t="s">
        <v>572</v>
      </c>
      <c r="D2031" s="2" t="str">
        <f t="shared" si="30"/>
        <v>Error?</v>
      </c>
    </row>
    <row r="2032" spans="1:4">
      <c r="A2032" s="10">
        <v>1971</v>
      </c>
      <c r="D2032" s="2" t="str">
        <f t="shared" si="30"/>
        <v>OK</v>
      </c>
    </row>
    <row r="2033" spans="1:4">
      <c r="A2033" s="5">
        <v>1972</v>
      </c>
      <c r="B2033" s="138">
        <f>'Cap Outlay Deprec 26'!H8</f>
        <v>47119677</v>
      </c>
      <c r="D2033" s="2" t="str">
        <f t="shared" si="30"/>
        <v>Error?</v>
      </c>
    </row>
    <row r="2034" spans="1:4">
      <c r="A2034" s="5">
        <v>1973</v>
      </c>
      <c r="B2034" s="138">
        <f>'Cap Outlay Deprec 26'!H10</f>
        <v>5597426</v>
      </c>
      <c r="D2034" s="2" t="str">
        <f t="shared" si="30"/>
        <v>Error?</v>
      </c>
    </row>
    <row r="2035" spans="1:4">
      <c r="A2035" s="5">
        <v>1974</v>
      </c>
      <c r="B2035" s="138">
        <f>'Cap Outlay Deprec 26'!H12</f>
        <v>16590281</v>
      </c>
      <c r="D2035" s="2" t="str">
        <f t="shared" si="30"/>
        <v>Error?</v>
      </c>
    </row>
    <row r="2036" spans="1:4">
      <c r="A2036" s="5">
        <v>1975</v>
      </c>
      <c r="B2036" s="138">
        <f>'Cap Outlay Deprec 26'!H13</f>
        <v>2250049</v>
      </c>
      <c r="D2036" s="2" t="str">
        <f t="shared" si="30"/>
        <v>Error?</v>
      </c>
    </row>
    <row r="2037" spans="1:4">
      <c r="A2037" s="5">
        <v>1976</v>
      </c>
      <c r="B2037" s="138">
        <f>'Cap Outlay Deprec 26'!H16</f>
        <v>72057053</v>
      </c>
      <c r="C2037" s="2" t="s">
        <v>572</v>
      </c>
      <c r="D2037" s="2" t="str">
        <f t="shared" si="30"/>
        <v>Error?</v>
      </c>
    </row>
    <row r="2038" spans="1:4">
      <c r="A2038" s="10">
        <v>1977</v>
      </c>
      <c r="D2038" s="2" t="str">
        <f t="shared" si="30"/>
        <v>OK</v>
      </c>
    </row>
    <row r="2039" spans="1:4">
      <c r="A2039" s="5">
        <v>1978</v>
      </c>
      <c r="B2039" s="138">
        <f>'Cap Outlay Deprec 26'!I8</f>
        <v>4454180</v>
      </c>
      <c r="D2039" s="2" t="str">
        <f t="shared" si="30"/>
        <v>Error?</v>
      </c>
    </row>
    <row r="2040" spans="1:4">
      <c r="A2040" s="5">
        <v>1979</v>
      </c>
      <c r="B2040" s="138">
        <f>'Cap Outlay Deprec 26'!I10</f>
        <v>493699</v>
      </c>
      <c r="D2040" s="2" t="str">
        <f t="shared" si="30"/>
        <v>Error?</v>
      </c>
    </row>
    <row r="2041" spans="1:4">
      <c r="A2041" s="5">
        <v>1980</v>
      </c>
      <c r="B2041" s="138">
        <f>'Cap Outlay Deprec 26'!I12</f>
        <v>1156306</v>
      </c>
      <c r="D2041" s="2" t="str">
        <f t="shared" si="30"/>
        <v>Error?</v>
      </c>
    </row>
    <row r="2042" spans="1:4">
      <c r="A2042" s="5">
        <v>1981</v>
      </c>
      <c r="B2042" s="138">
        <f>'Cap Outlay Deprec 26'!I13</f>
        <v>97573</v>
      </c>
      <c r="D2042" s="2" t="str">
        <f t="shared" si="30"/>
        <v>Error?</v>
      </c>
    </row>
    <row r="2043" spans="1:4">
      <c r="A2043" s="5">
        <v>1982</v>
      </c>
      <c r="B2043" s="138">
        <f>'Cap Outlay Deprec 26'!I16</f>
        <v>6205074</v>
      </c>
      <c r="C2043" s="2" t="s">
        <v>572</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119860</v>
      </c>
      <c r="D2046" s="2" t="str">
        <f t="shared" si="30"/>
        <v>Error?</v>
      </c>
    </row>
    <row r="2047" spans="1:4">
      <c r="A2047" s="5">
        <v>1986</v>
      </c>
      <c r="B2047" s="138">
        <f>'Cap Outlay Deprec 26'!J12</f>
        <v>407758</v>
      </c>
      <c r="D2047" s="2" t="str">
        <f t="shared" ref="D2047:D2110" si="31">IF(ISBLANK(B2047),"OK",IF(A2047-B2047=0,"OK","Error?"))</f>
        <v>Error?</v>
      </c>
    </row>
    <row r="2048" spans="1:4">
      <c r="A2048" s="5">
        <v>1987</v>
      </c>
      <c r="B2048" s="138">
        <f>'Cap Outlay Deprec 26'!J13</f>
        <v>87623</v>
      </c>
      <c r="D2048" s="2" t="str">
        <f t="shared" si="31"/>
        <v>Error?</v>
      </c>
    </row>
    <row r="2049" spans="1:4">
      <c r="A2049" s="5">
        <v>1988</v>
      </c>
      <c r="B2049" s="138">
        <f>'Cap Outlay Deprec 26'!J16</f>
        <v>615241</v>
      </c>
      <c r="C2049" s="2" t="s">
        <v>572</v>
      </c>
      <c r="D2049" s="2" t="str">
        <f t="shared" si="31"/>
        <v>Error?</v>
      </c>
    </row>
    <row r="2050" spans="1:4">
      <c r="A2050" s="10">
        <v>1989</v>
      </c>
      <c r="D2050" s="2" t="str">
        <f t="shared" si="31"/>
        <v>OK</v>
      </c>
    </row>
    <row r="2051" spans="1:4">
      <c r="A2051" s="5">
        <v>1990</v>
      </c>
      <c r="B2051" s="138">
        <f>'Cap Outlay Deprec 26'!K8</f>
        <v>51573857</v>
      </c>
      <c r="C2051" s="2" t="s">
        <v>572</v>
      </c>
      <c r="D2051" s="2" t="str">
        <f t="shared" si="31"/>
        <v>Error?</v>
      </c>
    </row>
    <row r="2052" spans="1:4">
      <c r="A2052" s="5">
        <v>1991</v>
      </c>
      <c r="B2052" s="138">
        <f>'Cap Outlay Deprec 26'!K10</f>
        <v>5971265</v>
      </c>
      <c r="C2052" s="2" t="s">
        <v>572</v>
      </c>
      <c r="D2052" s="2" t="str">
        <f t="shared" si="31"/>
        <v>Error?</v>
      </c>
    </row>
    <row r="2053" spans="1:4">
      <c r="A2053" s="5">
        <v>1992</v>
      </c>
      <c r="B2053" s="138">
        <f>'Cap Outlay Deprec 26'!K12</f>
        <v>17338829</v>
      </c>
      <c r="C2053" s="2" t="s">
        <v>572</v>
      </c>
      <c r="D2053" s="2" t="str">
        <f t="shared" si="31"/>
        <v>Error?</v>
      </c>
    </row>
    <row r="2054" spans="1:4">
      <c r="A2054" s="5">
        <v>1993</v>
      </c>
      <c r="B2054" s="138">
        <f>'Cap Outlay Deprec 26'!K13</f>
        <v>2259999</v>
      </c>
      <c r="C2054" s="2" t="s">
        <v>572</v>
      </c>
      <c r="D2054" s="2" t="str">
        <f t="shared" si="31"/>
        <v>Error?</v>
      </c>
    </row>
    <row r="2055" spans="1:4">
      <c r="A2055" s="5">
        <v>1994</v>
      </c>
      <c r="B2055" s="138">
        <f>'Cap Outlay Deprec 26'!K16</f>
        <v>77646886</v>
      </c>
      <c r="C2055" s="2" t="s">
        <v>572</v>
      </c>
      <c r="D2055" s="2" t="str">
        <f t="shared" si="31"/>
        <v>Error?</v>
      </c>
    </row>
    <row r="2056" spans="1:4">
      <c r="A2056" s="5">
        <v>1995</v>
      </c>
      <c r="B2056" s="138">
        <f>'Cap Outlay Deprec 26'!L5</f>
        <v>8529255</v>
      </c>
      <c r="C2056" s="2" t="s">
        <v>572</v>
      </c>
      <c r="D2056" s="2" t="str">
        <f t="shared" si="31"/>
        <v>Error?</v>
      </c>
    </row>
    <row r="2057" spans="1:4">
      <c r="A2057" s="5">
        <v>1996</v>
      </c>
      <c r="B2057" s="138">
        <f>'Cap Outlay Deprec 26'!L8</f>
        <v>106574833</v>
      </c>
      <c r="C2057" s="2" t="s">
        <v>572</v>
      </c>
      <c r="D2057" s="2" t="str">
        <f t="shared" si="31"/>
        <v>Error?</v>
      </c>
    </row>
    <row r="2058" spans="1:4">
      <c r="A2058" s="5">
        <v>1997</v>
      </c>
      <c r="B2058" s="138">
        <f>'Cap Outlay Deprec 26'!L10</f>
        <v>5964614</v>
      </c>
      <c r="C2058" s="2" t="s">
        <v>572</v>
      </c>
      <c r="D2058" s="2" t="str">
        <f t="shared" si="31"/>
        <v>Error?</v>
      </c>
    </row>
    <row r="2059" spans="1:4">
      <c r="A2059" s="5">
        <v>1998</v>
      </c>
      <c r="B2059" s="138">
        <f>'Cap Outlay Deprec 26'!L12</f>
        <v>4939470</v>
      </c>
      <c r="C2059" s="2" t="s">
        <v>572</v>
      </c>
      <c r="D2059" s="2" t="str">
        <f t="shared" si="31"/>
        <v>Error?</v>
      </c>
    </row>
    <row r="2060" spans="1:4">
      <c r="A2060" s="5">
        <v>1999</v>
      </c>
      <c r="B2060" s="138">
        <f>'Cap Outlay Deprec 26'!L13</f>
        <v>916347</v>
      </c>
      <c r="C2060" s="2" t="s">
        <v>572</v>
      </c>
      <c r="D2060" s="2" t="str">
        <f t="shared" si="31"/>
        <v>Error?</v>
      </c>
    </row>
    <row r="2061" spans="1:4">
      <c r="A2061" s="5">
        <v>2000</v>
      </c>
      <c r="B2061" s="138">
        <f>'Cap Outlay Deprec 26'!L16</f>
        <v>127986872</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0</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1800</v>
      </c>
      <c r="C2088" s="2" t="s">
        <v>572</v>
      </c>
      <c r="D2088" s="2" t="str">
        <f t="shared" si="31"/>
        <v>Error?</v>
      </c>
    </row>
    <row r="2089" spans="1:4">
      <c r="A2089" s="5">
        <v>2028</v>
      </c>
      <c r="B2089" s="138">
        <f>'Expenditures 15-22'!K92</f>
        <v>236555</v>
      </c>
      <c r="C2089" s="2" t="s">
        <v>572</v>
      </c>
      <c r="D2089" s="2" t="str">
        <f t="shared" si="31"/>
        <v>Error?</v>
      </c>
    </row>
    <row r="2090" spans="1:4">
      <c r="A2090" s="10">
        <v>2029</v>
      </c>
      <c r="D2090" s="2" t="str">
        <f t="shared" si="31"/>
        <v>OK</v>
      </c>
    </row>
    <row r="2091" spans="1:4">
      <c r="A2091" s="5">
        <v>2030</v>
      </c>
      <c r="B2091" s="138">
        <f>'Expenditures 15-22'!H137</f>
        <v>0</v>
      </c>
      <c r="C2091" s="2" t="s">
        <v>572</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572</v>
      </c>
      <c r="D2093" s="2" t="str">
        <f t="shared" si="31"/>
        <v>Error?</v>
      </c>
    </row>
    <row r="2094" spans="1:4">
      <c r="A2094" s="5">
        <v>2033</v>
      </c>
      <c r="B2094" s="138">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8">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572</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208784</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50910</v>
      </c>
      <c r="D2475" s="2" t="str">
        <f t="shared" si="37"/>
        <v>Error?</v>
      </c>
    </row>
    <row r="2476" spans="1:4">
      <c r="A2476" s="10">
        <v>2415</v>
      </c>
      <c r="D2476" s="2" t="str">
        <f t="shared" si="37"/>
        <v>OK</v>
      </c>
    </row>
    <row r="2477" spans="1:4">
      <c r="A2477" s="5">
        <v>2416</v>
      </c>
      <c r="B2477" s="138">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56432740</v>
      </c>
      <c r="C2551" s="2" t="s">
        <v>572</v>
      </c>
      <c r="D2551" s="2" t="str">
        <f t="shared" si="38"/>
        <v>Error?</v>
      </c>
    </row>
    <row r="2552" spans="1:4">
      <c r="A2552" s="10">
        <v>2491</v>
      </c>
      <c r="D2552" s="2" t="str">
        <f t="shared" si="38"/>
        <v>OK</v>
      </c>
    </row>
    <row r="2553" spans="1:4">
      <c r="A2553" s="5">
        <v>2492</v>
      </c>
      <c r="B2553" s="138">
        <f>'Acct Summary 7-8'!C6</f>
        <v>19756329</v>
      </c>
      <c r="C2553" s="2" t="s">
        <v>572</v>
      </c>
      <c r="D2553" s="2" t="str">
        <f t="shared" si="38"/>
        <v>Error?</v>
      </c>
    </row>
    <row r="2554" spans="1:4">
      <c r="A2554" s="5">
        <v>2493</v>
      </c>
      <c r="B2554" s="138">
        <f>'Acct Summary 7-8'!C7</f>
        <v>5779702</v>
      </c>
      <c r="C2554" s="2" t="s">
        <v>572</v>
      </c>
      <c r="D2554" s="2" t="str">
        <f t="shared" si="38"/>
        <v>Error?</v>
      </c>
    </row>
    <row r="2555" spans="1:4">
      <c r="A2555" s="5">
        <v>2494</v>
      </c>
      <c r="B2555" s="138">
        <f>'Acct Summary 7-8'!C8</f>
        <v>81968771</v>
      </c>
      <c r="C2555" s="2" t="s">
        <v>572</v>
      </c>
      <c r="D2555" s="2" t="str">
        <f t="shared" si="38"/>
        <v>Error?</v>
      </c>
    </row>
    <row r="2556" spans="1:4">
      <c r="A2556" s="5">
        <v>2495</v>
      </c>
      <c r="B2556" s="138">
        <f>'Acct Summary 7-8'!C12</f>
        <v>49666393</v>
      </c>
      <c r="C2556" s="2" t="s">
        <v>572</v>
      </c>
      <c r="D2556" s="2" t="str">
        <f t="shared" si="38"/>
        <v>Error?</v>
      </c>
    </row>
    <row r="2557" spans="1:4">
      <c r="A2557" s="5">
        <v>2496</v>
      </c>
      <c r="B2557" s="138">
        <f>'Acct Summary 7-8'!C13</f>
        <v>19527414</v>
      </c>
      <c r="C2557" s="2" t="s">
        <v>572</v>
      </c>
      <c r="D2557" s="2" t="str">
        <f t="shared" si="38"/>
        <v>Error?</v>
      </c>
    </row>
    <row r="2558" spans="1:4">
      <c r="A2558" s="5">
        <v>2497</v>
      </c>
      <c r="B2558" s="138">
        <f>'Acct Summary 7-8'!C14</f>
        <v>151805</v>
      </c>
      <c r="C2558" s="2" t="s">
        <v>572</v>
      </c>
      <c r="D2558" s="2" t="str">
        <f t="shared" si="38"/>
        <v>Error?</v>
      </c>
    </row>
    <row r="2559" spans="1:4">
      <c r="A2559" s="5">
        <v>2498</v>
      </c>
      <c r="B2559" s="138">
        <f>'Acct Summary 7-8'!C15</f>
        <v>238355</v>
      </c>
      <c r="C2559" s="2" t="s">
        <v>572</v>
      </c>
      <c r="D2559" s="2" t="str">
        <f t="shared" ref="D2559:D2622" si="39">IF(ISBLANK(B2559),"OK",IF(A2559-B2559=0,"OK","Error?"))</f>
        <v>Error?</v>
      </c>
    </row>
    <row r="2560" spans="1:4">
      <c r="A2560" s="5">
        <v>2499</v>
      </c>
      <c r="B2560" s="138">
        <f>'Acct Summary 7-8'!C16</f>
        <v>0</v>
      </c>
      <c r="C2560" s="2" t="s">
        <v>572</v>
      </c>
      <c r="D2560" s="2" t="str">
        <f t="shared" si="39"/>
        <v>Error?</v>
      </c>
    </row>
    <row r="2561" spans="1:4">
      <c r="A2561" s="5">
        <v>2500</v>
      </c>
      <c r="B2561" s="138">
        <f>'Acct Summary 7-8'!C17</f>
        <v>69583967</v>
      </c>
      <c r="C2561" s="2" t="s">
        <v>572</v>
      </c>
      <c r="D2561" s="2" t="str">
        <f t="shared" si="39"/>
        <v>Error?</v>
      </c>
    </row>
    <row r="2562" spans="1:4">
      <c r="A2562" s="5">
        <v>2501</v>
      </c>
      <c r="B2562" s="138">
        <f>'Acct Summary 7-8'!C20</f>
        <v>12384804</v>
      </c>
      <c r="C2562" s="2" t="s">
        <v>572</v>
      </c>
      <c r="D2562" s="2" t="str">
        <f t="shared" si="39"/>
        <v>Error?</v>
      </c>
    </row>
    <row r="2563" spans="1:4">
      <c r="A2563" s="5">
        <v>2502</v>
      </c>
      <c r="B2563" s="138">
        <f>'Acct Summary 7-8'!C80</f>
        <v>0</v>
      </c>
      <c r="D2563" s="2" t="str">
        <f t="shared" si="39"/>
        <v>Error?</v>
      </c>
    </row>
    <row r="2564" spans="1:4">
      <c r="A2564" s="5">
        <v>2503</v>
      </c>
      <c r="B2564" s="138">
        <f>'Acct Summary 7-8'!D4</f>
        <v>9971994</v>
      </c>
      <c r="C2564" s="2" t="s">
        <v>572</v>
      </c>
      <c r="D2564" s="2" t="str">
        <f t="shared" si="39"/>
        <v>Error?</v>
      </c>
    </row>
    <row r="2565" spans="1:4">
      <c r="A2565" s="10">
        <v>2504</v>
      </c>
      <c r="D2565" s="2" t="str">
        <f t="shared" si="39"/>
        <v>OK</v>
      </c>
    </row>
    <row r="2566" spans="1:4">
      <c r="A2566" s="5">
        <v>2505</v>
      </c>
      <c r="B2566" s="138">
        <f>'Acct Summary 7-8'!D6</f>
        <v>0</v>
      </c>
      <c r="C2566" s="2" t="s">
        <v>572</v>
      </c>
      <c r="D2566" s="2" t="str">
        <f t="shared" si="39"/>
        <v>Error?</v>
      </c>
    </row>
    <row r="2567" spans="1:4">
      <c r="A2567" s="5">
        <v>2506</v>
      </c>
      <c r="B2567" s="138">
        <f>'Acct Summary 7-8'!D7</f>
        <v>0</v>
      </c>
      <c r="C2567" s="2" t="s">
        <v>572</v>
      </c>
      <c r="D2567" s="2" t="str">
        <f t="shared" si="39"/>
        <v>Error?</v>
      </c>
    </row>
    <row r="2568" spans="1:4">
      <c r="A2568" s="5">
        <v>2507</v>
      </c>
      <c r="B2568" s="138">
        <f>'Acct Summary 7-8'!D8</f>
        <v>9971994</v>
      </c>
      <c r="C2568" s="2" t="s">
        <v>572</v>
      </c>
      <c r="D2568" s="2" t="str">
        <f t="shared" si="39"/>
        <v>Error?</v>
      </c>
    </row>
    <row r="2569" spans="1:4">
      <c r="A2569" s="5">
        <v>2508</v>
      </c>
      <c r="B2569" s="138">
        <f>'Acct Summary 7-8'!D13</f>
        <v>8700639</v>
      </c>
      <c r="C2569" s="2" t="s">
        <v>572</v>
      </c>
      <c r="D2569" s="2" t="str">
        <f t="shared" si="39"/>
        <v>Error?</v>
      </c>
    </row>
    <row r="2570" spans="1:4">
      <c r="A2570" s="5">
        <v>2509</v>
      </c>
      <c r="B2570" s="138">
        <f>'Acct Summary 7-8'!D14</f>
        <v>0</v>
      </c>
      <c r="C2570" s="2" t="s">
        <v>572</v>
      </c>
      <c r="D2570" s="2" t="str">
        <f t="shared" si="39"/>
        <v>Error?</v>
      </c>
    </row>
    <row r="2571" spans="1:4">
      <c r="A2571" s="5">
        <v>2510</v>
      </c>
      <c r="B2571" s="138">
        <f>'Acct Summary 7-8'!D15</f>
        <v>0</v>
      </c>
      <c r="C2571" s="2" t="s">
        <v>572</v>
      </c>
      <c r="D2571" s="2" t="str">
        <f t="shared" si="39"/>
        <v>Error?</v>
      </c>
    </row>
    <row r="2572" spans="1:4">
      <c r="A2572" s="5">
        <v>2511</v>
      </c>
      <c r="B2572" s="138">
        <f>'Acct Summary 7-8'!D16</f>
        <v>0</v>
      </c>
      <c r="C2572" s="2" t="s">
        <v>572</v>
      </c>
      <c r="D2572" s="2" t="str">
        <f t="shared" si="39"/>
        <v>Error?</v>
      </c>
    </row>
    <row r="2573" spans="1:4">
      <c r="A2573" s="5">
        <v>2512</v>
      </c>
      <c r="B2573" s="138">
        <f>'Acct Summary 7-8'!D17</f>
        <v>8700639</v>
      </c>
      <c r="C2573" s="2" t="s">
        <v>572</v>
      </c>
      <c r="D2573" s="2" t="str">
        <f t="shared" si="39"/>
        <v>Error?</v>
      </c>
    </row>
    <row r="2574" spans="1:4">
      <c r="A2574" s="5">
        <v>2513</v>
      </c>
      <c r="B2574" s="138">
        <f>'Acct Summary 7-8'!D20</f>
        <v>1271355</v>
      </c>
      <c r="C2574" s="2" t="s">
        <v>572</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4180354</v>
      </c>
      <c r="C2591" s="2" t="s">
        <v>572</v>
      </c>
      <c r="D2591" s="2" t="str">
        <f t="shared" si="39"/>
        <v>Error?</v>
      </c>
    </row>
    <row r="2592" spans="1:4">
      <c r="A2592" s="10">
        <v>2531</v>
      </c>
      <c r="D2592" s="2" t="str">
        <f t="shared" si="39"/>
        <v>OK</v>
      </c>
    </row>
    <row r="2593" spans="1:4">
      <c r="A2593" s="5">
        <v>2532</v>
      </c>
      <c r="B2593" s="138">
        <f>'Acct Summary 7-8'!F6</f>
        <v>4102303</v>
      </c>
      <c r="C2593" s="2" t="s">
        <v>572</v>
      </c>
      <c r="D2593" s="2" t="str">
        <f t="shared" si="39"/>
        <v>Error?</v>
      </c>
    </row>
    <row r="2594" spans="1:4">
      <c r="A2594" s="5">
        <v>2533</v>
      </c>
      <c r="B2594" s="138">
        <f>'Acct Summary 7-8'!F7</f>
        <v>0</v>
      </c>
      <c r="C2594" s="2" t="s">
        <v>572</v>
      </c>
      <c r="D2594" s="2" t="str">
        <f t="shared" si="39"/>
        <v>Error?</v>
      </c>
    </row>
    <row r="2595" spans="1:4">
      <c r="A2595" s="5">
        <v>2534</v>
      </c>
      <c r="B2595" s="138">
        <f>'Acct Summary 7-8'!F8</f>
        <v>8282657</v>
      </c>
      <c r="C2595" s="2" t="s">
        <v>572</v>
      </c>
      <c r="D2595" s="2" t="str">
        <f t="shared" si="39"/>
        <v>Error?</v>
      </c>
    </row>
    <row r="2596" spans="1:4">
      <c r="A2596" s="5">
        <v>2535</v>
      </c>
      <c r="B2596" s="138">
        <f>'Acct Summary 7-8'!F13</f>
        <v>7557480</v>
      </c>
      <c r="C2596" s="2" t="s">
        <v>572</v>
      </c>
      <c r="D2596" s="2" t="str">
        <f t="shared" si="39"/>
        <v>Error?</v>
      </c>
    </row>
    <row r="2597" spans="1:4">
      <c r="A2597" s="5">
        <v>2536</v>
      </c>
      <c r="B2597" s="138">
        <f>'Acct Summary 7-8'!F14</f>
        <v>0</v>
      </c>
      <c r="C2597" s="2" t="s">
        <v>572</v>
      </c>
      <c r="D2597" s="2" t="str">
        <f t="shared" si="39"/>
        <v>Error?</v>
      </c>
    </row>
    <row r="2598" spans="1:4">
      <c r="A2598" s="5">
        <v>2537</v>
      </c>
      <c r="B2598" s="138">
        <f>'Acct Summary 7-8'!F15</f>
        <v>0</v>
      </c>
      <c r="C2598" s="2" t="s">
        <v>572</v>
      </c>
      <c r="D2598" s="2" t="str">
        <f t="shared" si="39"/>
        <v>Error?</v>
      </c>
    </row>
    <row r="2599" spans="1:4">
      <c r="A2599" s="5">
        <v>2538</v>
      </c>
      <c r="B2599" s="138">
        <f>'Acct Summary 7-8'!F16</f>
        <v>0</v>
      </c>
      <c r="C2599" s="2" t="s">
        <v>572</v>
      </c>
      <c r="D2599" s="2" t="str">
        <f t="shared" si="39"/>
        <v>Error?</v>
      </c>
    </row>
    <row r="2600" spans="1:4">
      <c r="A2600" s="5">
        <v>2539</v>
      </c>
      <c r="B2600" s="138">
        <f>'Acct Summary 7-8'!F17</f>
        <v>7557480</v>
      </c>
      <c r="C2600" s="2" t="s">
        <v>572</v>
      </c>
      <c r="D2600" s="2" t="str">
        <f t="shared" si="39"/>
        <v>Error?</v>
      </c>
    </row>
    <row r="2601" spans="1:4">
      <c r="A2601" s="5">
        <v>2540</v>
      </c>
      <c r="B2601" s="138">
        <f>'Acct Summary 7-8'!F20</f>
        <v>725177</v>
      </c>
      <c r="C2601" s="2" t="s">
        <v>572</v>
      </c>
      <c r="D2601" s="2" t="str">
        <f t="shared" si="39"/>
        <v>Error?</v>
      </c>
    </row>
    <row r="2602" spans="1:4">
      <c r="A2602" s="5">
        <v>2541</v>
      </c>
      <c r="B2602" s="138">
        <f>'Acct Summary 7-8'!F80</f>
        <v>0</v>
      </c>
      <c r="D2602" s="2" t="str">
        <f t="shared" si="39"/>
        <v>Error?</v>
      </c>
    </row>
    <row r="2603" spans="1:4">
      <c r="A2603" s="5">
        <v>2542</v>
      </c>
      <c r="B2603" s="138">
        <f>'Acct Summary 7-8'!G4</f>
        <v>3802054</v>
      </c>
      <c r="C2603" s="2" t="s">
        <v>572</v>
      </c>
      <c r="D2603" s="2" t="str">
        <f t="shared" si="39"/>
        <v>Error?</v>
      </c>
    </row>
    <row r="2604" spans="1:4">
      <c r="A2604" s="5">
        <v>2543</v>
      </c>
      <c r="B2604" s="138">
        <f>'Acct Summary 7-8'!G6</f>
        <v>0</v>
      </c>
      <c r="C2604" s="2" t="s">
        <v>572</v>
      </c>
      <c r="D2604" s="2" t="str">
        <f t="shared" si="39"/>
        <v>Error?</v>
      </c>
    </row>
    <row r="2605" spans="1:4">
      <c r="A2605" s="5">
        <v>2544</v>
      </c>
      <c r="B2605" s="138">
        <f>'Acct Summary 7-8'!G7</f>
        <v>0</v>
      </c>
      <c r="C2605" s="2" t="s">
        <v>572</v>
      </c>
      <c r="D2605" s="2" t="str">
        <f t="shared" si="39"/>
        <v>Error?</v>
      </c>
    </row>
    <row r="2606" spans="1:4">
      <c r="A2606" s="5">
        <v>2545</v>
      </c>
      <c r="B2606" s="138">
        <f>'Acct Summary 7-8'!G8</f>
        <v>3802054</v>
      </c>
      <c r="C2606" s="2" t="s">
        <v>572</v>
      </c>
      <c r="D2606" s="2" t="str">
        <f t="shared" si="39"/>
        <v>Error?</v>
      </c>
    </row>
    <row r="2607" spans="1:4">
      <c r="A2607" s="5">
        <v>2546</v>
      </c>
      <c r="B2607" s="138">
        <f>'Acct Summary 7-8'!G12</f>
        <v>946962</v>
      </c>
      <c r="C2607" s="2" t="s">
        <v>572</v>
      </c>
      <c r="D2607" s="2" t="str">
        <f t="shared" si="39"/>
        <v>Error?</v>
      </c>
    </row>
    <row r="2608" spans="1:4">
      <c r="A2608" s="5">
        <v>2547</v>
      </c>
      <c r="B2608" s="138">
        <f>'Acct Summary 7-8'!G13</f>
        <v>2244009</v>
      </c>
      <c r="C2608" s="2" t="s">
        <v>572</v>
      </c>
      <c r="D2608" s="2" t="str">
        <f t="shared" si="39"/>
        <v>Error?</v>
      </c>
    </row>
    <row r="2609" spans="1:4">
      <c r="A2609" s="5">
        <v>2548</v>
      </c>
      <c r="B2609" s="138">
        <f>'Acct Summary 7-8'!G14</f>
        <v>6293</v>
      </c>
      <c r="C2609" s="2" t="s">
        <v>572</v>
      </c>
      <c r="D2609" s="2" t="str">
        <f t="shared" si="39"/>
        <v>Error?</v>
      </c>
    </row>
    <row r="2610" spans="1:4">
      <c r="A2610" s="10">
        <v>2549</v>
      </c>
      <c r="D2610" s="2" t="str">
        <f t="shared" si="39"/>
        <v>OK</v>
      </c>
    </row>
    <row r="2611" spans="1:4">
      <c r="A2611" s="5">
        <v>2550</v>
      </c>
      <c r="B2611" s="138">
        <f>'Acct Summary 7-8'!G16</f>
        <v>0</v>
      </c>
      <c r="C2611" s="2" t="s">
        <v>572</v>
      </c>
      <c r="D2611" s="2" t="str">
        <f t="shared" si="39"/>
        <v>Error?</v>
      </c>
    </row>
    <row r="2612" spans="1:4">
      <c r="A2612" s="5">
        <v>2551</v>
      </c>
      <c r="B2612" s="138">
        <f>'Acct Summary 7-8'!G17</f>
        <v>3197264</v>
      </c>
      <c r="C2612" s="2" t="s">
        <v>572</v>
      </c>
      <c r="D2612" s="2" t="str">
        <f t="shared" si="39"/>
        <v>Error?</v>
      </c>
    </row>
    <row r="2613" spans="1:4">
      <c r="A2613" s="5">
        <v>2552</v>
      </c>
      <c r="B2613" s="138">
        <f>'Acct Summary 7-8'!G20</f>
        <v>604790</v>
      </c>
      <c r="C2613" s="2" t="s">
        <v>572</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7523289</v>
      </c>
      <c r="C2630" s="2" t="s">
        <v>572</v>
      </c>
      <c r="D2630" s="2" t="str">
        <f t="shared" si="40"/>
        <v>Error?</v>
      </c>
    </row>
    <row r="2631" spans="1:4">
      <c r="A2631" s="5">
        <v>2570</v>
      </c>
      <c r="B2631" s="138">
        <f>'Acct Summary 7-8'!E6</f>
        <v>0</v>
      </c>
      <c r="C2631" s="2" t="s">
        <v>572</v>
      </c>
      <c r="D2631" s="2" t="str">
        <f t="shared" si="40"/>
        <v>Error?</v>
      </c>
    </row>
    <row r="2632" spans="1:4">
      <c r="A2632" s="5">
        <v>2571</v>
      </c>
      <c r="B2632" s="138">
        <f>'Acct Summary 7-8'!E8</f>
        <v>7837365</v>
      </c>
      <c r="C2632" s="2" t="s">
        <v>572</v>
      </c>
      <c r="D2632" s="2" t="str">
        <f t="shared" si="40"/>
        <v>Error?</v>
      </c>
    </row>
    <row r="2633" spans="1:4">
      <c r="A2633" s="5">
        <v>2572</v>
      </c>
      <c r="B2633" s="138">
        <f>'Acct Summary 7-8'!E15</f>
        <v>0</v>
      </c>
      <c r="C2633" s="2" t="s">
        <v>572</v>
      </c>
      <c r="D2633" s="2" t="str">
        <f t="shared" si="40"/>
        <v>Error?</v>
      </c>
    </row>
    <row r="2634" spans="1:4">
      <c r="A2634" s="5">
        <v>2573</v>
      </c>
      <c r="B2634" s="138">
        <f>'Acct Summary 7-8'!E16</f>
        <v>8246060</v>
      </c>
      <c r="C2634" s="2" t="s">
        <v>572</v>
      </c>
      <c r="D2634" s="2" t="str">
        <f t="shared" si="40"/>
        <v>Error?</v>
      </c>
    </row>
    <row r="2635" spans="1:4">
      <c r="A2635" s="5">
        <v>2574</v>
      </c>
      <c r="B2635" s="138">
        <f>'Acct Summary 7-8'!E17</f>
        <v>8246060</v>
      </c>
      <c r="C2635" s="2" t="s">
        <v>572</v>
      </c>
      <c r="D2635" s="2" t="str">
        <f t="shared" si="40"/>
        <v>Error?</v>
      </c>
    </row>
    <row r="2636" spans="1:4">
      <c r="A2636" s="5">
        <v>2575</v>
      </c>
      <c r="B2636" s="138">
        <f>'Acct Summary 7-8'!E20</f>
        <v>-408695</v>
      </c>
      <c r="C2636" s="2" t="s">
        <v>572</v>
      </c>
      <c r="D2636" s="2" t="str">
        <f t="shared" si="40"/>
        <v>Error?</v>
      </c>
    </row>
    <row r="2637" spans="1:4">
      <c r="A2637" s="5">
        <v>2576</v>
      </c>
      <c r="B2637" s="138">
        <f>'Acct Summary 7-8'!E80</f>
        <v>0</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197153</v>
      </c>
      <c r="C2655" s="2" t="s">
        <v>572</v>
      </c>
      <c r="D2655" s="2" t="str">
        <f t="shared" si="40"/>
        <v>Error?</v>
      </c>
    </row>
    <row r="2656" spans="1:4">
      <c r="A2656" s="5">
        <v>2595</v>
      </c>
      <c r="B2656" s="138">
        <f>'Acct Summary 7-8'!H6</f>
        <v>0</v>
      </c>
      <c r="C2656" s="2" t="s">
        <v>572</v>
      </c>
      <c r="D2656" s="2" t="str">
        <f t="shared" si="40"/>
        <v>Error?</v>
      </c>
    </row>
    <row r="2657" spans="1:4">
      <c r="A2657" s="5">
        <v>2596</v>
      </c>
      <c r="B2657" s="138">
        <f>'Acct Summary 7-8'!H7</f>
        <v>0</v>
      </c>
      <c r="C2657" s="2" t="s">
        <v>572</v>
      </c>
      <c r="D2657" s="2" t="str">
        <f t="shared" si="40"/>
        <v>Error?</v>
      </c>
    </row>
    <row r="2658" spans="1:4">
      <c r="A2658" s="5">
        <v>2597</v>
      </c>
      <c r="B2658" s="138">
        <f>'Acct Summary 7-8'!H8</f>
        <v>197153</v>
      </c>
      <c r="C2658" s="2" t="s">
        <v>572</v>
      </c>
      <c r="D2658" s="2" t="str">
        <f t="shared" si="40"/>
        <v>Error?</v>
      </c>
    </row>
    <row r="2659" spans="1:4">
      <c r="A2659" s="5">
        <v>2598</v>
      </c>
      <c r="B2659" s="138">
        <f>'Acct Summary 7-8'!H13</f>
        <v>2023777</v>
      </c>
      <c r="C2659" s="2" t="s">
        <v>572</v>
      </c>
      <c r="D2659" s="2" t="str">
        <f t="shared" si="40"/>
        <v>Error?</v>
      </c>
    </row>
    <row r="2660" spans="1:4">
      <c r="A2660" s="5">
        <v>2599</v>
      </c>
      <c r="B2660" s="138">
        <f>'Acct Summary 7-8'!H15</f>
        <v>0</v>
      </c>
      <c r="C2660" s="2" t="s">
        <v>572</v>
      </c>
      <c r="D2660" s="2" t="str">
        <f t="shared" si="40"/>
        <v>Error?</v>
      </c>
    </row>
    <row r="2661" spans="1:4">
      <c r="A2661" s="5">
        <v>2600</v>
      </c>
      <c r="B2661" s="138">
        <f>'Acct Summary 7-8'!H17</f>
        <v>2023777</v>
      </c>
      <c r="C2661" s="2" t="s">
        <v>572</v>
      </c>
      <c r="D2661" s="2" t="str">
        <f t="shared" si="40"/>
        <v>Error?</v>
      </c>
    </row>
    <row r="2662" spans="1:4">
      <c r="A2662" s="5">
        <v>2601</v>
      </c>
      <c r="B2662" s="138">
        <f>'Acct Summary 7-8'!H20</f>
        <v>-1826624</v>
      </c>
      <c r="C2662" s="2" t="s">
        <v>572</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450</v>
      </c>
      <c r="D2723" s="2" t="str">
        <f t="shared" si="41"/>
        <v>Error?</v>
      </c>
    </row>
    <row r="2724" spans="1:4">
      <c r="A2724" s="5">
        <v>2663</v>
      </c>
      <c r="B2724" s="138">
        <f>'Expenditures 15-22'!K51</f>
        <v>450</v>
      </c>
      <c r="C2724" s="2" t="s">
        <v>572</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572</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572</v>
      </c>
      <c r="D2733" s="2" t="str">
        <f t="shared" si="41"/>
        <v>Error?</v>
      </c>
    </row>
    <row r="2734" spans="1:4">
      <c r="A2734" s="5">
        <v>2673</v>
      </c>
      <c r="B2734" s="138">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1800</v>
      </c>
      <c r="C2789" s="2" t="s">
        <v>572</v>
      </c>
      <c r="D2789" s="2" t="str">
        <f t="shared" si="42"/>
        <v>Error?</v>
      </c>
    </row>
    <row r="2790" spans="1:4">
      <c r="A2790" s="5">
        <v>2729</v>
      </c>
      <c r="B2790" s="138">
        <f>'Expenditures 15-22'!E102</f>
        <v>1800</v>
      </c>
      <c r="C2790" s="2" t="s">
        <v>572</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572</v>
      </c>
      <c r="D2795" s="2" t="str">
        <f t="shared" si="42"/>
        <v>Error?</v>
      </c>
    </row>
    <row r="2796" spans="1:4">
      <c r="A2796" s="5">
        <v>2735</v>
      </c>
      <c r="B2796" s="138">
        <f>'Expenditures 15-22'!K108</f>
        <v>0</v>
      </c>
      <c r="C2796" s="2" t="s">
        <v>572</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8">
        <f>'Expenditures 15-22'!K130</f>
        <v>0</v>
      </c>
      <c r="C2805" s="2" t="s">
        <v>572</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572</v>
      </c>
      <c r="D2809" s="2" t="str">
        <f t="shared" si="42"/>
        <v>OK</v>
      </c>
    </row>
    <row r="2810" spans="1:4">
      <c r="A2810" s="5">
        <v>2749</v>
      </c>
      <c r="B2810" s="138">
        <f>'Expenditures 15-22'!K144</f>
        <v>0</v>
      </c>
      <c r="C2810" s="2" t="s">
        <v>572</v>
      </c>
      <c r="D2810" s="2" t="str">
        <f t="shared" si="42"/>
        <v>Error?</v>
      </c>
    </row>
    <row r="2811" spans="1:4">
      <c r="A2811" s="5">
        <v>2750</v>
      </c>
      <c r="B2811" s="138">
        <f>'Expenditures 15-22'!K145</f>
        <v>0</v>
      </c>
      <c r="C2811" s="2" t="s">
        <v>572</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8">
        <f>'Acct Summary 7-8'!E50</f>
        <v>0</v>
      </c>
      <c r="D2817" s="2" t="str">
        <f t="shared" si="43"/>
        <v>Error?</v>
      </c>
    </row>
    <row r="2818" spans="1:4">
      <c r="A2818" s="5">
        <v>2757</v>
      </c>
      <c r="B2818" s="138">
        <f>'Expenditures 15-22'!K165</f>
        <v>0</v>
      </c>
      <c r="C2818" s="2" t="s">
        <v>572</v>
      </c>
      <c r="D2818" s="2" t="str">
        <f t="shared" si="43"/>
        <v>Error?</v>
      </c>
    </row>
    <row r="2819" spans="1:4">
      <c r="A2819" s="5">
        <v>2758</v>
      </c>
      <c r="B2819" s="138">
        <f>'Expenditures 15-22'!K166</f>
        <v>0</v>
      </c>
      <c r="C2819" s="2" t="s">
        <v>572</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572</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572</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572</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572</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572</v>
      </c>
      <c r="D2839" s="2" t="str">
        <f t="shared" si="43"/>
        <v>Error?</v>
      </c>
    </row>
    <row r="2840" spans="1:5">
      <c r="A2840" s="5">
        <v>2779</v>
      </c>
      <c r="B2840" s="138">
        <f>'Acct Summary 7-8'!F50</f>
        <v>0</v>
      </c>
      <c r="D2840" s="2" t="str">
        <f t="shared" si="43"/>
        <v>Error?</v>
      </c>
    </row>
    <row r="2841" spans="1:5">
      <c r="A2841" s="5">
        <v>2780</v>
      </c>
      <c r="B2841" s="138">
        <f>'Expenditures 15-22'!K201</f>
        <v>0</v>
      </c>
      <c r="C2841" s="2" t="s">
        <v>572</v>
      </c>
      <c r="D2841" s="2" t="str">
        <f t="shared" si="43"/>
        <v>Error?</v>
      </c>
    </row>
    <row r="2842" spans="1:5">
      <c r="A2842" s="5">
        <v>2781</v>
      </c>
      <c r="B2842" s="138">
        <f>'Expenditures 15-22'!K202</f>
        <v>0</v>
      </c>
      <c r="C2842" s="2" t="s">
        <v>572</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572</v>
      </c>
      <c r="D2845" s="2" t="str">
        <f t="shared" si="43"/>
        <v>Error?</v>
      </c>
    </row>
    <row r="2846" spans="1:5">
      <c r="A2846" s="5">
        <v>2785</v>
      </c>
      <c r="B2846" s="138">
        <f>'Expenditures 15-22'!K291</f>
        <v>0</v>
      </c>
      <c r="C2846" s="2" t="s">
        <v>572</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989252</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480072</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15104800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17767567</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1285240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1920732</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489491</v>
      </c>
      <c r="D2908" s="2" t="str">
        <f t="shared" si="44"/>
        <v>Error?</v>
      </c>
    </row>
    <row r="2909" spans="1:4">
      <c r="A2909" s="10">
        <v>2848</v>
      </c>
      <c r="D2909" s="2" t="str">
        <f t="shared" si="44"/>
        <v>OK</v>
      </c>
    </row>
    <row r="2910" spans="1:4">
      <c r="A2910" s="5">
        <v>2849</v>
      </c>
      <c r="B2910" s="138">
        <f>'Assets-Liab 5-6'!I34</f>
        <v>489491</v>
      </c>
      <c r="C2910" s="2" t="s">
        <v>572</v>
      </c>
      <c r="D2910" s="2" t="str">
        <f t="shared" si="44"/>
        <v>Error?</v>
      </c>
    </row>
    <row r="2911" spans="1:4">
      <c r="A2911" s="5">
        <v>2850</v>
      </c>
      <c r="B2911" s="138">
        <f>'Assets-Liab 5-6'!I38</f>
        <v>0</v>
      </c>
      <c r="D2911" s="2" t="str">
        <f t="shared" si="44"/>
        <v>Error?</v>
      </c>
    </row>
    <row r="2912" spans="1:4">
      <c r="A2912" s="5">
        <v>2851</v>
      </c>
      <c r="B2912" s="138">
        <f>'Assets-Liab 5-6'!I39</f>
        <v>17278076</v>
      </c>
      <c r="D2912" s="2" t="str">
        <f t="shared" si="44"/>
        <v>Error?</v>
      </c>
    </row>
    <row r="2913" spans="1:4">
      <c r="A2913" s="5">
        <v>2852</v>
      </c>
      <c r="B2913" s="138">
        <f>'Assets-Liab 5-6'!I41</f>
        <v>17767567</v>
      </c>
      <c r="C2913" s="2" t="s">
        <v>572</v>
      </c>
      <c r="D2913" s="2" t="str">
        <f t="shared" si="44"/>
        <v>Error?</v>
      </c>
    </row>
    <row r="2914" spans="1:4">
      <c r="A2914" s="5">
        <v>2853</v>
      </c>
      <c r="B2914" s="138">
        <f>'Assets-Liab 5-6'!L33</f>
        <v>1920732</v>
      </c>
      <c r="D2914" s="2" t="str">
        <f t="shared" si="44"/>
        <v>Error?</v>
      </c>
    </row>
    <row r="2915" spans="1:4">
      <c r="A2915" s="10">
        <v>2854</v>
      </c>
      <c r="D2915" s="2" t="str">
        <f t="shared" si="44"/>
        <v>OK</v>
      </c>
    </row>
    <row r="2916" spans="1:4">
      <c r="A2916" s="5">
        <v>2855</v>
      </c>
      <c r="B2916" s="138">
        <f>'Assets-Liab 5-6'!L34</f>
        <v>1920732</v>
      </c>
      <c r="C2916" s="2" t="s">
        <v>572</v>
      </c>
      <c r="D2916" s="2" t="str">
        <f t="shared" si="44"/>
        <v>Error?</v>
      </c>
    </row>
    <row r="2917" spans="1:4">
      <c r="A2917" s="5">
        <v>2856</v>
      </c>
      <c r="B2917" s="138">
        <f>'Assets-Liab 5-6'!L41</f>
        <v>1920732</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1800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1800</v>
      </c>
      <c r="C2973" s="2" t="s">
        <v>572</v>
      </c>
      <c r="D2973" s="2" t="str">
        <f t="shared" si="45"/>
        <v>Error?</v>
      </c>
    </row>
    <row r="2974" spans="1:4">
      <c r="A2974" s="5">
        <v>2913</v>
      </c>
      <c r="B2974" s="138">
        <f>'Expenditures 15-22'!K79</f>
        <v>0</v>
      </c>
      <c r="C2974" s="2" t="s">
        <v>572</v>
      </c>
      <c r="D2974" s="2" t="str">
        <f t="shared" si="45"/>
        <v>Error?</v>
      </c>
    </row>
    <row r="2975" spans="1:4">
      <c r="A2975" s="5">
        <v>2914</v>
      </c>
      <c r="B2975" s="138">
        <f>'Expenditures 15-22'!K80</f>
        <v>0</v>
      </c>
      <c r="C2975" s="2" t="s">
        <v>572</v>
      </c>
      <c r="D2975" s="2" t="str">
        <f t="shared" si="45"/>
        <v>Error?</v>
      </c>
    </row>
    <row r="2976" spans="1:4">
      <c r="A2976" s="5">
        <v>2915</v>
      </c>
      <c r="B2976" s="138">
        <f>'Expenditures 15-22'!K81</f>
        <v>0</v>
      </c>
      <c r="C2976" s="2" t="s">
        <v>572</v>
      </c>
      <c r="D2976" s="2" t="str">
        <f t="shared" si="45"/>
        <v>Error?</v>
      </c>
    </row>
    <row r="2977" spans="1:4">
      <c r="A2977" s="5">
        <v>2916</v>
      </c>
      <c r="B2977" s="138">
        <f>'Expenditures 15-22'!K82</f>
        <v>0</v>
      </c>
      <c r="C2977" s="2" t="s">
        <v>572</v>
      </c>
      <c r="D2977" s="2" t="str">
        <f t="shared" si="45"/>
        <v>Error?</v>
      </c>
    </row>
    <row r="2978" spans="1:4">
      <c r="A2978" s="5">
        <v>2917</v>
      </c>
      <c r="B2978" s="138">
        <f>'Expenditures 15-22'!K83</f>
        <v>0</v>
      </c>
      <c r="C2978" s="2" t="s">
        <v>572</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8">
        <f>'Expenditures 15-22'!K134</f>
        <v>0</v>
      </c>
      <c r="C2986" s="2" t="s">
        <v>572</v>
      </c>
      <c r="D2986" s="2" t="str">
        <f t="shared" si="45"/>
        <v>Error?</v>
      </c>
    </row>
    <row r="2987" spans="1:4">
      <c r="A2987" s="5">
        <v>2926</v>
      </c>
      <c r="B2987" s="138">
        <f>'Expenditures 15-22'!K135</f>
        <v>0</v>
      </c>
      <c r="C2987" s="2" t="s">
        <v>572</v>
      </c>
      <c r="D2987" s="2" t="str">
        <f t="shared" si="45"/>
        <v>Error?</v>
      </c>
    </row>
    <row r="2988" spans="1:4">
      <c r="A2988" s="5">
        <v>2927</v>
      </c>
      <c r="B2988" s="138">
        <f>'Expenditures 15-22'!K136</f>
        <v>0</v>
      </c>
      <c r="C2988" s="2" t="s">
        <v>572</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572</v>
      </c>
      <c r="D3007" s="2" t="str">
        <f t="shared" ref="D3007:D3070" si="46">IF(ISBLANK(B3007),"OK",IF(A3007-B3007=0,"OK","Error?"))</f>
        <v>Error?</v>
      </c>
    </row>
    <row r="3008" spans="1:4">
      <c r="A3008" s="5">
        <v>2947</v>
      </c>
      <c r="B3008" s="138">
        <f>'Expenditures 15-22'!K189</f>
        <v>0</v>
      </c>
      <c r="C3008" s="2" t="s">
        <v>572</v>
      </c>
      <c r="D3008" s="2" t="str">
        <f t="shared" si="46"/>
        <v>Error?</v>
      </c>
    </row>
    <row r="3009" spans="1:4">
      <c r="A3009" s="5">
        <v>2948</v>
      </c>
      <c r="B3009" s="138">
        <f>'Expenditures 15-22'!K190</f>
        <v>0</v>
      </c>
      <c r="C3009" s="2" t="s">
        <v>572</v>
      </c>
      <c r="D3009" s="2" t="str">
        <f t="shared" si="46"/>
        <v>Error?</v>
      </c>
    </row>
    <row r="3010" spans="1:4">
      <c r="A3010" s="5">
        <v>2949</v>
      </c>
      <c r="B3010" s="138">
        <f>'Expenditures 15-22'!K191</f>
        <v>0</v>
      </c>
      <c r="C3010" s="2" t="s">
        <v>572</v>
      </c>
      <c r="D3010" s="2" t="str">
        <f t="shared" si="46"/>
        <v>Error?</v>
      </c>
    </row>
    <row r="3011" spans="1:4">
      <c r="A3011" s="5">
        <v>2950</v>
      </c>
      <c r="B3011" s="138">
        <f>'Expenditures 15-22'!K192</f>
        <v>0</v>
      </c>
      <c r="C3011" s="2" t="s">
        <v>572</v>
      </c>
      <c r="D3011" s="2" t="str">
        <f t="shared" si="46"/>
        <v>Error?</v>
      </c>
    </row>
    <row r="3012" spans="1:4">
      <c r="A3012" s="5">
        <v>2951</v>
      </c>
      <c r="B3012" s="138">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0</v>
      </c>
      <c r="D3055" s="2" t="str">
        <f t="shared" si="46"/>
        <v>Error?</v>
      </c>
    </row>
    <row r="3056" spans="1:4">
      <c r="A3056" s="5">
        <v>2995</v>
      </c>
      <c r="B3056" s="138">
        <f>'Expenditures 15-22'!D10</f>
        <v>0</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0</v>
      </c>
      <c r="C3062" s="2" t="s">
        <v>572</v>
      </c>
      <c r="D3062" s="2" t="str">
        <f t="shared" si="46"/>
        <v>Error?</v>
      </c>
    </row>
    <row r="3063" spans="1:4">
      <c r="A3063" s="10">
        <v>3002</v>
      </c>
      <c r="D3063" s="2" t="str">
        <f t="shared" si="46"/>
        <v>OK</v>
      </c>
    </row>
    <row r="3064" spans="1:4">
      <c r="A3064" s="5">
        <v>3003</v>
      </c>
      <c r="B3064" s="138">
        <f>'Expenditures 15-22'!D219</f>
        <v>0</v>
      </c>
      <c r="D3064" s="2" t="str">
        <f t="shared" si="46"/>
        <v>Error?</v>
      </c>
    </row>
    <row r="3065" spans="1:4">
      <c r="A3065" s="5">
        <v>3004</v>
      </c>
      <c r="B3065" s="138">
        <f>'Expenditures 15-22'!K219</f>
        <v>0</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1273500</v>
      </c>
      <c r="C3225" s="2" t="s">
        <v>572</v>
      </c>
      <c r="D3225" s="2" t="str">
        <f t="shared" si="49"/>
        <v>Error?</v>
      </c>
    </row>
    <row r="3226" spans="1:4">
      <c r="A3226" s="5">
        <v>3165</v>
      </c>
      <c r="B3226" s="138">
        <f>'Acct Summary 7-8'!I8</f>
        <v>1273500</v>
      </c>
      <c r="C3226" s="2" t="s">
        <v>572</v>
      </c>
      <c r="D3226" s="2" t="str">
        <f t="shared" si="49"/>
        <v>Error?</v>
      </c>
    </row>
    <row r="3227" spans="1:4">
      <c r="A3227" s="5">
        <v>3166</v>
      </c>
      <c r="B3227" s="138">
        <f>'Acct Summary 7-8'!I20</f>
        <v>1273500</v>
      </c>
      <c r="C3227" s="2" t="s">
        <v>572</v>
      </c>
      <c r="D3227" s="2" t="str">
        <f t="shared" si="49"/>
        <v>Error?</v>
      </c>
    </row>
    <row r="3228" spans="1:4">
      <c r="A3228" s="5">
        <v>3167</v>
      </c>
      <c r="B3228" s="138">
        <f>'Acct Summary 7-8'!C43</f>
        <v>0</v>
      </c>
      <c r="D3228" s="2" t="str">
        <f t="shared" si="49"/>
        <v>Error?</v>
      </c>
    </row>
    <row r="3229" spans="1:4">
      <c r="A3229" s="5">
        <v>3168</v>
      </c>
      <c r="B3229" s="138">
        <f>'Acct Summary 7-8'!C44</f>
        <v>5200</v>
      </c>
      <c r="C3229" s="2" t="s">
        <v>572</v>
      </c>
      <c r="D3229" s="2" t="str">
        <f t="shared" si="49"/>
        <v>Error?</v>
      </c>
    </row>
    <row r="3230" spans="1:4">
      <c r="A3230" s="5">
        <v>3169</v>
      </c>
      <c r="B3230" s="138">
        <f>'Acct Summary 7-8'!C75</f>
        <v>0</v>
      </c>
      <c r="D3230" s="2" t="str">
        <f t="shared" si="49"/>
        <v>Error?</v>
      </c>
    </row>
    <row r="3231" spans="1:4">
      <c r="A3231" s="5">
        <v>3170</v>
      </c>
      <c r="B3231" s="138">
        <f>'Acct Summary 7-8'!C76</f>
        <v>420380</v>
      </c>
      <c r="C3231" s="2" t="s">
        <v>572</v>
      </c>
      <c r="D3231" s="2" t="str">
        <f t="shared" si="49"/>
        <v>Error?</v>
      </c>
    </row>
    <row r="3232" spans="1:4">
      <c r="A3232" s="5">
        <v>3171</v>
      </c>
      <c r="B3232" s="138">
        <f>'Acct Summary 7-8'!C77</f>
        <v>-415180</v>
      </c>
      <c r="C3232" s="2" t="s">
        <v>572</v>
      </c>
      <c r="D3232" s="2" t="str">
        <f t="shared" si="49"/>
        <v>Error?</v>
      </c>
    </row>
    <row r="3233" spans="1:4">
      <c r="A3233" s="5">
        <v>3172</v>
      </c>
      <c r="B3233" s="138">
        <f>'Acct Summary 7-8'!C78</f>
        <v>11969624</v>
      </c>
      <c r="C3233" s="2" t="s">
        <v>572</v>
      </c>
      <c r="D3233" s="2" t="str">
        <f t="shared" si="49"/>
        <v>Error?</v>
      </c>
    </row>
    <row r="3234" spans="1:4">
      <c r="A3234" s="5">
        <v>3173</v>
      </c>
      <c r="B3234" s="138">
        <f>'Acct Summary 7-8'!D43</f>
        <v>0</v>
      </c>
      <c r="D3234" s="2" t="str">
        <f t="shared" si="49"/>
        <v>Error?</v>
      </c>
    </row>
    <row r="3235" spans="1:4">
      <c r="A3235" s="5">
        <v>3174</v>
      </c>
      <c r="B3235" s="138">
        <f>'Acct Summary 7-8'!D44</f>
        <v>0</v>
      </c>
      <c r="C3235" s="2" t="s">
        <v>572</v>
      </c>
      <c r="D3235" s="2" t="str">
        <f t="shared" si="49"/>
        <v>Error?</v>
      </c>
    </row>
    <row r="3236" spans="1:4">
      <c r="A3236" s="5">
        <v>3175</v>
      </c>
      <c r="B3236" s="138">
        <f>'Acct Summary 7-8'!D75</f>
        <v>0</v>
      </c>
      <c r="D3236" s="2" t="str">
        <f t="shared" si="49"/>
        <v>Error?</v>
      </c>
    </row>
    <row r="3237" spans="1:4">
      <c r="A3237" s="5">
        <v>3176</v>
      </c>
      <c r="B3237" s="138">
        <f>'Acct Summary 7-8'!D76</f>
        <v>0</v>
      </c>
      <c r="C3237" s="2" t="s">
        <v>572</v>
      </c>
      <c r="D3237" s="2" t="str">
        <f t="shared" si="49"/>
        <v>Error?</v>
      </c>
    </row>
    <row r="3238" spans="1:4">
      <c r="A3238" s="5">
        <v>3177</v>
      </c>
      <c r="B3238" s="138">
        <f>'Acct Summary 7-8'!D77</f>
        <v>0</v>
      </c>
      <c r="C3238" s="2" t="s">
        <v>572</v>
      </c>
      <c r="D3238" s="2" t="str">
        <f t="shared" si="49"/>
        <v>Error?</v>
      </c>
    </row>
    <row r="3239" spans="1:4">
      <c r="A3239" s="5">
        <v>3178</v>
      </c>
      <c r="B3239" s="138">
        <f>'Acct Summary 7-8'!D78</f>
        <v>1271355</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46675</v>
      </c>
      <c r="C3252" s="2" t="s">
        <v>572</v>
      </c>
      <c r="D3252" s="2" t="str">
        <f t="shared" si="49"/>
        <v>Error?</v>
      </c>
    </row>
    <row r="3253" spans="1:4">
      <c r="A3253" s="5">
        <v>3192</v>
      </c>
      <c r="B3253" s="138">
        <f>'Acct Summary 7-8'!F75</f>
        <v>0</v>
      </c>
      <c r="D3253" s="2" t="str">
        <f t="shared" si="49"/>
        <v>Error?</v>
      </c>
    </row>
    <row r="3254" spans="1:4">
      <c r="A3254" s="5">
        <v>3193</v>
      </c>
      <c r="B3254" s="138">
        <f>'Acct Summary 7-8'!F76</f>
        <v>0</v>
      </c>
      <c r="C3254" s="2" t="s">
        <v>572</v>
      </c>
      <c r="D3254" s="2" t="str">
        <f t="shared" si="49"/>
        <v>Error?</v>
      </c>
    </row>
    <row r="3255" spans="1:4">
      <c r="A3255" s="5">
        <v>3194</v>
      </c>
      <c r="B3255" s="138">
        <f>'Acct Summary 7-8'!F77</f>
        <v>46675</v>
      </c>
      <c r="C3255" s="2" t="s">
        <v>572</v>
      </c>
      <c r="D3255" s="2" t="str">
        <f t="shared" si="49"/>
        <v>Error?</v>
      </c>
    </row>
    <row r="3256" spans="1:4">
      <c r="A3256" s="5">
        <v>3195</v>
      </c>
      <c r="B3256" s="138">
        <f>'Acct Summary 7-8'!F78</f>
        <v>771852</v>
      </c>
      <c r="C3256" s="2" t="s">
        <v>572</v>
      </c>
      <c r="D3256" s="2" t="str">
        <f t="shared" si="49"/>
        <v>Error?</v>
      </c>
    </row>
    <row r="3257" spans="1:4">
      <c r="A3257" s="5">
        <v>3196</v>
      </c>
      <c r="B3257" s="138">
        <f>'Acct Summary 7-8'!G43</f>
        <v>0</v>
      </c>
      <c r="D3257" s="2" t="str">
        <f t="shared" si="49"/>
        <v>Error?</v>
      </c>
    </row>
    <row r="3258" spans="1:4">
      <c r="A3258" s="5">
        <v>3197</v>
      </c>
      <c r="B3258" s="138">
        <f>'Acct Summary 7-8'!G44</f>
        <v>0</v>
      </c>
      <c r="C3258" s="2" t="s">
        <v>572</v>
      </c>
      <c r="D3258" s="2" t="str">
        <f t="shared" si="49"/>
        <v>Error?</v>
      </c>
    </row>
    <row r="3259" spans="1:4">
      <c r="A3259" s="5">
        <v>3198</v>
      </c>
      <c r="B3259" s="138">
        <f>'Acct Summary 7-8'!G50</f>
        <v>0</v>
      </c>
      <c r="D3259" s="2" t="str">
        <f t="shared" si="49"/>
        <v>Error?</v>
      </c>
    </row>
    <row r="3260" spans="1:4">
      <c r="A3260" s="5">
        <v>3199</v>
      </c>
      <c r="B3260" s="138">
        <f>'Acct Summary 7-8'!G76</f>
        <v>0</v>
      </c>
      <c r="C3260" s="2" t="s">
        <v>572</v>
      </c>
      <c r="D3260" s="2" t="str">
        <f t="shared" si="49"/>
        <v>Error?</v>
      </c>
    </row>
    <row r="3261" spans="1:4">
      <c r="A3261" s="5">
        <v>3200</v>
      </c>
      <c r="B3261" s="138">
        <f>'Acct Summary 7-8'!G77</f>
        <v>0</v>
      </c>
      <c r="C3261" s="2" t="s">
        <v>572</v>
      </c>
      <c r="D3261" s="2" t="str">
        <f t="shared" si="49"/>
        <v>Error?</v>
      </c>
    </row>
    <row r="3262" spans="1:4">
      <c r="A3262" s="5">
        <v>3201</v>
      </c>
      <c r="B3262" s="138">
        <f>'Acct Summary 7-8'!G78</f>
        <v>604790</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420380</v>
      </c>
      <c r="C3274" s="2" t="s">
        <v>572</v>
      </c>
      <c r="D3274" s="2" t="str">
        <f t="shared" si="50"/>
        <v>Error?</v>
      </c>
    </row>
    <row r="3275" spans="1:4">
      <c r="A3275" s="5">
        <v>3214</v>
      </c>
      <c r="B3275" s="138">
        <f>'Acct Summary 7-8'!E75</f>
        <v>0</v>
      </c>
      <c r="D3275" s="2" t="str">
        <f t="shared" si="50"/>
        <v>Error?</v>
      </c>
    </row>
    <row r="3276" spans="1:4">
      <c r="A3276" s="5">
        <v>3215</v>
      </c>
      <c r="B3276" s="138">
        <f>'Acct Summary 7-8'!E76</f>
        <v>0</v>
      </c>
      <c r="C3276" s="2" t="s">
        <v>572</v>
      </c>
      <c r="D3276" s="2" t="str">
        <f t="shared" si="50"/>
        <v>Error?</v>
      </c>
    </row>
    <row r="3277" spans="1:4">
      <c r="A3277" s="5">
        <v>3216</v>
      </c>
      <c r="B3277" s="138">
        <f>'Acct Summary 7-8'!E77</f>
        <v>420380</v>
      </c>
      <c r="C3277" s="2" t="s">
        <v>572</v>
      </c>
      <c r="D3277" s="2" t="str">
        <f t="shared" si="50"/>
        <v>Error?</v>
      </c>
    </row>
    <row r="3278" spans="1:4">
      <c r="A3278" s="5">
        <v>3217</v>
      </c>
      <c r="B3278" s="138">
        <f>'Acct Summary 7-8'!E78</f>
        <v>11685</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572</v>
      </c>
      <c r="D3296" s="2" t="str">
        <f t="shared" si="50"/>
        <v>Error?</v>
      </c>
    </row>
    <row r="3297" spans="1:4">
      <c r="A3297" s="5">
        <v>3236</v>
      </c>
      <c r="B3297" s="138">
        <f>'Acct Summary 7-8'!H75</f>
        <v>0</v>
      </c>
      <c r="D3297" s="2" t="str">
        <f t="shared" si="50"/>
        <v>Error?</v>
      </c>
    </row>
    <row r="3298" spans="1:4">
      <c r="A3298" s="5">
        <v>3237</v>
      </c>
      <c r="B3298" s="138">
        <f>'Acct Summary 7-8'!H76</f>
        <v>0</v>
      </c>
      <c r="C3298" s="2" t="s">
        <v>572</v>
      </c>
      <c r="D3298" s="2" t="str">
        <f t="shared" si="50"/>
        <v>Error?</v>
      </c>
    </row>
    <row r="3299" spans="1:4">
      <c r="A3299" s="5">
        <v>3238</v>
      </c>
      <c r="B3299" s="138">
        <f>'Acct Summary 7-8'!H77</f>
        <v>0</v>
      </c>
      <c r="C3299" s="2" t="s">
        <v>572</v>
      </c>
      <c r="D3299" s="2" t="str">
        <f t="shared" si="50"/>
        <v>Error?</v>
      </c>
    </row>
    <row r="3300" spans="1:4">
      <c r="A3300" s="5">
        <v>3239</v>
      </c>
      <c r="B3300" s="138">
        <f>'Acct Summary 7-8'!H78</f>
        <v>-1826624</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572</v>
      </c>
      <c r="D3317" s="2" t="str">
        <f t="shared" si="50"/>
        <v>Error?</v>
      </c>
    </row>
    <row r="3318" spans="1:4">
      <c r="A3318" s="5">
        <v>3257</v>
      </c>
      <c r="B3318" s="138">
        <f>'Acct Summary 7-8'!I76</f>
        <v>0</v>
      </c>
      <c r="C3318" s="2" t="s">
        <v>572</v>
      </c>
      <c r="D3318" s="2" t="str">
        <f t="shared" si="50"/>
        <v>Error?</v>
      </c>
    </row>
    <row r="3319" spans="1:4">
      <c r="A3319" s="5">
        <v>3258</v>
      </c>
      <c r="B3319" s="138">
        <f>'Acct Summary 7-8'!I77</f>
        <v>0</v>
      </c>
      <c r="C3319" s="2" t="s">
        <v>572</v>
      </c>
      <c r="D3319" s="2" t="str">
        <f t="shared" si="50"/>
        <v>Error?</v>
      </c>
    </row>
    <row r="3320" spans="1:4">
      <c r="A3320" s="5">
        <v>3259</v>
      </c>
      <c r="B3320" s="138">
        <f>'Acct Summary 7-8'!I78</f>
        <v>1273500</v>
      </c>
      <c r="C3320" s="2" t="s">
        <v>572</v>
      </c>
      <c r="D3320" s="2" t="str">
        <f t="shared" si="50"/>
        <v>Error?</v>
      </c>
    </row>
    <row r="3321" spans="1:4">
      <c r="A3321" s="5">
        <v>3260</v>
      </c>
      <c r="B3321" s="138">
        <f>'Acct Summary 7-8'!I79</f>
        <v>16004576</v>
      </c>
      <c r="D3321" s="2" t="str">
        <f t="shared" si="50"/>
        <v>Error?</v>
      </c>
    </row>
    <row r="3322" spans="1:4">
      <c r="A3322" s="5">
        <v>3261</v>
      </c>
      <c r="B3322" s="138">
        <f>'Acct Summary 7-8'!I80</f>
        <v>0</v>
      </c>
      <c r="D3322" s="2" t="str">
        <f t="shared" si="50"/>
        <v>Error?</v>
      </c>
    </row>
    <row r="3323" spans="1:4">
      <c r="A3323" s="5">
        <v>3262</v>
      </c>
      <c r="B3323" s="138">
        <f>'Acct Summary 7-8'!I81</f>
        <v>17278076</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8611027</v>
      </c>
      <c r="D3366" s="2" t="str">
        <f t="shared" si="51"/>
        <v>Error?</v>
      </c>
    </row>
    <row r="3367" spans="1:4">
      <c r="A3367" s="5">
        <v>3306</v>
      </c>
      <c r="B3367" s="138">
        <f>'Expenditures 15-22'!C19</f>
        <v>0</v>
      </c>
      <c r="D3367" s="2" t="str">
        <f t="shared" si="51"/>
        <v>Error?</v>
      </c>
    </row>
    <row r="3368" spans="1:4">
      <c r="A3368" s="5">
        <v>3307</v>
      </c>
      <c r="B3368" s="138">
        <f>'Expenditures 15-22'!D8</f>
        <v>1894799</v>
      </c>
      <c r="D3368" s="2" t="str">
        <f t="shared" si="51"/>
        <v>Error?</v>
      </c>
    </row>
    <row r="3369" spans="1:4">
      <c r="A3369" s="5">
        <v>3308</v>
      </c>
      <c r="B3369" s="138">
        <f>'Expenditures 15-22'!D19</f>
        <v>0</v>
      </c>
      <c r="D3369" s="2" t="str">
        <f t="shared" si="51"/>
        <v>Error?</v>
      </c>
    </row>
    <row r="3370" spans="1:4">
      <c r="A3370" s="5">
        <v>3309</v>
      </c>
      <c r="B3370" s="138">
        <f>'Expenditures 15-22'!E8</f>
        <v>84614</v>
      </c>
      <c r="D3370" s="2" t="str">
        <f t="shared" si="51"/>
        <v>Error?</v>
      </c>
    </row>
    <row r="3371" spans="1:4">
      <c r="A3371" s="5">
        <v>3310</v>
      </c>
      <c r="B3371" s="138">
        <f>'Expenditures 15-22'!E19</f>
        <v>0</v>
      </c>
      <c r="D3371" s="2" t="str">
        <f t="shared" si="51"/>
        <v>Error?</v>
      </c>
    </row>
    <row r="3372" spans="1:4">
      <c r="A3372" s="5">
        <v>3311</v>
      </c>
      <c r="B3372" s="138">
        <f>'Expenditures 15-22'!F8</f>
        <v>24803</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19</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10616680</v>
      </c>
      <c r="C3380" s="2" t="s">
        <v>572</v>
      </c>
      <c r="D3380" s="2" t="str">
        <f t="shared" si="51"/>
        <v>Error?</v>
      </c>
    </row>
    <row r="3381" spans="1:4">
      <c r="A3381" s="5">
        <v>3320</v>
      </c>
      <c r="B3381" s="138">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531907</v>
      </c>
      <c r="D3387" s="2" t="str">
        <f t="shared" si="51"/>
        <v>Error?</v>
      </c>
    </row>
    <row r="3388" spans="1:4">
      <c r="A3388" s="5">
        <v>3327</v>
      </c>
      <c r="B3388" s="138">
        <f>'Expenditures 15-22'!D217</f>
        <v>284077</v>
      </c>
      <c r="D3388" s="2" t="str">
        <f t="shared" si="51"/>
        <v>Error?</v>
      </c>
    </row>
    <row r="3389" spans="1:4">
      <c r="A3389" s="5">
        <v>3328</v>
      </c>
      <c r="B3389" s="138">
        <f>'Expenditures 15-22'!D228</f>
        <v>0</v>
      </c>
      <c r="D3389" s="2" t="str">
        <f t="shared" si="51"/>
        <v>Error?</v>
      </c>
    </row>
    <row r="3390" spans="1:4">
      <c r="A3390" s="5">
        <v>3329</v>
      </c>
      <c r="B3390" s="138">
        <f>'Expenditures 15-22'!K215</f>
        <v>531907</v>
      </c>
      <c r="C3390" s="2" t="s">
        <v>572</v>
      </c>
      <c r="D3390" s="2" t="str">
        <f t="shared" si="51"/>
        <v>Error?</v>
      </c>
    </row>
    <row r="3391" spans="1:4">
      <c r="A3391" s="5">
        <v>3330</v>
      </c>
      <c r="B3391" s="138">
        <f>'Expenditures 15-22'!K217</f>
        <v>284077</v>
      </c>
      <c r="C3391" s="2" t="s">
        <v>572</v>
      </c>
      <c r="D3391" s="2" t="str">
        <f t="shared" ref="D3391:D3454" si="52">IF(ISBLANK(B3391),"OK",IF(A3391-B3391=0,"OK","Error?"))</f>
        <v>Error?</v>
      </c>
    </row>
    <row r="3392" spans="1:4">
      <c r="A3392" s="5">
        <v>3331</v>
      </c>
      <c r="B3392" s="138">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572</v>
      </c>
      <c r="D3405" s="2" t="str">
        <f t="shared" si="52"/>
        <v>Error?</v>
      </c>
    </row>
    <row r="3406" spans="1:4">
      <c r="A3406" s="5">
        <v>3345</v>
      </c>
      <c r="B3406" s="138">
        <f>'Acct Summary 7-8'!D5</f>
        <v>0</v>
      </c>
      <c r="C3406" s="2" t="s">
        <v>572</v>
      </c>
      <c r="D3406" s="2" t="str">
        <f t="shared" si="52"/>
        <v>Error?</v>
      </c>
    </row>
    <row r="3407" spans="1:4">
      <c r="A3407" s="10">
        <v>3346</v>
      </c>
      <c r="D3407" s="2" t="str">
        <f t="shared" si="52"/>
        <v>OK</v>
      </c>
    </row>
    <row r="3408" spans="1:4">
      <c r="A3408" s="5">
        <v>3347</v>
      </c>
      <c r="B3408" s="138">
        <f>'Acct Summary 7-8'!F5</f>
        <v>0</v>
      </c>
      <c r="C3408" s="2" t="s">
        <v>572</v>
      </c>
      <c r="D3408" s="2" t="str">
        <f t="shared" si="52"/>
        <v>Error?</v>
      </c>
    </row>
    <row r="3409" spans="1:4">
      <c r="A3409" s="5">
        <v>3348</v>
      </c>
      <c r="B3409" s="138">
        <f>'Acct Summary 7-8'!G5</f>
        <v>0</v>
      </c>
      <c r="C3409" s="2" t="s">
        <v>572</v>
      </c>
      <c r="D3409" s="2" t="str">
        <f t="shared" si="52"/>
        <v>Error?</v>
      </c>
    </row>
    <row r="3410" spans="1:4">
      <c r="A3410" s="10">
        <v>3349</v>
      </c>
      <c r="D3410" s="2" t="str">
        <f t="shared" si="52"/>
        <v>OK</v>
      </c>
    </row>
    <row r="3411" spans="1:4">
      <c r="A3411" s="5">
        <v>3350</v>
      </c>
      <c r="B3411" s="138">
        <f>'Assets-Liab 5-6'!C4</f>
        <v>11233230</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107743</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3179401</v>
      </c>
      <c r="D3417" s="2" t="str">
        <f t="shared" si="52"/>
        <v>Error?</v>
      </c>
    </row>
    <row r="3418" spans="1:4">
      <c r="A3418" s="10">
        <v>3357</v>
      </c>
      <c r="D3418" s="2" t="str">
        <f t="shared" si="52"/>
        <v>OK</v>
      </c>
    </row>
    <row r="3419" spans="1:4">
      <c r="A3419" s="5">
        <v>3358</v>
      </c>
      <c r="B3419" s="138">
        <f>'Assets-Liab 5-6'!F4</f>
        <v>528173</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3438254</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2304437</v>
      </c>
      <c r="D3425" s="2" t="str">
        <f t="shared" si="52"/>
        <v>Error?</v>
      </c>
    </row>
    <row r="3426" spans="1:4">
      <c r="A3426" s="10">
        <v>3365</v>
      </c>
      <c r="D3426" s="2" t="str">
        <f t="shared" si="52"/>
        <v>OK</v>
      </c>
    </row>
    <row r="3427" spans="1:4">
      <c r="A3427" s="5">
        <v>3366</v>
      </c>
      <c r="B3427" s="138">
        <f>'Assets-Liab 5-6'!I4</f>
        <v>2161846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631857</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8">
        <f>'Tax Sched 23'!B16</f>
        <v>1920832</v>
      </c>
      <c r="C3446" s="2" t="s">
        <v>572</v>
      </c>
      <c r="D3446" s="2" t="str">
        <f t="shared" si="52"/>
        <v>Error?</v>
      </c>
    </row>
    <row r="3447" spans="1:4">
      <c r="A3447" s="5">
        <v>3386</v>
      </c>
      <c r="B3447" s="138">
        <f>'Tax Sched 23'!D16</f>
        <v>1023403</v>
      </c>
      <c r="C3447" s="2" t="s">
        <v>572</v>
      </c>
      <c r="D3447" s="2" t="str">
        <f t="shared" si="52"/>
        <v>Error?</v>
      </c>
    </row>
    <row r="3448" spans="1:4">
      <c r="A3448" s="5">
        <v>3387</v>
      </c>
      <c r="B3448" s="138">
        <f>'Tax Sched 23'!C16</f>
        <v>897429</v>
      </c>
      <c r="D3448" s="2" t="str">
        <f t="shared" si="52"/>
        <v>Error?</v>
      </c>
    </row>
    <row r="3449" spans="1:4">
      <c r="A3449" s="5">
        <v>3388</v>
      </c>
      <c r="B3449" s="138">
        <f>'Tax Sched 23'!F16</f>
        <v>881333</v>
      </c>
      <c r="C3449" s="2" t="s">
        <v>572</v>
      </c>
      <c r="D3449" s="2" t="str">
        <f t="shared" si="52"/>
        <v>Error?</v>
      </c>
    </row>
    <row r="3450" spans="1:4">
      <c r="A3450" s="5">
        <v>3389</v>
      </c>
      <c r="B3450" s="138">
        <f>'Tax Sched 23'!E16</f>
        <v>1778762</v>
      </c>
      <c r="D3450" s="2" t="str">
        <f t="shared" si="52"/>
        <v>Error?</v>
      </c>
    </row>
    <row r="3451" spans="1:4">
      <c r="A3451" s="5">
        <v>3390</v>
      </c>
      <c r="B3451" s="138">
        <f>'Cap Outlay Deprec 26'!C15</f>
        <v>3903446</v>
      </c>
      <c r="D3451" s="2" t="str">
        <f t="shared" si="52"/>
        <v>Error?</v>
      </c>
    </row>
    <row r="3452" spans="1:4">
      <c r="A3452" s="5">
        <v>3391</v>
      </c>
      <c r="B3452" s="138">
        <f>'Cap Outlay Deprec 26'!D15</f>
        <v>2118896</v>
      </c>
      <c r="D3452" s="2" t="str">
        <f t="shared" si="52"/>
        <v>Error?</v>
      </c>
    </row>
    <row r="3453" spans="1:4">
      <c r="A3453" s="5">
        <v>3392</v>
      </c>
      <c r="B3453" s="138">
        <f>'Cap Outlay Deprec 26'!E15</f>
        <v>5033090</v>
      </c>
      <c r="D3453" s="2" t="str">
        <f t="shared" si="52"/>
        <v>Error?</v>
      </c>
    </row>
    <row r="3454" spans="1:4">
      <c r="A3454" s="5">
        <v>3393</v>
      </c>
      <c r="B3454" s="138">
        <f>'Cap Outlay Deprec 26'!F15</f>
        <v>989252</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989252</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572</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5200</v>
      </c>
      <c r="D3530" s="2" t="str">
        <f t="shared" si="54"/>
        <v>Error?</v>
      </c>
    </row>
    <row r="3531" spans="1:4">
      <c r="A3531" s="5">
        <v>3470</v>
      </c>
      <c r="B3531" s="138">
        <f>'Acct Summary 7-8'!D36</f>
        <v>0</v>
      </c>
      <c r="D3531" s="2" t="str">
        <f t="shared" si="54"/>
        <v>Error?</v>
      </c>
    </row>
    <row r="3532" spans="1:4">
      <c r="A3532" s="5">
        <v>3471</v>
      </c>
      <c r="B3532" s="138">
        <f>'Acct Summary 7-8'!F36</f>
        <v>46675</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0</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0</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572</v>
      </c>
      <c r="D3565" s="2" t="str">
        <f t="shared" si="54"/>
        <v>Error?</v>
      </c>
    </row>
    <row r="3566" spans="1:4">
      <c r="A3566" s="5">
        <v>3505</v>
      </c>
      <c r="B3566" s="138">
        <f>'Assets-Liab 5-6'!K38</f>
        <v>0</v>
      </c>
      <c r="D3566" s="2" t="str">
        <f t="shared" si="54"/>
        <v>Error?</v>
      </c>
    </row>
    <row r="3567" spans="1:4">
      <c r="A3567" s="5">
        <v>3506</v>
      </c>
      <c r="B3567" s="138">
        <f>'Assets-Liab 5-6'!K39</f>
        <v>0</v>
      </c>
      <c r="D3567" s="2" t="str">
        <f t="shared" si="54"/>
        <v>Error?</v>
      </c>
    </row>
    <row r="3568" spans="1:4">
      <c r="A3568" s="5">
        <v>3507</v>
      </c>
      <c r="B3568" s="138">
        <f>'Assets-Liab 5-6'!K41</f>
        <v>0</v>
      </c>
      <c r="C3568" s="2" t="s">
        <v>572</v>
      </c>
      <c r="D3568" s="2" t="str">
        <f t="shared" si="54"/>
        <v>Error?</v>
      </c>
    </row>
    <row r="3569" spans="1:4">
      <c r="A3569" s="5">
        <v>3508</v>
      </c>
      <c r="B3569" s="138">
        <f>'Acct Summary 7-8'!K4</f>
        <v>0</v>
      </c>
      <c r="C3569" s="2" t="s">
        <v>572</v>
      </c>
      <c r="D3569" s="2" t="str">
        <f t="shared" si="54"/>
        <v>Error?</v>
      </c>
    </row>
    <row r="3570" spans="1:4">
      <c r="A3570" s="5">
        <v>3509</v>
      </c>
      <c r="B3570" s="138">
        <f>'Acct Summary 7-8'!K6</f>
        <v>0</v>
      </c>
      <c r="C3570" s="2" t="s">
        <v>572</v>
      </c>
      <c r="D3570" s="2" t="str">
        <f t="shared" si="54"/>
        <v>Error?</v>
      </c>
    </row>
    <row r="3571" spans="1:4">
      <c r="A3571" s="5">
        <v>3510</v>
      </c>
      <c r="B3571" s="138">
        <f>'Acct Summary 7-8'!K8</f>
        <v>0</v>
      </c>
      <c r="C3571" s="2" t="s">
        <v>572</v>
      </c>
      <c r="D3571" s="2" t="str">
        <f t="shared" si="54"/>
        <v>Error?</v>
      </c>
    </row>
    <row r="3572" spans="1:4">
      <c r="A3572" s="5">
        <v>3511</v>
      </c>
      <c r="B3572" s="138">
        <f>'Acct Summary 7-8'!K13</f>
        <v>0</v>
      </c>
      <c r="C3572" s="2" t="s">
        <v>572</v>
      </c>
      <c r="D3572" s="2" t="str">
        <f t="shared" si="54"/>
        <v>Error?</v>
      </c>
    </row>
    <row r="3573" spans="1:4">
      <c r="A3573" s="5">
        <v>3512</v>
      </c>
      <c r="B3573" s="138">
        <f>'Acct Summary 7-8'!K15</f>
        <v>0</v>
      </c>
      <c r="C3573" s="2" t="s">
        <v>572</v>
      </c>
      <c r="D3573" s="2" t="str">
        <f t="shared" si="54"/>
        <v>Error?</v>
      </c>
    </row>
    <row r="3574" spans="1:4">
      <c r="A3574" s="5">
        <v>3513</v>
      </c>
      <c r="B3574" s="138">
        <f>'Acct Summary 7-8'!K16</f>
        <v>0</v>
      </c>
      <c r="C3574" s="2" t="s">
        <v>572</v>
      </c>
      <c r="D3574" s="2" t="str">
        <f t="shared" si="54"/>
        <v>Error?</v>
      </c>
    </row>
    <row r="3575" spans="1:4">
      <c r="A3575" s="5">
        <v>3514</v>
      </c>
      <c r="B3575" s="138">
        <f>'Acct Summary 7-8'!K17</f>
        <v>0</v>
      </c>
      <c r="C3575" s="2" t="s">
        <v>572</v>
      </c>
      <c r="D3575" s="2" t="str">
        <f t="shared" si="54"/>
        <v>Error?</v>
      </c>
    </row>
    <row r="3576" spans="1:4">
      <c r="A3576" s="5">
        <v>3515</v>
      </c>
      <c r="B3576" s="138">
        <f>'Acct Summary 7-8'!K20</f>
        <v>0</v>
      </c>
      <c r="C3576" s="2" t="s">
        <v>572</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572</v>
      </c>
      <c r="D3584" s="2" t="str">
        <f t="shared" si="55"/>
        <v>Error?</v>
      </c>
    </row>
    <row r="3585" spans="1:4">
      <c r="A3585" s="12">
        <v>3524</v>
      </c>
      <c r="B3585" s="138">
        <f>'Acct Summary 7-8'!K75</f>
        <v>0</v>
      </c>
      <c r="D3585" s="2" t="str">
        <f t="shared" si="55"/>
        <v>Error?</v>
      </c>
    </row>
    <row r="3586" spans="1:4">
      <c r="A3586" s="5">
        <v>3525</v>
      </c>
      <c r="B3586" s="138">
        <f>'Acct Summary 7-8'!K76</f>
        <v>0</v>
      </c>
      <c r="C3586" s="2" t="s">
        <v>572</v>
      </c>
      <c r="D3586" s="2" t="str">
        <f t="shared" si="55"/>
        <v>Error?</v>
      </c>
    </row>
    <row r="3587" spans="1:4">
      <c r="A3587" s="5">
        <v>3526</v>
      </c>
      <c r="B3587" s="138">
        <f>'Acct Summary 7-8'!K77</f>
        <v>0</v>
      </c>
      <c r="C3587" s="2" t="s">
        <v>572</v>
      </c>
      <c r="D3587" s="2" t="str">
        <f t="shared" si="55"/>
        <v>Error?</v>
      </c>
    </row>
    <row r="3588" spans="1:4">
      <c r="A3588" s="5">
        <v>3527</v>
      </c>
      <c r="B3588" s="138">
        <f>'Acct Summary 7-8'!K78</f>
        <v>0</v>
      </c>
      <c r="C3588" s="2" t="s">
        <v>572</v>
      </c>
      <c r="D3588" s="2" t="str">
        <f t="shared" si="55"/>
        <v>Error?</v>
      </c>
    </row>
    <row r="3589" spans="1:4">
      <c r="A3589" s="5">
        <v>3528</v>
      </c>
      <c r="B3589" s="138">
        <f>'Acct Summary 7-8'!K79</f>
        <v>0</v>
      </c>
      <c r="D3589" s="2" t="str">
        <f t="shared" si="55"/>
        <v>Error?</v>
      </c>
    </row>
    <row r="3590" spans="1:4">
      <c r="A3590" s="5">
        <v>3529</v>
      </c>
      <c r="B3590" s="138">
        <f>'Acct Summary 7-8'!K80</f>
        <v>0</v>
      </c>
      <c r="D3590" s="2" t="str">
        <f t="shared" si="55"/>
        <v>Error?</v>
      </c>
    </row>
    <row r="3591" spans="1:4">
      <c r="A3591" s="5">
        <v>3530</v>
      </c>
      <c r="B3591" s="138">
        <f>'Acct Summary 7-8'!K81</f>
        <v>0</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572</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572</v>
      </c>
      <c r="D3621" s="2" t="str">
        <f t="shared" si="55"/>
        <v>Error?</v>
      </c>
    </row>
    <row r="3622" spans="1:4">
      <c r="A3622" s="5">
        <v>3561</v>
      </c>
      <c r="B3622" s="138">
        <f>'Expenditures 15-22'!C367</f>
        <v>0</v>
      </c>
      <c r="C3622" s="2" t="s">
        <v>572</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572</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572</v>
      </c>
      <c r="D3628" s="2" t="str">
        <f t="shared" si="55"/>
        <v>Error?</v>
      </c>
    </row>
    <row r="3629" spans="1:4">
      <c r="A3629" s="5">
        <v>3568</v>
      </c>
      <c r="B3629" s="138">
        <f>'Expenditures 15-22'!D367</f>
        <v>0</v>
      </c>
      <c r="C3629" s="2" t="s">
        <v>572</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572</v>
      </c>
      <c r="D3633" s="2" t="str">
        <f t="shared" si="55"/>
        <v>Error?</v>
      </c>
    </row>
    <row r="3634" spans="1:4">
      <c r="A3634" s="5">
        <v>3573</v>
      </c>
      <c r="B3634" s="138">
        <f>'Expenditures 15-22'!E351</f>
        <v>0</v>
      </c>
      <c r="D3634" s="2" t="str">
        <f t="shared" si="55"/>
        <v>Error?</v>
      </c>
    </row>
    <row r="3635" spans="1:4">
      <c r="A3635" s="5">
        <v>3574</v>
      </c>
      <c r="B3635" s="138">
        <f>B3583</f>
        <v>0</v>
      </c>
      <c r="C3635" s="2" t="s">
        <v>572</v>
      </c>
      <c r="D3635" s="2" t="str">
        <f t="shared" si="55"/>
        <v>Error?</v>
      </c>
    </row>
    <row r="3636" spans="1:4">
      <c r="A3636" s="5">
        <v>3575</v>
      </c>
      <c r="B3636" s="138">
        <f>'Expenditures 15-22'!E367</f>
        <v>0</v>
      </c>
      <c r="C3636" s="2" t="s">
        <v>572</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572</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572</v>
      </c>
      <c r="D3642" s="2" t="str">
        <f t="shared" si="55"/>
        <v>Error?</v>
      </c>
    </row>
    <row r="3643" spans="1:4">
      <c r="A3643" s="5">
        <v>3582</v>
      </c>
      <c r="B3643" s="138">
        <f>'Expenditures 15-22'!F367</f>
        <v>0</v>
      </c>
      <c r="C3643" s="2" t="s">
        <v>572</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572</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572</v>
      </c>
      <c r="D3649" s="2" t="str">
        <f t="shared" si="56"/>
        <v>Error?</v>
      </c>
    </row>
    <row r="3650" spans="1:4">
      <c r="A3650" s="5">
        <v>3589</v>
      </c>
      <c r="B3650" s="138">
        <f>'Expenditures 15-22'!G367</f>
        <v>0</v>
      </c>
      <c r="C3650" s="2" t="s">
        <v>572</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572</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572</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572</v>
      </c>
      <c r="D3668" s="2" t="str">
        <f t="shared" si="56"/>
        <v>Error?</v>
      </c>
    </row>
    <row r="3669" spans="1:4">
      <c r="A3669" s="5">
        <v>3608</v>
      </c>
      <c r="B3669" s="138">
        <f>'Expenditures 15-22'!K349</f>
        <v>0</v>
      </c>
      <c r="C3669" s="2" t="s">
        <v>572</v>
      </c>
      <c r="D3669" s="2" t="str">
        <f t="shared" si="56"/>
        <v>Error?</v>
      </c>
    </row>
    <row r="3670" spans="1:4">
      <c r="A3670" s="5">
        <v>3609</v>
      </c>
      <c r="B3670" s="138">
        <f>'Expenditures 15-22'!K350</f>
        <v>0</v>
      </c>
      <c r="C3670" s="2" t="s">
        <v>572</v>
      </c>
      <c r="D3670" s="2" t="str">
        <f t="shared" si="56"/>
        <v>Error?</v>
      </c>
    </row>
    <row r="3671" spans="1:4">
      <c r="A3671" s="5">
        <v>3610</v>
      </c>
      <c r="B3671" s="138">
        <f>'Expenditures 15-22'!K351</f>
        <v>0</v>
      </c>
      <c r="C3671" s="2" t="s">
        <v>572</v>
      </c>
      <c r="D3671" s="2" t="str">
        <f t="shared" si="56"/>
        <v>Error?</v>
      </c>
    </row>
    <row r="3672" spans="1:4">
      <c r="A3672" s="5">
        <v>3611</v>
      </c>
      <c r="B3672" s="138">
        <f>'Expenditures 15-22'!K352</f>
        <v>0</v>
      </c>
      <c r="C3672" s="2" t="s">
        <v>572</v>
      </c>
      <c r="D3672" s="2" t="str">
        <f t="shared" si="56"/>
        <v>Error?</v>
      </c>
    </row>
    <row r="3673" spans="1:4">
      <c r="A3673" s="5">
        <v>3612</v>
      </c>
      <c r="B3673" s="138">
        <f>'Expenditures 15-22'!K354</f>
        <v>0</v>
      </c>
      <c r="C3673" s="2" t="s">
        <v>572</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572</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0</v>
      </c>
      <c r="C3681" s="2" t="s">
        <v>572</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572</v>
      </c>
      <c r="D3688" s="2" t="str">
        <f t="shared" si="56"/>
        <v>Error?</v>
      </c>
    </row>
    <row r="3689" spans="1:4">
      <c r="A3689" s="5">
        <v>3628</v>
      </c>
      <c r="B3689" s="138">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572</v>
      </c>
      <c r="D3702" s="2" t="str">
        <f t="shared" si="56"/>
        <v>Error?</v>
      </c>
    </row>
    <row r="3703" spans="1:4">
      <c r="A3703" s="5">
        <v>3642</v>
      </c>
      <c r="B3703" s="138">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572</v>
      </c>
      <c r="D3717" s="2" t="str">
        <f t="shared" si="57"/>
        <v>Error?</v>
      </c>
    </row>
    <row r="3718" spans="1:4">
      <c r="A3718" s="5">
        <v>3657</v>
      </c>
      <c r="B3718" s="138">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572</v>
      </c>
      <c r="D3722" s="2" t="str">
        <f t="shared" si="57"/>
        <v>Error?</v>
      </c>
    </row>
    <row r="3723" spans="1:4">
      <c r="A3723" s="5">
        <v>3662</v>
      </c>
      <c r="B3723" s="138">
        <f>'Expenditures 15-22'!K283</f>
        <v>0</v>
      </c>
      <c r="C3723" s="2" t="s">
        <v>572</v>
      </c>
      <c r="D3723" s="2" t="str">
        <f t="shared" si="57"/>
        <v>Error?</v>
      </c>
    </row>
    <row r="3724" spans="1:4">
      <c r="A3724" s="5">
        <v>3663</v>
      </c>
      <c r="B3724" s="138">
        <f>'Expenditures 15-22'!K285</f>
        <v>0</v>
      </c>
      <c r="C3724" s="2" t="s">
        <v>572</v>
      </c>
      <c r="D3724" s="2" t="str">
        <f t="shared" si="57"/>
        <v>Error?</v>
      </c>
    </row>
    <row r="3725" spans="1:4">
      <c r="A3725" s="5">
        <v>3664</v>
      </c>
      <c r="B3725" s="138">
        <f>'Tax Sched 23'!B13</f>
        <v>0</v>
      </c>
      <c r="C3725" s="2" t="s">
        <v>572</v>
      </c>
      <c r="D3725" s="2" t="str">
        <f t="shared" si="57"/>
        <v>Error?</v>
      </c>
    </row>
    <row r="3726" spans="1:4">
      <c r="A3726" s="5">
        <v>3665</v>
      </c>
      <c r="B3726" s="138">
        <f>'Tax Sched 23'!D13</f>
        <v>0</v>
      </c>
      <c r="C3726" s="2" t="s">
        <v>572</v>
      </c>
      <c r="D3726" s="2" t="str">
        <f t="shared" si="57"/>
        <v>Error?</v>
      </c>
    </row>
    <row r="3727" spans="1:4">
      <c r="A3727" s="5">
        <v>3666</v>
      </c>
      <c r="B3727" s="138">
        <f>'Tax Sched 23'!C13</f>
        <v>0</v>
      </c>
      <c r="D3727" s="2" t="str">
        <f t="shared" si="57"/>
        <v>Error?</v>
      </c>
    </row>
    <row r="3728" spans="1:4">
      <c r="A3728" s="5">
        <v>3667</v>
      </c>
      <c r="B3728" s="138">
        <f>'Tax Sched 23'!F13</f>
        <v>0</v>
      </c>
      <c r="C3728" s="2" t="s">
        <v>572</v>
      </c>
      <c r="D3728" s="2" t="str">
        <f t="shared" si="57"/>
        <v>Error?</v>
      </c>
    </row>
    <row r="3729" spans="1:4">
      <c r="A3729" s="5">
        <v>3668</v>
      </c>
      <c r="B3729" s="138">
        <f>'Tax Sched 23'!E13</f>
        <v>0</v>
      </c>
      <c r="D3729" s="2" t="str">
        <f t="shared" si="57"/>
        <v>Error?</v>
      </c>
    </row>
    <row r="3730" spans="1:4">
      <c r="A3730" s="5">
        <v>3669</v>
      </c>
      <c r="B3730" s="138">
        <f>'ICR Computation 30'!E10</f>
        <v>927429</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572</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572</v>
      </c>
      <c r="D4098" s="2" t="str">
        <f t="shared" si="63"/>
        <v>OK</v>
      </c>
    </row>
    <row r="4099" spans="1:4">
      <c r="A4099" s="5">
        <v>4038</v>
      </c>
      <c r="B4099" s="138">
        <f>'Expenditures 15-22'!K307</f>
        <v>0</v>
      </c>
      <c r="C4099" s="2" t="s">
        <v>572</v>
      </c>
      <c r="D4099" s="2" t="str">
        <f t="shared" si="63"/>
        <v>Error?</v>
      </c>
    </row>
    <row r="4100" spans="1:4">
      <c r="A4100" s="5">
        <v>4039</v>
      </c>
      <c r="B4100" s="138">
        <f>'Expenditures 15-22'!K308</f>
        <v>0</v>
      </c>
      <c r="C4100" s="2" t="s">
        <v>572</v>
      </c>
      <c r="D4100" s="2" t="str">
        <f t="shared" si="63"/>
        <v>Error?</v>
      </c>
    </row>
    <row r="4101" spans="1:4">
      <c r="A4101" s="10">
        <v>4040</v>
      </c>
      <c r="C4101" s="2" t="s">
        <v>572</v>
      </c>
      <c r="D4101" s="2" t="str">
        <f t="shared" si="63"/>
        <v>OK</v>
      </c>
    </row>
    <row r="4102" spans="1:4">
      <c r="A4102" s="5">
        <v>4041</v>
      </c>
      <c r="B4102" s="138">
        <f>'Tax Sched 23'!B17</f>
        <v>0</v>
      </c>
      <c r="C4102" s="2" t="s">
        <v>572</v>
      </c>
      <c r="D4102" s="2" t="str">
        <f t="shared" si="63"/>
        <v>Error?</v>
      </c>
    </row>
    <row r="4103" spans="1:4">
      <c r="A4103" s="5">
        <v>4042</v>
      </c>
      <c r="B4103" s="138">
        <f>'Tax Sched 23'!B18</f>
        <v>0</v>
      </c>
      <c r="C4103" s="2" t="s">
        <v>572</v>
      </c>
      <c r="D4103" s="2" t="str">
        <f t="shared" si="63"/>
        <v>Error?</v>
      </c>
    </row>
    <row r="4104" spans="1:4">
      <c r="A4104" s="5">
        <v>4043</v>
      </c>
      <c r="B4104" s="138">
        <f>'Tax Sched 23'!D17</f>
        <v>0</v>
      </c>
      <c r="C4104" s="2" t="s">
        <v>572</v>
      </c>
      <c r="D4104" s="2" t="str">
        <f t="shared" si="63"/>
        <v>Error?</v>
      </c>
    </row>
    <row r="4105" spans="1:4">
      <c r="A4105" s="5">
        <v>4044</v>
      </c>
      <c r="B4105" s="138">
        <f>'Tax Sched 23'!D18</f>
        <v>0</v>
      </c>
      <c r="C4105" s="2" t="s">
        <v>572</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572</v>
      </c>
      <c r="D4108" s="2" t="str">
        <f t="shared" si="63"/>
        <v>Error?</v>
      </c>
    </row>
    <row r="4109" spans="1:4">
      <c r="A4109" s="5">
        <v>4048</v>
      </c>
      <c r="B4109" s="138">
        <f>'Tax Sched 23'!F18</f>
        <v>0</v>
      </c>
      <c r="C4109" s="2" t="s">
        <v>572</v>
      </c>
      <c r="D4109" s="2" t="str">
        <f t="shared" si="63"/>
        <v>Error?</v>
      </c>
    </row>
    <row r="4110" spans="1:4">
      <c r="A4110" s="5">
        <v>4049</v>
      </c>
      <c r="B4110" s="138">
        <f>'Tax Sched 23'!E17</f>
        <v>0</v>
      </c>
      <c r="C4110" s="2" t="s">
        <v>572</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29442820</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111411591</v>
      </c>
      <c r="C4122" s="2" t="s">
        <v>572</v>
      </c>
      <c r="D4122" s="2" t="str">
        <f t="shared" si="63"/>
        <v>Error?</v>
      </c>
    </row>
    <row r="4123" spans="1:4">
      <c r="A4123" s="5">
        <v>4062</v>
      </c>
      <c r="B4123" s="138">
        <f>'Acct Summary 7-8'!D10</f>
        <v>9971994</v>
      </c>
      <c r="C4123" s="2" t="s">
        <v>572</v>
      </c>
      <c r="D4123" s="2" t="str">
        <f t="shared" si="63"/>
        <v>Error?</v>
      </c>
    </row>
    <row r="4124" spans="1:4">
      <c r="A4124" s="5">
        <v>4063</v>
      </c>
      <c r="B4124" s="138">
        <f>'Acct Summary 7-8'!E10</f>
        <v>7837365</v>
      </c>
      <c r="C4124" s="2" t="s">
        <v>572</v>
      </c>
      <c r="D4124" s="2" t="str">
        <f t="shared" si="63"/>
        <v>Error?</v>
      </c>
    </row>
    <row r="4125" spans="1:4">
      <c r="A4125" s="5">
        <v>4064</v>
      </c>
      <c r="B4125" s="138">
        <f>'Acct Summary 7-8'!F10</f>
        <v>8282657</v>
      </c>
      <c r="C4125" s="2" t="s">
        <v>572</v>
      </c>
      <c r="D4125" s="2" t="str">
        <f t="shared" si="63"/>
        <v>Error?</v>
      </c>
    </row>
    <row r="4126" spans="1:4">
      <c r="A4126" s="5">
        <v>4065</v>
      </c>
      <c r="B4126" s="138">
        <f>'Acct Summary 7-8'!G10</f>
        <v>3802054</v>
      </c>
      <c r="C4126" s="2" t="s">
        <v>572</v>
      </c>
      <c r="D4126" s="2" t="str">
        <f t="shared" si="63"/>
        <v>Error?</v>
      </c>
    </row>
    <row r="4127" spans="1:4">
      <c r="A4127" s="5">
        <v>4066</v>
      </c>
      <c r="B4127" s="138">
        <f>'Acct Summary 7-8'!H10</f>
        <v>197153</v>
      </c>
      <c r="C4127" s="2" t="s">
        <v>572</v>
      </c>
      <c r="D4127" s="2" t="str">
        <f t="shared" si="63"/>
        <v>Error?</v>
      </c>
    </row>
    <row r="4128" spans="1:4">
      <c r="A4128" s="5">
        <v>4067</v>
      </c>
      <c r="B4128" s="138">
        <f>'Acct Summary 7-8'!I10</f>
        <v>1273500</v>
      </c>
      <c r="C4128" s="2" t="s">
        <v>572</v>
      </c>
      <c r="D4128" s="2" t="str">
        <f t="shared" si="63"/>
        <v>Error?</v>
      </c>
    </row>
    <row r="4129" spans="1:4">
      <c r="A4129" s="10">
        <v>4068</v>
      </c>
      <c r="C4129" s="2" t="s">
        <v>572</v>
      </c>
      <c r="D4129" s="2" t="str">
        <f t="shared" si="63"/>
        <v>OK</v>
      </c>
    </row>
    <row r="4130" spans="1:4">
      <c r="A4130" s="5">
        <v>4069</v>
      </c>
      <c r="B4130" s="138">
        <f>'Acct Summary 7-8'!K10</f>
        <v>0</v>
      </c>
      <c r="C4130" s="2" t="s">
        <v>572</v>
      </c>
      <c r="D4130" s="2" t="str">
        <f t="shared" si="63"/>
        <v>Error?</v>
      </c>
    </row>
    <row r="4131" spans="1:4">
      <c r="A4131" s="5">
        <v>4070</v>
      </c>
      <c r="B4131" s="138">
        <f>'Acct Summary 7-8'!C18</f>
        <v>29442820</v>
      </c>
      <c r="C4131" s="2" t="s">
        <v>572</v>
      </c>
      <c r="D4131" s="2" t="str">
        <f t="shared" si="63"/>
        <v>Error?</v>
      </c>
    </row>
    <row r="4132" spans="1:4">
      <c r="A4132" s="5">
        <v>4071</v>
      </c>
      <c r="B4132" s="138">
        <f>'Acct Summary 7-8'!D18</f>
        <v>0</v>
      </c>
      <c r="C4132" s="2" t="s">
        <v>572</v>
      </c>
      <c r="D4132" s="2" t="str">
        <f t="shared" si="63"/>
        <v>Error?</v>
      </c>
    </row>
    <row r="4133" spans="1:4">
      <c r="A4133" s="5">
        <v>4072</v>
      </c>
      <c r="B4133" s="138">
        <f>'Acct Summary 7-8'!F18</f>
        <v>0</v>
      </c>
      <c r="C4133" s="2" t="s">
        <v>572</v>
      </c>
      <c r="D4133" s="2" t="str">
        <f t="shared" si="63"/>
        <v>Error?</v>
      </c>
    </row>
    <row r="4134" spans="1:4">
      <c r="A4134" s="5">
        <v>4073</v>
      </c>
      <c r="B4134" s="138">
        <f>'Acct Summary 7-8'!H18</f>
        <v>0</v>
      </c>
      <c r="C4134" s="2" t="s">
        <v>572</v>
      </c>
      <c r="D4134" s="2" t="str">
        <f t="shared" si="63"/>
        <v>Error?</v>
      </c>
    </row>
    <row r="4135" spans="1:4">
      <c r="A4135" s="5">
        <v>4074</v>
      </c>
      <c r="B4135" s="138">
        <f>'Acct Summary 7-8'!K18</f>
        <v>0</v>
      </c>
      <c r="C4135" s="2" t="s">
        <v>572</v>
      </c>
      <c r="D4135" s="2" t="str">
        <f t="shared" si="63"/>
        <v>Error?</v>
      </c>
    </row>
    <row r="4136" spans="1:4">
      <c r="A4136" s="5">
        <v>4075</v>
      </c>
      <c r="B4136" s="138">
        <f>'Acct Summary 7-8'!C19</f>
        <v>99026787</v>
      </c>
      <c r="C4136" s="2" t="s">
        <v>572</v>
      </c>
      <c r="D4136" s="2" t="str">
        <f t="shared" si="63"/>
        <v>Error?</v>
      </c>
    </row>
    <row r="4137" spans="1:4">
      <c r="A4137" s="5">
        <v>4076</v>
      </c>
      <c r="B4137" s="138">
        <f>'Acct Summary 7-8'!D19</f>
        <v>8700639</v>
      </c>
      <c r="C4137" s="2" t="s">
        <v>572</v>
      </c>
      <c r="D4137" s="2" t="str">
        <f t="shared" si="63"/>
        <v>Error?</v>
      </c>
    </row>
    <row r="4138" spans="1:4">
      <c r="A4138" s="5">
        <v>4077</v>
      </c>
      <c r="B4138" s="138">
        <f>'Acct Summary 7-8'!E19</f>
        <v>8246060</v>
      </c>
      <c r="C4138" s="2" t="s">
        <v>572</v>
      </c>
      <c r="D4138" s="2" t="str">
        <f t="shared" si="63"/>
        <v>Error?</v>
      </c>
    </row>
    <row r="4139" spans="1:4">
      <c r="A4139" s="5">
        <v>4078</v>
      </c>
      <c r="B4139" s="138">
        <f>'Acct Summary 7-8'!F19</f>
        <v>7557480</v>
      </c>
      <c r="C4139" s="2" t="s">
        <v>572</v>
      </c>
      <c r="D4139" s="2" t="str">
        <f t="shared" si="63"/>
        <v>Error?</v>
      </c>
    </row>
    <row r="4140" spans="1:4">
      <c r="A4140" s="5">
        <v>4079</v>
      </c>
      <c r="B4140" s="138">
        <f>'Acct Summary 7-8'!G19</f>
        <v>3197264</v>
      </c>
      <c r="C4140" s="2" t="s">
        <v>572</v>
      </c>
      <c r="D4140" s="2" t="str">
        <f t="shared" si="63"/>
        <v>Error?</v>
      </c>
    </row>
    <row r="4141" spans="1:4">
      <c r="A4141" s="5">
        <v>4080</v>
      </c>
      <c r="B4141" s="138">
        <f>'Acct Summary 7-8'!H19</f>
        <v>2023777</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8">
        <f>'Acct Summary 7-8'!K19</f>
        <v>0</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572</v>
      </c>
      <c r="D4156" s="2" t="str">
        <f t="shared" si="63"/>
        <v>Error?</v>
      </c>
    </row>
    <row r="4157" spans="1:4">
      <c r="A4157" s="5">
        <v>4096</v>
      </c>
      <c r="B4157" s="138">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8">
        <f>'Short-Term Long-Term Debt 24'!I49</f>
        <v>86011139</v>
      </c>
      <c r="C4171" s="2" t="s">
        <v>572</v>
      </c>
      <c r="D4171" s="2" t="str">
        <f t="shared" si="64"/>
        <v>Error?</v>
      </c>
    </row>
    <row r="4172" spans="1:4">
      <c r="A4172" s="5">
        <v>4111</v>
      </c>
      <c r="B4172" s="138">
        <f>'Short-Term Long-Term Debt 24'!J49</f>
        <v>82815331</v>
      </c>
      <c r="C4172" s="2" t="s">
        <v>572</v>
      </c>
      <c r="D4172" s="2" t="str">
        <f t="shared" si="64"/>
        <v>Error?</v>
      </c>
    </row>
    <row r="4173" spans="1:4">
      <c r="A4173" s="5">
        <v>4112</v>
      </c>
      <c r="B4173" s="138">
        <f>'Short-Term Long-Term Debt 24'!H49</f>
        <v>4220380</v>
      </c>
      <c r="C4173" s="2" t="s">
        <v>572</v>
      </c>
      <c r="D4173" s="2" t="str">
        <f t="shared" si="64"/>
        <v>Error?</v>
      </c>
    </row>
    <row r="4174" spans="1:4">
      <c r="A4174" s="10">
        <v>4113</v>
      </c>
      <c r="C4174" s="2" t="s">
        <v>572</v>
      </c>
      <c r="D4174" s="2" t="str">
        <f t="shared" si="64"/>
        <v>OK</v>
      </c>
    </row>
    <row r="4175" spans="1:4">
      <c r="A4175" s="5">
        <v>4114</v>
      </c>
      <c r="B4175" s="138">
        <f>'Acct Summary 7-8'!E18</f>
        <v>0</v>
      </c>
      <c r="C4175" s="2" t="s">
        <v>572</v>
      </c>
      <c r="D4175" s="2" t="str">
        <f t="shared" si="64"/>
        <v>Error?</v>
      </c>
    </row>
    <row r="4176" spans="1:4">
      <c r="A4176" s="5">
        <v>4115</v>
      </c>
      <c r="B4176" s="138">
        <f>'Acct Summary 7-8'!G18</f>
        <v>0</v>
      </c>
      <c r="C4176" s="2" t="s">
        <v>572</v>
      </c>
      <c r="D4176" s="2" t="str">
        <f t="shared" si="64"/>
        <v>Error?</v>
      </c>
    </row>
    <row r="4177" spans="1:4">
      <c r="A4177" s="5">
        <v>4116</v>
      </c>
      <c r="B4177" s="138">
        <f>'Short-Term Long-Term Debt 24'!G49</f>
        <v>0</v>
      </c>
      <c r="D4177" s="2" t="str">
        <f t="shared" si="64"/>
        <v>Error?</v>
      </c>
    </row>
    <row r="4178" spans="1:4">
      <c r="A4178" s="10">
        <v>4117</v>
      </c>
      <c r="C4178" s="2" t="s">
        <v>572</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572</v>
      </c>
      <c r="D4202" s="2" t="str">
        <f t="shared" si="64"/>
        <v>Error?</v>
      </c>
    </row>
    <row r="4203" spans="1:4">
      <c r="A4203" s="5">
        <v>4142</v>
      </c>
      <c r="B4203" s="138">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8">
        <f>'Revenues 9-14'!I168</f>
        <v>0</v>
      </c>
      <c r="D4215" s="2" t="str">
        <f t="shared" si="64"/>
        <v>Error?</v>
      </c>
    </row>
    <row r="4216" spans="1:4">
      <c r="A4216" s="5">
        <v>4155</v>
      </c>
      <c r="B4216" s="138">
        <f>'Revenues 9-14'!I170</f>
        <v>0</v>
      </c>
      <c r="C4216" s="2" t="s">
        <v>572</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1911</v>
      </c>
    </row>
    <row r="4236" spans="1:5">
      <c r="A4236" s="10">
        <v>4175</v>
      </c>
      <c r="D4236" s="2" t="str">
        <f t="shared" si="65"/>
        <v>OK</v>
      </c>
      <c r="E4236" s="4" t="s">
        <v>1911</v>
      </c>
    </row>
    <row r="4237" spans="1:5">
      <c r="A4237" s="10">
        <v>4176</v>
      </c>
      <c r="D4237" s="2" t="str">
        <f t="shared" si="65"/>
        <v>OK</v>
      </c>
      <c r="E4237" s="4" t="s">
        <v>1911</v>
      </c>
    </row>
    <row r="4238" spans="1:5">
      <c r="A4238" s="10">
        <v>4177</v>
      </c>
      <c r="D4238" s="2" t="str">
        <f t="shared" si="65"/>
        <v>OK</v>
      </c>
      <c r="E4238" s="4" t="s">
        <v>1911</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1624.3</v>
      </c>
      <c r="C4265" s="2" t="s">
        <v>572</v>
      </c>
      <c r="D4265" s="2" t="str">
        <f t="shared" si="65"/>
        <v>Error?</v>
      </c>
      <c r="E4265" s="128"/>
    </row>
    <row r="4266" spans="1:5">
      <c r="A4266" s="12">
        <v>4205</v>
      </c>
      <c r="B4266" s="138">
        <f>('FP Info 3'!F10)*100000</f>
        <v>306.2</v>
      </c>
      <c r="C4266" s="2" t="s">
        <v>572</v>
      </c>
      <c r="D4266" s="2" t="str">
        <f t="shared" si="65"/>
        <v>Error?</v>
      </c>
      <c r="E4266" s="128"/>
    </row>
    <row r="4267" spans="1:5">
      <c r="A4267" s="12">
        <v>4206</v>
      </c>
      <c r="B4267" s="138">
        <f>('FP Info 3'!H10)*100000</f>
        <v>125.6</v>
      </c>
      <c r="C4267" s="2" t="s">
        <v>572</v>
      </c>
      <c r="D4267" s="2" t="str">
        <f t="shared" si="65"/>
        <v>Error?</v>
      </c>
      <c r="E4267" s="128"/>
    </row>
    <row r="4268" spans="1:5">
      <c r="A4268" s="12">
        <v>4207</v>
      </c>
      <c r="B4268" s="138">
        <f>('FP Info 3'!J10)*100000</f>
        <v>2056</v>
      </c>
      <c r="C4268" s="2" t="s">
        <v>572</v>
      </c>
      <c r="D4268" s="2" t="str">
        <f t="shared" si="65"/>
        <v>Error?</v>
      </c>
    </row>
    <row r="4269" spans="1:5">
      <c r="A4269" s="12">
        <v>4208</v>
      </c>
      <c r="B4269" s="138">
        <f>'FP Info 3'!J16</f>
        <v>75121289</v>
      </c>
      <c r="C4269" s="2" t="s">
        <v>572</v>
      </c>
      <c r="D4269" s="2" t="str">
        <f t="shared" si="65"/>
        <v>Error?</v>
      </c>
    </row>
    <row r="4270" spans="1:5">
      <c r="A4270" s="12">
        <v>4209</v>
      </c>
      <c r="B4270" s="138">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218070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572</v>
      </c>
      <c r="D4357" s="2" t="str">
        <f t="shared" si="67"/>
        <v>Error?</v>
      </c>
    </row>
    <row r="4358" spans="1:4">
      <c r="A4358" s="5">
        <v>4297</v>
      </c>
      <c r="B4358" s="138">
        <f>'Revenues 9-14'!C263</f>
        <v>0</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155290</v>
      </c>
      <c r="D4362" s="2" t="str">
        <f t="shared" si="67"/>
        <v>Error?</v>
      </c>
    </row>
    <row r="4363" spans="1:4">
      <c r="A4363" s="5">
        <v>4302</v>
      </c>
      <c r="B4363" s="138">
        <f>'Revenues 9-14'!I169</f>
        <v>0</v>
      </c>
      <c r="C4363" s="2" t="s">
        <v>572</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572</v>
      </c>
      <c r="D4372" s="2" t="str">
        <f t="shared" si="67"/>
        <v>Error?</v>
      </c>
    </row>
    <row r="4373" spans="1:4">
      <c r="A4373" s="5">
        <v>4312</v>
      </c>
      <c r="B4373" s="138">
        <f>'Revenues 9-14'!I175</f>
        <v>0</v>
      </c>
      <c r="C4373" s="2" t="s">
        <v>572</v>
      </c>
      <c r="D4373" s="2" t="str">
        <f t="shared" si="67"/>
        <v>Error?</v>
      </c>
    </row>
    <row r="4374" spans="1:4">
      <c r="A4374" s="10">
        <v>4313</v>
      </c>
      <c r="C4374" s="2" t="s">
        <v>572</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572</v>
      </c>
      <c r="D4395" s="2" t="str">
        <f t="shared" si="67"/>
        <v>Error?</v>
      </c>
    </row>
    <row r="4396" spans="1:5">
      <c r="A4396" s="5">
        <v>4335</v>
      </c>
      <c r="B4396" s="138">
        <f>'Revenues 9-14'!D188</f>
        <v>0</v>
      </c>
      <c r="C4396" s="2" t="s">
        <v>572</v>
      </c>
      <c r="D4396" s="2" t="str">
        <f t="shared" si="67"/>
        <v>Error?</v>
      </c>
    </row>
    <row r="4397" spans="1:5">
      <c r="A4397" s="5">
        <v>4336</v>
      </c>
      <c r="B4397" s="138">
        <f>'Revenues 9-14'!F188</f>
        <v>0</v>
      </c>
      <c r="C4397" s="2" t="s">
        <v>572</v>
      </c>
      <c r="D4397" s="2" t="str">
        <f t="shared" si="67"/>
        <v>Error?</v>
      </c>
    </row>
    <row r="4398" spans="1:5">
      <c r="A4398" s="5">
        <v>4337</v>
      </c>
      <c r="B4398" s="138">
        <f>'Revenues 9-14'!G188</f>
        <v>0</v>
      </c>
      <c r="C4398" s="2" t="s">
        <v>572</v>
      </c>
      <c r="D4398" s="2" t="str">
        <f t="shared" si="67"/>
        <v>Error?</v>
      </c>
    </row>
    <row r="4399" spans="1:5">
      <c r="A4399" s="10">
        <v>4338</v>
      </c>
      <c r="D4399" s="2" t="str">
        <f t="shared" si="67"/>
        <v>OK</v>
      </c>
      <c r="E4399" s="4" t="s">
        <v>1911</v>
      </c>
    </row>
    <row r="4400" spans="1:5">
      <c r="A4400" s="10">
        <v>4339</v>
      </c>
      <c r="D4400" s="2" t="str">
        <f t="shared" si="67"/>
        <v>OK</v>
      </c>
      <c r="E4400" s="4" t="s">
        <v>1911</v>
      </c>
    </row>
    <row r="4401" spans="1:5">
      <c r="A4401" s="10">
        <v>4340</v>
      </c>
      <c r="D4401" s="2" t="str">
        <f t="shared" si="67"/>
        <v>OK</v>
      </c>
      <c r="E4401" s="4" t="s">
        <v>1911</v>
      </c>
    </row>
    <row r="4402" spans="1:5">
      <c r="A4402" s="10">
        <v>4341</v>
      </c>
      <c r="D4402" s="2" t="str">
        <f t="shared" si="67"/>
        <v>OK</v>
      </c>
      <c r="E4402" s="4" t="s">
        <v>1911</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61669</v>
      </c>
      <c r="C4411" s="2" t="s">
        <v>572</v>
      </c>
      <c r="D4411" s="2" t="str">
        <f t="shared" si="67"/>
        <v>Error?</v>
      </c>
    </row>
    <row r="4412" spans="1:5">
      <c r="A4412" s="5">
        <v>4351</v>
      </c>
      <c r="B4412" s="138">
        <f>'Revenues 9-14'!D209</f>
        <v>0</v>
      </c>
      <c r="C4412" s="2" t="s">
        <v>572</v>
      </c>
      <c r="D4412" s="2" t="str">
        <f t="shared" si="67"/>
        <v>Error?</v>
      </c>
    </row>
    <row r="4413" spans="1:5">
      <c r="A4413" s="5">
        <v>4352</v>
      </c>
      <c r="B4413" s="138">
        <f>'Revenues 9-14'!F209</f>
        <v>0</v>
      </c>
      <c r="C4413" s="2" t="s">
        <v>572</v>
      </c>
      <c r="D4413" s="2" t="str">
        <f t="shared" si="67"/>
        <v>Error?</v>
      </c>
    </row>
    <row r="4414" spans="1:5">
      <c r="A4414" s="5">
        <v>4353</v>
      </c>
      <c r="B4414" s="138">
        <f>'Revenues 9-14'!G209</f>
        <v>0</v>
      </c>
      <c r="C4414" s="2" t="s">
        <v>572</v>
      </c>
      <c r="D4414" s="2" t="str">
        <f t="shared" si="67"/>
        <v>Error?</v>
      </c>
    </row>
    <row r="4415" spans="1:5">
      <c r="A4415" s="5">
        <v>4354</v>
      </c>
      <c r="B4415" s="138">
        <f>'Revenues 9-14'!C256</f>
        <v>23496</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199204</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314076</v>
      </c>
      <c r="C4434" s="2" t="s">
        <v>572</v>
      </c>
      <c r="D4434" s="2" t="str">
        <f t="shared" si="68"/>
        <v>Error?</v>
      </c>
    </row>
    <row r="4435" spans="1:5">
      <c r="A4435" s="5">
        <v>4374</v>
      </c>
      <c r="B4435" s="138">
        <f>'Revenues 9-14'!I267</f>
        <v>0</v>
      </c>
      <c r="C4435" s="2" t="s">
        <v>572</v>
      </c>
      <c r="D4435" s="2" t="str">
        <f t="shared" si="68"/>
        <v>Error?</v>
      </c>
    </row>
    <row r="4436" spans="1:5">
      <c r="A4436" s="10">
        <v>4375</v>
      </c>
      <c r="C4436" s="2" t="s">
        <v>572</v>
      </c>
      <c r="D4436" s="2" t="str">
        <f t="shared" si="68"/>
        <v>OK</v>
      </c>
      <c r="E4436" s="128"/>
    </row>
    <row r="4437" spans="1:5">
      <c r="A4437" s="12">
        <v>4376</v>
      </c>
      <c r="B4437" s="138">
        <f>('FP Info 3'!L10)*100000</f>
        <v>32.799999999999997</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572</v>
      </c>
      <c r="D4441" s="2" t="str">
        <f t="shared" si="68"/>
        <v>Error?</v>
      </c>
    </row>
    <row r="4442" spans="1:5">
      <c r="A4442" s="5">
        <v>4381</v>
      </c>
      <c r="B4442" s="138">
        <f>'Revenues 9-14'!K266</f>
        <v>0</v>
      </c>
      <c r="C4442" s="2" t="s">
        <v>572</v>
      </c>
      <c r="D4442" s="2" t="str">
        <f t="shared" si="68"/>
        <v>Error?</v>
      </c>
    </row>
    <row r="4443" spans="1:5">
      <c r="A4443" s="5">
        <v>4382</v>
      </c>
      <c r="B4443" s="138">
        <f>'Acct Summary 7-8'!E7</f>
        <v>314076</v>
      </c>
      <c r="C4443" s="2" t="s">
        <v>572</v>
      </c>
      <c r="D4443" s="2" t="str">
        <f t="shared" si="68"/>
        <v>Error?</v>
      </c>
    </row>
    <row r="4444" spans="1:5">
      <c r="A4444" s="5">
        <v>4383</v>
      </c>
      <c r="B4444" s="138">
        <f>'Acct Summary 7-8'!I7</f>
        <v>0</v>
      </c>
      <c r="C4444" s="2" t="s">
        <v>572</v>
      </c>
      <c r="D4444" s="2" t="str">
        <f t="shared" si="68"/>
        <v>Error?</v>
      </c>
    </row>
    <row r="4445" spans="1:5">
      <c r="A4445" s="10">
        <v>4384</v>
      </c>
      <c r="C4445" s="2" t="s">
        <v>572</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157362</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654408</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540969</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572</v>
      </c>
      <c r="D4950" s="2" t="str">
        <f t="shared" si="76"/>
        <v>Error?</v>
      </c>
    </row>
    <row r="4951" spans="1:4">
      <c r="A4951" s="5">
        <v>4890</v>
      </c>
      <c r="B4951" s="138">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3014850269</v>
      </c>
      <c r="D4995" s="2" t="str">
        <f t="shared" si="77"/>
        <v>Error?</v>
      </c>
    </row>
    <row r="4996" spans="1:4">
      <c r="A4996" s="12">
        <v>4935</v>
      </c>
      <c r="B4996" s="138">
        <f>'FP Info 3'!H31</f>
        <v>208024668.56100002</v>
      </c>
      <c r="D4996" s="2" t="str">
        <f t="shared" si="77"/>
        <v>Error?</v>
      </c>
    </row>
    <row r="4997" spans="1:4">
      <c r="A4997" s="12">
        <v>4936</v>
      </c>
      <c r="B4997" s="138">
        <f>'FP Info 3'!H37</f>
        <v>86011139</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8">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8">
        <f>'Acct Summary 7-8'!I6</f>
        <v>0</v>
      </c>
      <c r="C5011" s="2" t="s">
        <v>572</v>
      </c>
      <c r="D5011" s="2" t="str">
        <f t="shared" si="77"/>
        <v>Error?</v>
      </c>
    </row>
    <row r="5012" spans="1:4">
      <c r="A5012" s="5">
        <v>4951</v>
      </c>
      <c r="B5012" s="138">
        <f>'Acct Summary 7-8'!C27</f>
        <v>0</v>
      </c>
      <c r="C5012" s="2" t="s">
        <v>572</v>
      </c>
      <c r="D5012" s="2" t="str">
        <f t="shared" si="77"/>
        <v>Error?</v>
      </c>
    </row>
    <row r="5013" spans="1:4">
      <c r="A5013" s="5">
        <v>4952</v>
      </c>
      <c r="B5013" s="138">
        <f>'Acct Summary 7-8'!D27</f>
        <v>0</v>
      </c>
      <c r="D5013" s="2" t="str">
        <f t="shared" si="77"/>
        <v>Error?</v>
      </c>
    </row>
    <row r="5014" spans="1:4">
      <c r="A5014" s="5">
        <v>4953</v>
      </c>
      <c r="B5014" s="138">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572</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47639449</v>
      </c>
      <c r="D5061" s="2" t="str">
        <f t="shared" si="78"/>
        <v>Error?</v>
      </c>
    </row>
    <row r="5062" spans="1:4">
      <c r="A5062" s="10">
        <v>5001</v>
      </c>
      <c r="D5062" s="2" t="str">
        <f t="shared" si="78"/>
        <v>OK</v>
      </c>
    </row>
    <row r="5063" spans="1:4">
      <c r="A5063" s="5">
        <v>5002</v>
      </c>
      <c r="B5063" s="138">
        <f>'Revenues 9-14'!C7</f>
        <v>100757</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47740206</v>
      </c>
      <c r="C5066" s="2" t="s">
        <v>572</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5972728</v>
      </c>
      <c r="D5069" s="2" t="str">
        <f t="shared" si="78"/>
        <v>Error?</v>
      </c>
    </row>
    <row r="5070" spans="1:4">
      <c r="A5070" s="5">
        <v>5009</v>
      </c>
      <c r="B5070" s="138">
        <f>'Revenues 9-14'!C17</f>
        <v>80000</v>
      </c>
      <c r="D5070" s="2" t="str">
        <f t="shared" si="78"/>
        <v>Error?</v>
      </c>
    </row>
    <row r="5071" spans="1:4">
      <c r="A5071" s="5">
        <v>5010</v>
      </c>
      <c r="B5071" s="138">
        <f>'Revenues 9-14'!C18</f>
        <v>6052728</v>
      </c>
      <c r="C5071" s="2" t="s">
        <v>572</v>
      </c>
      <c r="D5071" s="2" t="str">
        <f t="shared" si="78"/>
        <v>Error?</v>
      </c>
    </row>
    <row r="5072" spans="1:4">
      <c r="A5072" s="5">
        <v>5011</v>
      </c>
      <c r="B5072" s="138">
        <f>'Revenues 9-14'!C20</f>
        <v>20477</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86656</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107133</v>
      </c>
      <c r="C5087" s="2" t="s">
        <v>572</v>
      </c>
      <c r="D5087" s="2" t="str">
        <f t="shared" si="78"/>
        <v>Error?</v>
      </c>
    </row>
    <row r="5088" spans="1:4">
      <c r="A5088" s="5">
        <v>5027</v>
      </c>
      <c r="B5088" s="138">
        <f>'Revenues 9-14'!C65</f>
        <v>859145</v>
      </c>
      <c r="D5088" s="2" t="str">
        <f t="shared" si="78"/>
        <v>Error?</v>
      </c>
    </row>
    <row r="5089" spans="1:4">
      <c r="A5089" s="5">
        <v>5028</v>
      </c>
      <c r="B5089" s="138">
        <f>'Revenues 9-14'!C66</f>
        <v>0</v>
      </c>
      <c r="D5089" s="2" t="str">
        <f t="shared" si="78"/>
        <v>Error?</v>
      </c>
    </row>
    <row r="5090" spans="1:4">
      <c r="A5090" s="5">
        <v>5029</v>
      </c>
      <c r="B5090" s="138">
        <f>'Revenues 9-14'!C67</f>
        <v>859145</v>
      </c>
      <c r="C5090" s="2" t="s">
        <v>572</v>
      </c>
      <c r="D5090" s="2" t="str">
        <f t="shared" si="78"/>
        <v>Error?</v>
      </c>
    </row>
    <row r="5091" spans="1:4">
      <c r="A5091" s="5">
        <v>5030</v>
      </c>
      <c r="B5091" s="138">
        <f>'Revenues 9-14'!C70</f>
        <v>28008</v>
      </c>
      <c r="D5091" s="2" t="str">
        <f t="shared" si="78"/>
        <v>Error?</v>
      </c>
    </row>
    <row r="5092" spans="1:4">
      <c r="A5092" s="5">
        <v>5031</v>
      </c>
      <c r="B5092" s="138">
        <f>'Revenues 9-14'!C71</f>
        <v>151336</v>
      </c>
      <c r="D5092" s="2" t="str">
        <f t="shared" si="78"/>
        <v>Error?</v>
      </c>
    </row>
    <row r="5093" spans="1:4">
      <c r="A5093" s="5">
        <v>5032</v>
      </c>
      <c r="B5093" s="138">
        <f>'Revenues 9-14'!C72</f>
        <v>0</v>
      </c>
      <c r="D5093" s="2" t="str">
        <f t="shared" si="78"/>
        <v>Error?</v>
      </c>
    </row>
    <row r="5094" spans="1:4">
      <c r="A5094" s="5">
        <v>5033</v>
      </c>
      <c r="B5094" s="138">
        <f>'Revenues 9-14'!C73</f>
        <v>70872</v>
      </c>
      <c r="D5094" s="2" t="str">
        <f t="shared" si="78"/>
        <v>Error?</v>
      </c>
    </row>
    <row r="5095" spans="1:4">
      <c r="A5095" s="5">
        <v>5034</v>
      </c>
      <c r="B5095" s="138">
        <f>'Revenues 9-14'!C74</f>
        <v>0</v>
      </c>
      <c r="D5095" s="2" t="str">
        <f t="shared" si="78"/>
        <v>Error?</v>
      </c>
    </row>
    <row r="5096" spans="1:4">
      <c r="A5096" s="5">
        <v>5035</v>
      </c>
      <c r="B5096" s="138">
        <f>'Revenues 9-14'!C75</f>
        <v>602552</v>
      </c>
      <c r="C5096" s="2" t="s">
        <v>572</v>
      </c>
      <c r="D5096" s="2" t="str">
        <f t="shared" si="78"/>
        <v>Error?</v>
      </c>
    </row>
    <row r="5097" spans="1:4">
      <c r="A5097" s="5">
        <v>5036</v>
      </c>
      <c r="B5097" s="138">
        <f>'Revenues 9-14'!C77</f>
        <v>35193</v>
      </c>
      <c r="D5097" s="2" t="str">
        <f t="shared" si="78"/>
        <v>Error?</v>
      </c>
    </row>
    <row r="5098" spans="1:4">
      <c r="A5098" s="5">
        <v>5037</v>
      </c>
      <c r="B5098" s="138">
        <f>'Revenues 9-14'!C78</f>
        <v>0</v>
      </c>
      <c r="D5098" s="2" t="str">
        <f t="shared" si="78"/>
        <v>Error?</v>
      </c>
    </row>
    <row r="5099" spans="1:4">
      <c r="A5099" s="5">
        <v>5038</v>
      </c>
      <c r="B5099" s="138">
        <f>'Revenues 9-14'!C79</f>
        <v>292603</v>
      </c>
      <c r="D5099" s="2" t="str">
        <f t="shared" si="78"/>
        <v>Error?</v>
      </c>
    </row>
    <row r="5100" spans="1:4">
      <c r="A5100" s="5">
        <v>5039</v>
      </c>
      <c r="B5100" s="138">
        <f>'Revenues 9-14'!C80</f>
        <v>0</v>
      </c>
      <c r="D5100" s="2" t="str">
        <f t="shared" si="78"/>
        <v>Error?</v>
      </c>
    </row>
    <row r="5101" spans="1:4">
      <c r="A5101" s="5">
        <v>5040</v>
      </c>
      <c r="B5101" s="138">
        <f>'Revenues 9-14'!C81</f>
        <v>0</v>
      </c>
      <c r="D5101" s="2" t="str">
        <f t="shared" si="78"/>
        <v>Error?</v>
      </c>
    </row>
    <row r="5102" spans="1:4">
      <c r="A5102" s="5">
        <v>5041</v>
      </c>
      <c r="B5102" s="138">
        <f>'Revenues 9-14'!C82</f>
        <v>327796</v>
      </c>
      <c r="C5102" s="2" t="s">
        <v>572</v>
      </c>
      <c r="D5102" s="2" t="str">
        <f t="shared" si="78"/>
        <v>Error?</v>
      </c>
    </row>
    <row r="5103" spans="1:4">
      <c r="A5103" s="5">
        <v>5042</v>
      </c>
      <c r="B5103" s="138">
        <f>'Revenues 9-14'!C84</f>
        <v>423369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7259</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430628</v>
      </c>
      <c r="C5112" s="2" t="s">
        <v>572</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0</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170422</v>
      </c>
      <c r="D5119" s="2" t="str">
        <f t="shared" ref="D5119:D5182" si="79">IF(ISBLANK(B5119),"OK",IF(A5119-B5119=0,"OK","Error?"))</f>
        <v>Error?</v>
      </c>
    </row>
    <row r="5120" spans="1:4">
      <c r="A5120" s="5">
        <v>5059</v>
      </c>
      <c r="B5120" s="138">
        <f>'Revenues 9-14'!C108</f>
        <v>312552</v>
      </c>
      <c r="C5120" s="2" t="s">
        <v>572</v>
      </c>
      <c r="D5120" s="2" t="str">
        <f t="shared" si="79"/>
        <v>Error?</v>
      </c>
    </row>
    <row r="5121" spans="1:4">
      <c r="A5121" s="5">
        <v>5060</v>
      </c>
      <c r="B5121" s="138">
        <f>'Revenues 9-14'!C109</f>
        <v>56432740</v>
      </c>
      <c r="C5121" s="2" t="s">
        <v>572</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572</v>
      </c>
      <c r="D5125" s="2" t="str">
        <f t="shared" si="79"/>
        <v>Error?</v>
      </c>
    </row>
    <row r="5126" spans="1:4">
      <c r="A5126" s="5">
        <v>5065</v>
      </c>
      <c r="B5126" s="138">
        <f>'Revenues 9-14'!C117</f>
        <v>16470394</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17011363</v>
      </c>
      <c r="C5132" s="2" t="s">
        <v>572</v>
      </c>
      <c r="D5132" s="2" t="str">
        <f t="shared" si="79"/>
        <v>Error?</v>
      </c>
    </row>
    <row r="5133" spans="1:4">
      <c r="A5133" s="5">
        <v>5072</v>
      </c>
      <c r="B5133" s="138">
        <f>'Revenues 9-14'!C125</f>
        <v>1843249</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385068</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2228317</v>
      </c>
      <c r="C5147" s="2" t="s">
        <v>572</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179354</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179354</v>
      </c>
      <c r="C5161" s="2" t="s">
        <v>572</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572</v>
      </c>
      <c r="D5165" s="2" t="str">
        <f t="shared" si="79"/>
        <v>Error?</v>
      </c>
    </row>
    <row r="5166" spans="1:4">
      <c r="A5166" s="10">
        <v>5105</v>
      </c>
      <c r="D5166" s="2" t="str">
        <f t="shared" si="79"/>
        <v>OK</v>
      </c>
    </row>
    <row r="5167" spans="1:4">
      <c r="A5167" s="5">
        <v>5106</v>
      </c>
      <c r="B5167" s="138">
        <f>'Revenues 9-14'!C146</f>
        <v>23860</v>
      </c>
      <c r="D5167" s="2" t="str">
        <f t="shared" si="79"/>
        <v>Error?</v>
      </c>
    </row>
    <row r="5168" spans="1:4">
      <c r="A5168" s="5">
        <v>5107</v>
      </c>
      <c r="B5168" s="138">
        <f>'Revenues 9-14'!C148</f>
        <v>151602</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4471</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1911</v>
      </c>
    </row>
    <row r="5200" spans="1:5">
      <c r="A5200" s="10">
        <v>5139</v>
      </c>
      <c r="D5200" s="2" t="str">
        <f t="shared" si="80"/>
        <v>OK</v>
      </c>
      <c r="E5200" s="4" t="s">
        <v>1911</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2744966</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19756329</v>
      </c>
      <c r="C5223" s="2" t="s">
        <v>572</v>
      </c>
      <c r="D5223" s="2" t="str">
        <f t="shared" si="80"/>
        <v>Error?</v>
      </c>
    </row>
    <row r="5224" spans="1:4">
      <c r="A5224" s="5">
        <v>5163</v>
      </c>
      <c r="B5224" s="138">
        <f>'Revenues 9-14'!C173</f>
        <v>0</v>
      </c>
      <c r="D5224" s="2" t="str">
        <f t="shared" si="80"/>
        <v>Error?</v>
      </c>
    </row>
    <row r="5225" spans="1:4">
      <c r="A5225" s="5">
        <v>5164</v>
      </c>
      <c r="B5225" s="138">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572</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1291210</v>
      </c>
      <c r="D5239" s="2" t="str">
        <f t="shared" si="80"/>
        <v>Error?</v>
      </c>
    </row>
    <row r="5240" spans="1:4">
      <c r="A5240" s="5">
        <v>5179</v>
      </c>
      <c r="B5240" s="138">
        <f>'Revenues 9-14'!C192</f>
        <v>0</v>
      </c>
      <c r="D5240" s="2" t="str">
        <f t="shared" si="80"/>
        <v>Error?</v>
      </c>
    </row>
    <row r="5241" spans="1:4">
      <c r="A5241" s="5">
        <v>5180</v>
      </c>
      <c r="B5241" s="138">
        <f>'Revenues 9-14'!C193</f>
        <v>180756</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1471966</v>
      </c>
      <c r="C5246" s="2" t="s">
        <v>572</v>
      </c>
      <c r="D5246" s="2" t="str">
        <f t="shared" si="80"/>
        <v>Error?</v>
      </c>
    </row>
    <row r="5247" spans="1:4">
      <c r="A5247" s="5">
        <v>5186</v>
      </c>
      <c r="B5247" s="138">
        <f>'Revenues 9-14'!C200</f>
        <v>1511933</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1911</v>
      </c>
    </row>
    <row r="5255" spans="1:5">
      <c r="A5255" s="5">
        <v>5194</v>
      </c>
      <c r="B5255" s="138">
        <f>'Revenues 9-14'!C202</f>
        <v>0</v>
      </c>
      <c r="D5255" s="2" t="str">
        <f t="shared" si="81"/>
        <v>Error?</v>
      </c>
    </row>
    <row r="5256" spans="1:5">
      <c r="A5256" s="5">
        <v>5195</v>
      </c>
      <c r="B5256" s="138">
        <f>'Revenues 9-14'!C206</f>
        <v>61669</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1511933</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0</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1468744</v>
      </c>
      <c r="D5278" s="2" t="str">
        <f t="shared" si="81"/>
        <v>Error?</v>
      </c>
    </row>
    <row r="5279" spans="1:4">
      <c r="A5279" s="5">
        <v>5218</v>
      </c>
      <c r="B5279" s="138">
        <f>'Revenues 9-14'!C214</f>
        <v>12452</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1481196</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218070</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2470</v>
      </c>
      <c r="D5312" s="2" t="str">
        <f t="shared" si="82"/>
        <v>Error?</v>
      </c>
    </row>
    <row r="5313" spans="1:5">
      <c r="A5313" s="10">
        <v>5252</v>
      </c>
      <c r="D5313" s="2" t="str">
        <f t="shared" si="82"/>
        <v>OK</v>
      </c>
      <c r="E5313" s="4" t="s">
        <v>1911</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5779702</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5779702</v>
      </c>
      <c r="C5326" s="2" t="s">
        <v>572</v>
      </c>
      <c r="D5326" s="2" t="str">
        <f t="shared" si="82"/>
        <v>Error?</v>
      </c>
    </row>
    <row r="5327" spans="1:5">
      <c r="A5327" s="5">
        <v>5266</v>
      </c>
      <c r="B5327" s="138">
        <f>'Revenues 9-14'!C268</f>
        <v>81968771</v>
      </c>
      <c r="C5327" s="2" t="s">
        <v>572</v>
      </c>
      <c r="D5327" s="2" t="str">
        <f t="shared" si="82"/>
        <v>Error?</v>
      </c>
    </row>
    <row r="5328" spans="1:5">
      <c r="A5328" s="5">
        <v>5267</v>
      </c>
      <c r="B5328" s="138">
        <f>'Revenues 9-14'!D5</f>
        <v>9031059</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9031059</v>
      </c>
      <c r="C5334" s="2" t="s">
        <v>572</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800000</v>
      </c>
      <c r="D5337" s="2" t="str">
        <f t="shared" si="82"/>
        <v>Error?</v>
      </c>
    </row>
    <row r="5338" spans="1:4">
      <c r="A5338" s="5">
        <v>5277</v>
      </c>
      <c r="B5338" s="138">
        <f>'Revenues 9-14'!D17</f>
        <v>0</v>
      </c>
      <c r="D5338" s="2" t="str">
        <f t="shared" si="82"/>
        <v>Error?</v>
      </c>
    </row>
    <row r="5339" spans="1:4">
      <c r="A5339" s="5">
        <v>5278</v>
      </c>
      <c r="B5339" s="138">
        <f>'Revenues 9-14'!D18</f>
        <v>800000</v>
      </c>
      <c r="C5339" s="2" t="s">
        <v>572</v>
      </c>
      <c r="D5339" s="2" t="str">
        <f t="shared" si="82"/>
        <v>Error?</v>
      </c>
    </row>
    <row r="5340" spans="1:4">
      <c r="A5340" s="5">
        <v>5279</v>
      </c>
      <c r="B5340" s="138">
        <f>'Revenues 9-14'!D65</f>
        <v>54917</v>
      </c>
      <c r="D5340" s="2" t="str">
        <f t="shared" si="82"/>
        <v>Error?</v>
      </c>
    </row>
    <row r="5341" spans="1:4">
      <c r="A5341" s="5">
        <v>5280</v>
      </c>
      <c r="B5341" s="138">
        <f>'Revenues 9-14'!D66</f>
        <v>0</v>
      </c>
      <c r="D5341" s="2" t="str">
        <f t="shared" si="82"/>
        <v>Error?</v>
      </c>
    </row>
    <row r="5342" spans="1:4">
      <c r="A5342" s="5">
        <v>5281</v>
      </c>
      <c r="B5342" s="138">
        <f>'Revenues 9-14'!D67</f>
        <v>54917</v>
      </c>
      <c r="C5342" s="2" t="s">
        <v>572</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572</v>
      </c>
      <c r="D5348" s="2" t="str">
        <f t="shared" si="82"/>
        <v>Error?</v>
      </c>
    </row>
    <row r="5349" spans="1:4">
      <c r="A5349" s="5">
        <v>5288</v>
      </c>
      <c r="B5349" s="138">
        <f>'Revenues 9-14'!D95</f>
        <v>85817</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0</v>
      </c>
      <c r="D5352" s="2" t="str">
        <f t="shared" si="82"/>
        <v>Error?</v>
      </c>
    </row>
    <row r="5353" spans="1:4">
      <c r="A5353" s="5">
        <v>5292</v>
      </c>
      <c r="B5353" s="138">
        <f>'Revenues 9-14'!D104</f>
        <v>0</v>
      </c>
      <c r="D5353" s="2" t="str">
        <f t="shared" si="82"/>
        <v>Error?</v>
      </c>
    </row>
    <row r="5354" spans="1:4">
      <c r="A5354" s="5">
        <v>5293</v>
      </c>
      <c r="B5354" s="138">
        <f>'Revenues 9-14'!D107</f>
        <v>201</v>
      </c>
      <c r="D5354" s="2" t="str">
        <f t="shared" si="82"/>
        <v>Error?</v>
      </c>
    </row>
    <row r="5355" spans="1:4">
      <c r="A5355" s="5">
        <v>5294</v>
      </c>
      <c r="B5355" s="138">
        <f>'Revenues 9-14'!D108</f>
        <v>86018</v>
      </c>
      <c r="C5355" s="2" t="s">
        <v>572</v>
      </c>
      <c r="D5355" s="2" t="str">
        <f t="shared" si="82"/>
        <v>Error?</v>
      </c>
    </row>
    <row r="5356" spans="1:4">
      <c r="A5356" s="5">
        <v>5295</v>
      </c>
      <c r="B5356" s="138">
        <f>'Revenues 9-14'!D109</f>
        <v>9971994</v>
      </c>
      <c r="C5356" s="2" t="s">
        <v>572</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572</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572</v>
      </c>
      <c r="D5367" s="2" t="str">
        <f t="shared" si="82"/>
        <v>Error?</v>
      </c>
    </row>
    <row r="5368" spans="1:4">
      <c r="A5368" s="5">
        <v>5307</v>
      </c>
      <c r="B5368" s="138">
        <f>'Revenues 9-14'!D127</f>
        <v>0</v>
      </c>
      <c r="D5368" s="2" t="str">
        <f t="shared" si="82"/>
        <v>Error?</v>
      </c>
    </row>
    <row r="5369" spans="1:4">
      <c r="A5369" s="5">
        <v>5308</v>
      </c>
      <c r="B5369" s="138">
        <f>'Revenues 9-14'!D132</f>
        <v>0</v>
      </c>
      <c r="C5369" s="2" t="s">
        <v>572</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572</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572</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572</v>
      </c>
      <c r="D5421" s="2" t="str">
        <f t="shared" si="83"/>
        <v>Error?</v>
      </c>
    </row>
    <row r="5422" spans="1:4">
      <c r="A5422" s="5">
        <v>5361</v>
      </c>
      <c r="B5422" s="138">
        <f>'Revenues 9-14'!D173</f>
        <v>0</v>
      </c>
      <c r="D5422" s="2" t="str">
        <f t="shared" si="83"/>
        <v>Error?</v>
      </c>
    </row>
    <row r="5423" spans="1:4">
      <c r="A5423" s="5">
        <v>5362</v>
      </c>
      <c r="B5423" s="138">
        <f>'Revenues 9-14'!D175</f>
        <v>0</v>
      </c>
      <c r="C5423" s="2" t="s">
        <v>572</v>
      </c>
      <c r="D5423" s="2" t="str">
        <f t="shared" si="83"/>
        <v>Error?</v>
      </c>
    </row>
    <row r="5424" spans="1:4">
      <c r="A5424" s="5">
        <v>5363</v>
      </c>
      <c r="B5424" s="138">
        <f>'Revenues 9-14'!D178</f>
        <v>0</v>
      </c>
      <c r="D5424" s="2" t="str">
        <f t="shared" si="83"/>
        <v>Error?</v>
      </c>
    </row>
    <row r="5425" spans="1:5">
      <c r="A5425" s="5">
        <v>5364</v>
      </c>
      <c r="B5425" s="138">
        <f>'Revenues 9-14'!D181</f>
        <v>0</v>
      </c>
      <c r="C5425" s="2" t="s">
        <v>572</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1911</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572</v>
      </c>
      <c r="D5507" s="2" t="str">
        <f t="shared" si="85"/>
        <v>Error?</v>
      </c>
    </row>
    <row r="5508" spans="1:4">
      <c r="A5508" s="5">
        <v>5447</v>
      </c>
      <c r="B5508" s="138">
        <f>'Revenues 9-14'!D268</f>
        <v>9971994</v>
      </c>
      <c r="C5508" s="2" t="s">
        <v>572</v>
      </c>
      <c r="D5508" s="2" t="str">
        <f t="shared" si="85"/>
        <v>Error?</v>
      </c>
    </row>
    <row r="5509" spans="1:4">
      <c r="A5509" s="5">
        <v>5448</v>
      </c>
      <c r="B5509" s="138">
        <f>'Revenues 9-14'!E5</f>
        <v>7494504</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7494504</v>
      </c>
      <c r="C5513" s="2" t="s">
        <v>572</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572</v>
      </c>
      <c r="D5518" s="2" t="str">
        <f t="shared" si="85"/>
        <v>Error?</v>
      </c>
    </row>
    <row r="5519" spans="1:4">
      <c r="A5519" s="5">
        <v>5458</v>
      </c>
      <c r="B5519" s="138">
        <f>'Revenues 9-14'!E65</f>
        <v>28785</v>
      </c>
      <c r="D5519" s="2" t="str">
        <f t="shared" si="85"/>
        <v>Error?</v>
      </c>
    </row>
    <row r="5520" spans="1:4">
      <c r="A5520" s="5">
        <v>5459</v>
      </c>
      <c r="B5520" s="138">
        <f>'Revenues 9-14'!E66</f>
        <v>0</v>
      </c>
      <c r="D5520" s="2" t="str">
        <f t="shared" si="85"/>
        <v>Error?</v>
      </c>
    </row>
    <row r="5521" spans="1:4">
      <c r="A5521" s="5">
        <v>5460</v>
      </c>
      <c r="B5521" s="138">
        <f>'Revenues 9-14'!E67</f>
        <v>28785</v>
      </c>
      <c r="C5521" s="2" t="s">
        <v>572</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572</v>
      </c>
      <c r="D5526" s="2" t="str">
        <f t="shared" si="85"/>
        <v>Error?</v>
      </c>
    </row>
    <row r="5527" spans="1:4">
      <c r="A5527" s="5">
        <v>5466</v>
      </c>
      <c r="B5527" s="138">
        <f>'Revenues 9-14'!E109</f>
        <v>7523289</v>
      </c>
      <c r="C5527" s="2" t="s">
        <v>572</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7837365</v>
      </c>
      <c r="C5552" s="2" t="s">
        <v>572</v>
      </c>
      <c r="D5552" s="2" t="str">
        <f t="shared" si="85"/>
        <v>Error?</v>
      </c>
    </row>
    <row r="5553" spans="1:4">
      <c r="A5553" s="5">
        <v>5492</v>
      </c>
      <c r="B5553" s="138">
        <f>'Revenues 9-14'!F5</f>
        <v>3536373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3536373</v>
      </c>
      <c r="C5557" s="2" t="s">
        <v>572</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338057</v>
      </c>
      <c r="D5560" s="2" t="str">
        <f t="shared" si="85"/>
        <v>Error?</v>
      </c>
    </row>
    <row r="5561" spans="1:4">
      <c r="A5561" s="5">
        <v>5500</v>
      </c>
      <c r="B5561" s="138">
        <f>'Revenues 9-14'!F17</f>
        <v>0</v>
      </c>
      <c r="D5561" s="2" t="str">
        <f t="shared" si="85"/>
        <v>Error?</v>
      </c>
    </row>
    <row r="5562" spans="1:4">
      <c r="A5562" s="5">
        <v>5501</v>
      </c>
      <c r="B5562" s="138">
        <f>'Revenues 9-14'!F18</f>
        <v>338057</v>
      </c>
      <c r="C5562" s="2" t="s">
        <v>572</v>
      </c>
      <c r="D5562" s="2" t="str">
        <f t="shared" si="85"/>
        <v>Error?</v>
      </c>
    </row>
    <row r="5563" spans="1:4">
      <c r="A5563" s="5">
        <v>5502</v>
      </c>
      <c r="B5563" s="138">
        <f>'Revenues 9-14'!F42</f>
        <v>0</v>
      </c>
      <c r="D5563" s="2" t="str">
        <f t="shared" si="85"/>
        <v>Error?</v>
      </c>
    </row>
    <row r="5564" spans="1:4">
      <c r="A5564" s="5">
        <v>5503</v>
      </c>
      <c r="B5564" s="138">
        <f>'Revenues 9-14'!F43</f>
        <v>162590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162590</v>
      </c>
      <c r="C5579" s="2" t="s">
        <v>572</v>
      </c>
      <c r="D5579" s="2" t="str">
        <f t="shared" si="86"/>
        <v>Error?</v>
      </c>
    </row>
    <row r="5580" spans="1:4">
      <c r="A5580" s="5">
        <v>5519</v>
      </c>
      <c r="B5580" s="138">
        <f>'Revenues 9-14'!F65</f>
        <v>143334</v>
      </c>
      <c r="D5580" s="2" t="str">
        <f t="shared" si="86"/>
        <v>Error?</v>
      </c>
    </row>
    <row r="5581" spans="1:4">
      <c r="A5581" s="5">
        <v>5520</v>
      </c>
      <c r="B5581" s="138">
        <f>'Revenues 9-14'!F66</f>
        <v>0</v>
      </c>
      <c r="D5581" s="2" t="str">
        <f t="shared" si="86"/>
        <v>Error?</v>
      </c>
    </row>
    <row r="5582" spans="1:4">
      <c r="A5582" s="5">
        <v>5521</v>
      </c>
      <c r="B5582" s="138">
        <f>'Revenues 9-14'!F67</f>
        <v>143334</v>
      </c>
      <c r="C5582" s="2" t="s">
        <v>572</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572</v>
      </c>
      <c r="D5587" s="2" t="str">
        <f t="shared" si="86"/>
        <v>Error?</v>
      </c>
    </row>
    <row r="5588" spans="1:4">
      <c r="A5588" s="5">
        <v>5527</v>
      </c>
      <c r="B5588" s="138">
        <f>'Revenues 9-14'!F109</f>
        <v>4180354</v>
      </c>
      <c r="C5588" s="2" t="s">
        <v>572</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572</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572</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572</v>
      </c>
      <c r="D5614" s="2" t="str">
        <f t="shared" si="86"/>
        <v>Error?</v>
      </c>
    </row>
    <row r="5615" spans="1:4">
      <c r="A5615" s="5">
        <v>5554</v>
      </c>
      <c r="B5615" s="138">
        <f>'Revenues 9-14'!F152</f>
        <v>844350</v>
      </c>
      <c r="D5615" s="2" t="str">
        <f t="shared" si="86"/>
        <v>Error?</v>
      </c>
    </row>
    <row r="5616" spans="1:4">
      <c r="A5616" s="10">
        <v>5555</v>
      </c>
      <c r="D5616" s="2" t="str">
        <f t="shared" si="86"/>
        <v>OK</v>
      </c>
    </row>
    <row r="5617" spans="1:5">
      <c r="A5617" s="5">
        <v>5556</v>
      </c>
      <c r="B5617" s="138">
        <f>'Revenues 9-14'!F153</f>
        <v>3257953</v>
      </c>
      <c r="D5617" s="2" t="str">
        <f t="shared" si="86"/>
        <v>Error?</v>
      </c>
    </row>
    <row r="5618" spans="1:5">
      <c r="A5618" s="5">
        <v>5557</v>
      </c>
      <c r="B5618" s="138">
        <f>'Revenues 9-14'!F155</f>
        <v>4102303</v>
      </c>
      <c r="C5618" s="2" t="s">
        <v>572</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1911</v>
      </c>
    </row>
    <row r="5631" spans="1:5">
      <c r="A5631" s="10">
        <v>5570</v>
      </c>
      <c r="D5631" s="2" t="str">
        <f t="shared" ref="D5631:D5694" si="87">IF(ISBLANK(B5631),"OK",IF(A5631-B5631=0,"OK","Error?"))</f>
        <v>OK</v>
      </c>
      <c r="E5631" s="4" t="s">
        <v>1911</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4102303</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4102303</v>
      </c>
      <c r="C5653" s="2" t="s">
        <v>572</v>
      </c>
      <c r="D5653" s="2" t="str">
        <f t="shared" si="87"/>
        <v>Error?</v>
      </c>
    </row>
    <row r="5654" spans="1:4">
      <c r="A5654" s="5">
        <v>5593</v>
      </c>
      <c r="B5654" s="138">
        <f>'Revenues 9-14'!F173</f>
        <v>0</v>
      </c>
      <c r="D5654" s="2" t="str">
        <f t="shared" si="87"/>
        <v>Error?</v>
      </c>
    </row>
    <row r="5655" spans="1:4">
      <c r="A5655" s="5">
        <v>5594</v>
      </c>
      <c r="B5655" s="138">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572</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1911</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572</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1911</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572</v>
      </c>
      <c r="D5719" s="2" t="str">
        <f t="shared" si="88"/>
        <v>Error?</v>
      </c>
    </row>
    <row r="5720" spans="1:4">
      <c r="A5720" s="5">
        <v>5659</v>
      </c>
      <c r="B5720" s="138">
        <f>'Revenues 9-14'!F268</f>
        <v>8282657</v>
      </c>
      <c r="C5720" s="2" t="s">
        <v>572</v>
      </c>
      <c r="D5720" s="2" t="str">
        <f t="shared" si="88"/>
        <v>Error?</v>
      </c>
    </row>
    <row r="5721" spans="1:4">
      <c r="A5721" s="5">
        <v>5660</v>
      </c>
      <c r="B5721" s="138">
        <f>'Revenues 9-14'!G5</f>
        <v>1641681</v>
      </c>
      <c r="D5721" s="2" t="str">
        <f t="shared" si="88"/>
        <v>Error?</v>
      </c>
    </row>
    <row r="5722" spans="1:4">
      <c r="A5722" s="5">
        <v>5661</v>
      </c>
      <c r="B5722" s="138">
        <f>'Revenues 9-14'!G7</f>
        <v>0</v>
      </c>
      <c r="D5722" s="2" t="str">
        <f t="shared" si="88"/>
        <v>Error?</v>
      </c>
    </row>
    <row r="5723" spans="1:4">
      <c r="A5723" s="5">
        <v>5662</v>
      </c>
      <c r="B5723" s="138">
        <f>'Revenues 9-14'!G8</f>
        <v>1920832</v>
      </c>
      <c r="D5723" s="2" t="str">
        <f t="shared" si="88"/>
        <v>Error?</v>
      </c>
    </row>
    <row r="5724" spans="1:4">
      <c r="A5724" s="5">
        <v>5663</v>
      </c>
      <c r="B5724" s="138">
        <f>'Revenues 9-14'!G11</f>
        <v>0</v>
      </c>
      <c r="D5724" s="2" t="str">
        <f t="shared" si="88"/>
        <v>Error?</v>
      </c>
    </row>
    <row r="5725" spans="1:4">
      <c r="A5725" s="5">
        <v>5664</v>
      </c>
      <c r="B5725" s="138">
        <f>'Revenues 9-14'!G12</f>
        <v>3562513</v>
      </c>
      <c r="C5725" s="2" t="s">
        <v>572</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200000</v>
      </c>
      <c r="D5728" s="2" t="str">
        <f t="shared" si="88"/>
        <v>Error?</v>
      </c>
    </row>
    <row r="5729" spans="1:4">
      <c r="A5729" s="5">
        <v>5668</v>
      </c>
      <c r="B5729" s="138">
        <f>'Revenues 9-14'!G17</f>
        <v>0</v>
      </c>
      <c r="D5729" s="2" t="str">
        <f t="shared" si="88"/>
        <v>Error?</v>
      </c>
    </row>
    <row r="5730" spans="1:4">
      <c r="A5730" s="5">
        <v>5669</v>
      </c>
      <c r="B5730" s="138">
        <f>'Revenues 9-14'!G18</f>
        <v>200000</v>
      </c>
      <c r="C5730" s="2" t="s">
        <v>572</v>
      </c>
      <c r="D5730" s="2" t="str">
        <f t="shared" si="88"/>
        <v>Error?</v>
      </c>
    </row>
    <row r="5731" spans="1:4">
      <c r="A5731" s="5">
        <v>5670</v>
      </c>
      <c r="B5731" s="138">
        <f>'Revenues 9-14'!G65</f>
        <v>39541</v>
      </c>
      <c r="D5731" s="2" t="str">
        <f t="shared" si="88"/>
        <v>Error?</v>
      </c>
    </row>
    <row r="5732" spans="1:4">
      <c r="A5732" s="5">
        <v>5671</v>
      </c>
      <c r="B5732" s="138">
        <f>'Revenues 9-14'!G66</f>
        <v>0</v>
      </c>
      <c r="D5732" s="2" t="str">
        <f t="shared" si="88"/>
        <v>Error?</v>
      </c>
    </row>
    <row r="5733" spans="1:4">
      <c r="A5733" s="5">
        <v>5672</v>
      </c>
      <c r="B5733" s="138">
        <f>'Revenues 9-14'!G67</f>
        <v>39541</v>
      </c>
      <c r="C5733" s="2" t="s">
        <v>572</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572</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572</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572</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572</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572</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1911</v>
      </c>
    </row>
    <row r="5768" spans="1:5">
      <c r="A5768" s="10">
        <v>5707</v>
      </c>
      <c r="D5768" s="2" t="str">
        <f t="shared" si="89"/>
        <v>OK</v>
      </c>
      <c r="E5768" s="4" t="s">
        <v>1911</v>
      </c>
    </row>
    <row r="5769" spans="1:5">
      <c r="A5769" s="10">
        <v>5708</v>
      </c>
      <c r="D5769" s="2" t="str">
        <f t="shared" si="89"/>
        <v>OK</v>
      </c>
    </row>
    <row r="5770" spans="1:5">
      <c r="A5770" s="5">
        <v>5709</v>
      </c>
      <c r="B5770" s="138">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572</v>
      </c>
      <c r="D5778" s="2" t="str">
        <f t="shared" si="89"/>
        <v>Error?</v>
      </c>
    </row>
    <row r="5779" spans="1:4">
      <c r="A5779" s="5">
        <v>5718</v>
      </c>
      <c r="B5779" s="138">
        <f>'Revenues 9-14'!G173</f>
        <v>0</v>
      </c>
      <c r="D5779" s="2" t="str">
        <f t="shared" si="89"/>
        <v>Error?</v>
      </c>
    </row>
    <row r="5780" spans="1:4">
      <c r="A5780" s="5">
        <v>5719</v>
      </c>
      <c r="B5780" s="138">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572</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1911</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1911</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572</v>
      </c>
      <c r="D5869" s="2" t="str">
        <f t="shared" si="90"/>
        <v>Error?</v>
      </c>
    </row>
    <row r="5870" spans="1:4">
      <c r="A5870" s="5">
        <v>5809</v>
      </c>
      <c r="B5870" s="138">
        <f>'Revenues 9-14'!G268</f>
        <v>3802054</v>
      </c>
      <c r="C5870" s="2" t="s">
        <v>572</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572</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572</v>
      </c>
      <c r="D5878" s="2" t="str">
        <f t="shared" si="90"/>
        <v>Error?</v>
      </c>
    </row>
    <row r="5879" spans="1:4">
      <c r="A5879" s="5">
        <v>5818</v>
      </c>
      <c r="B5879" s="138">
        <f>'Revenues 9-14'!H65</f>
        <v>85588</v>
      </c>
      <c r="D5879" s="2" t="str">
        <f t="shared" si="90"/>
        <v>Error?</v>
      </c>
    </row>
    <row r="5880" spans="1:4">
      <c r="A5880" s="5">
        <v>5819</v>
      </c>
      <c r="B5880" s="138">
        <f>'Revenues 9-14'!H66</f>
        <v>0</v>
      </c>
      <c r="D5880" s="2" t="str">
        <f t="shared" si="90"/>
        <v>Error?</v>
      </c>
    </row>
    <row r="5881" spans="1:4">
      <c r="A5881" s="5">
        <v>5820</v>
      </c>
      <c r="B5881" s="138">
        <f>'Revenues 9-14'!H67</f>
        <v>85588</v>
      </c>
      <c r="C5881" s="2" t="s">
        <v>572</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111565</v>
      </c>
      <c r="C5886" s="2" t="s">
        <v>572</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572</v>
      </c>
      <c r="D5906" s="2" t="str">
        <f t="shared" si="91"/>
        <v>Error?</v>
      </c>
    </row>
    <row r="5907" spans="1:4">
      <c r="A5907" s="5">
        <v>5846</v>
      </c>
      <c r="B5907" s="138">
        <f>'Revenues 9-14'!H178</f>
        <v>0</v>
      </c>
      <c r="D5907" s="2" t="str">
        <f t="shared" si="91"/>
        <v>Error?</v>
      </c>
    </row>
    <row r="5908" spans="1:4">
      <c r="A5908" s="5">
        <v>5847</v>
      </c>
      <c r="B5908" s="138">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572</v>
      </c>
      <c r="D5914" s="2" t="str">
        <f t="shared" si="91"/>
        <v>Error?</v>
      </c>
    </row>
    <row r="5915" spans="1:4">
      <c r="A5915" s="5">
        <v>5854</v>
      </c>
      <c r="B5915" s="138">
        <f>'Revenues 9-14'!H268</f>
        <v>197153</v>
      </c>
      <c r="C5915" s="2" t="s">
        <v>572</v>
      </c>
      <c r="D5915" s="2" t="str">
        <f t="shared" si="91"/>
        <v>Error?</v>
      </c>
    </row>
    <row r="5916" spans="1:4">
      <c r="A5916" s="5">
        <v>5855</v>
      </c>
      <c r="B5916" s="138">
        <f>'Revenues 9-14'!I5</f>
        <v>988228</v>
      </c>
      <c r="D5916" s="2" t="str">
        <f t="shared" si="91"/>
        <v>Error?</v>
      </c>
    </row>
    <row r="5917" spans="1:4">
      <c r="A5917" s="5">
        <v>5856</v>
      </c>
      <c r="B5917" s="138">
        <f>'Revenues 9-14'!I11</f>
        <v>0</v>
      </c>
      <c r="D5917" s="2" t="str">
        <f t="shared" si="91"/>
        <v>Error?</v>
      </c>
    </row>
    <row r="5918" spans="1:4">
      <c r="A5918" s="5">
        <v>5857</v>
      </c>
      <c r="B5918" s="138">
        <f>'Revenues 9-14'!I12</f>
        <v>988228</v>
      </c>
      <c r="C5918" s="2" t="s">
        <v>572</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572</v>
      </c>
      <c r="D5923" s="2" t="str">
        <f t="shared" si="91"/>
        <v>Error?</v>
      </c>
    </row>
    <row r="5924" spans="1:4">
      <c r="A5924" s="5">
        <v>5863</v>
      </c>
      <c r="B5924" s="138">
        <f>'Revenues 9-14'!I65</f>
        <v>285272</v>
      </c>
      <c r="D5924" s="2" t="str">
        <f t="shared" si="91"/>
        <v>Error?</v>
      </c>
    </row>
    <row r="5925" spans="1:4">
      <c r="A5925" s="5">
        <v>5864</v>
      </c>
      <c r="B5925" s="138">
        <f>'Revenues 9-14'!I66</f>
        <v>0</v>
      </c>
      <c r="D5925" s="2" t="str">
        <f t="shared" si="91"/>
        <v>Error?</v>
      </c>
    </row>
    <row r="5926" spans="1:4">
      <c r="A5926" s="5">
        <v>5865</v>
      </c>
      <c r="B5926" s="138">
        <f>'Revenues 9-14'!I67</f>
        <v>285272</v>
      </c>
      <c r="C5926" s="2" t="s">
        <v>572</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1273500</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572</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572</v>
      </c>
      <c r="D5992" s="2" t="str">
        <f t="shared" si="92"/>
        <v>Error?</v>
      </c>
    </row>
    <row r="5993" spans="1:4">
      <c r="A5993" s="5">
        <v>5932</v>
      </c>
      <c r="B5993" s="138">
        <f>'Revenues 9-14'!K65</f>
        <v>0</v>
      </c>
      <c r="D5993" s="2" t="str">
        <f t="shared" si="92"/>
        <v>Error?</v>
      </c>
    </row>
    <row r="5994" spans="1:4">
      <c r="A5994" s="5">
        <v>5933</v>
      </c>
      <c r="B5994" s="138">
        <f>'Revenues 9-14'!K66</f>
        <v>0</v>
      </c>
      <c r="D5994" s="2" t="str">
        <f t="shared" si="92"/>
        <v>Error?</v>
      </c>
    </row>
    <row r="5995" spans="1:4">
      <c r="A5995" s="5">
        <v>5934</v>
      </c>
      <c r="B5995" s="138">
        <f>'Revenues 9-14'!K67</f>
        <v>0</v>
      </c>
      <c r="C5995" s="2" t="s">
        <v>572</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572</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572</v>
      </c>
      <c r="D6022" s="2" t="str">
        <f t="shared" si="93"/>
        <v>Error?</v>
      </c>
    </row>
    <row r="6023" spans="1:5">
      <c r="A6023" s="5">
        <v>5962</v>
      </c>
      <c r="B6023" s="138">
        <f>'Revenues 9-14'!K268</f>
        <v>0</v>
      </c>
      <c r="C6023" s="2" t="s">
        <v>572</v>
      </c>
      <c r="D6023" s="2" t="str">
        <f t="shared" si="93"/>
        <v>Error?</v>
      </c>
    </row>
    <row r="6024" spans="1:5">
      <c r="A6024" s="5">
        <v>5963</v>
      </c>
      <c r="B6024" s="138">
        <f>'Revenues 9-14'!G109</f>
        <v>3802054</v>
      </c>
      <c r="C6024" s="2" t="s">
        <v>572</v>
      </c>
      <c r="D6024" s="2" t="str">
        <f t="shared" si="93"/>
        <v>Error?</v>
      </c>
    </row>
    <row r="6025" spans="1:5">
      <c r="A6025" s="5">
        <v>5964</v>
      </c>
      <c r="B6025" s="138">
        <f>'Revenues 9-14'!H109</f>
        <v>197153</v>
      </c>
      <c r="C6025" s="2" t="s">
        <v>572</v>
      </c>
      <c r="D6025" s="2" t="str">
        <f t="shared" si="93"/>
        <v>Error?</v>
      </c>
    </row>
    <row r="6026" spans="1:5">
      <c r="A6026" s="5">
        <v>5965</v>
      </c>
      <c r="B6026" s="138">
        <f>'Revenues 9-14'!I109</f>
        <v>1273500</v>
      </c>
      <c r="C6026" s="2" t="s">
        <v>572</v>
      </c>
      <c r="D6026" s="2" t="str">
        <f t="shared" si="93"/>
        <v>Error?</v>
      </c>
    </row>
    <row r="6027" spans="1:5">
      <c r="A6027" s="10">
        <v>5966</v>
      </c>
      <c r="C6027" s="2" t="s">
        <v>572</v>
      </c>
      <c r="D6027" s="2" t="str">
        <f t="shared" si="93"/>
        <v>OK</v>
      </c>
    </row>
    <row r="6028" spans="1:5">
      <c r="A6028" s="5">
        <v>5967</v>
      </c>
      <c r="B6028" s="138">
        <f>'Revenues 9-14'!K109</f>
        <v>0</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352336</v>
      </c>
      <c r="D6031" s="2" t="str">
        <f t="shared" si="93"/>
        <v>Error?</v>
      </c>
    </row>
    <row r="6032" spans="1:5">
      <c r="A6032" s="5">
        <v>5971</v>
      </c>
      <c r="B6032" s="138">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9"/>
      <c r="C6034" s="2" t="s">
        <v>572</v>
      </c>
      <c r="D6034" s="2" t="str">
        <f t="shared" si="93"/>
        <v>OK</v>
      </c>
      <c r="E6034" s="2" t="s">
        <v>752</v>
      </c>
    </row>
    <row r="6035" spans="1:5">
      <c r="A6035" s="13">
        <v>5974</v>
      </c>
      <c r="B6035" s="139">
        <f>'ICR Computation 30'!E11</f>
        <v>178670</v>
      </c>
      <c r="C6035" s="2" t="s">
        <v>572</v>
      </c>
      <c r="D6035" s="2" t="str">
        <f t="shared" si="93"/>
        <v>Error?</v>
      </c>
      <c r="E6035" s="2" t="s">
        <v>919</v>
      </c>
    </row>
    <row r="6036" spans="1:5">
      <c r="A6036" s="35">
        <v>5975</v>
      </c>
      <c r="B6036" s="139"/>
      <c r="D6036" s="2" t="str">
        <f t="shared" si="93"/>
        <v>OK</v>
      </c>
      <c r="E6036" s="2" t="s">
        <v>919</v>
      </c>
    </row>
    <row r="6037" spans="1:5">
      <c r="A6037" s="35">
        <v>5976</v>
      </c>
      <c r="B6037" s="139"/>
      <c r="D6037" s="2" t="str">
        <f t="shared" si="93"/>
        <v>OK</v>
      </c>
      <c r="E6037" s="2" t="s">
        <v>919</v>
      </c>
    </row>
    <row r="6038" spans="1:5">
      <c r="A6038" s="35">
        <v>5977</v>
      </c>
      <c r="B6038" s="139"/>
      <c r="D6038" s="2" t="str">
        <f t="shared" si="93"/>
        <v>OK</v>
      </c>
      <c r="E6038" s="2" t="s">
        <v>919</v>
      </c>
    </row>
    <row r="6039" spans="1:5">
      <c r="A6039" s="35">
        <v>5978</v>
      </c>
      <c r="B6039" s="139"/>
      <c r="D6039" s="2" t="str">
        <f t="shared" si="93"/>
        <v>OK</v>
      </c>
      <c r="E6039" s="2" t="s">
        <v>919</v>
      </c>
    </row>
    <row r="6040" spans="1:5">
      <c r="A6040" s="35">
        <v>5979</v>
      </c>
      <c r="B6040" s="139"/>
      <c r="D6040" s="2" t="str">
        <f t="shared" si="93"/>
        <v>OK</v>
      </c>
      <c r="E6040" s="2" t="s">
        <v>919</v>
      </c>
    </row>
    <row r="6041" spans="1:5">
      <c r="A6041" s="35">
        <v>5980</v>
      </c>
      <c r="B6041" s="139"/>
      <c r="D6041" s="2" t="str">
        <f t="shared" si="93"/>
        <v>OK</v>
      </c>
      <c r="E6041" s="2" t="s">
        <v>919</v>
      </c>
    </row>
    <row r="6042" spans="1:5">
      <c r="A6042" s="35">
        <v>5981</v>
      </c>
      <c r="B6042" s="139"/>
      <c r="D6042" s="2" t="str">
        <f t="shared" si="93"/>
        <v>OK</v>
      </c>
      <c r="E6042" s="2" t="s">
        <v>919</v>
      </c>
    </row>
    <row r="6043" spans="1:5">
      <c r="A6043" s="35">
        <v>5982</v>
      </c>
      <c r="B6043" s="139"/>
      <c r="D6043" s="2" t="str">
        <f t="shared" si="93"/>
        <v>OK</v>
      </c>
      <c r="E6043" s="2" t="s">
        <v>919</v>
      </c>
    </row>
    <row r="6044" spans="1:5">
      <c r="A6044" s="35">
        <v>5983</v>
      </c>
      <c r="B6044" s="139"/>
      <c r="D6044" s="2" t="str">
        <f t="shared" si="93"/>
        <v>OK</v>
      </c>
      <c r="E6044" s="2" t="s">
        <v>919</v>
      </c>
    </row>
    <row r="6045" spans="1:5">
      <c r="A6045" s="35">
        <v>5984</v>
      </c>
      <c r="B6045" s="139"/>
      <c r="D6045" s="2" t="str">
        <f t="shared" si="93"/>
        <v>OK</v>
      </c>
      <c r="E6045" s="2" t="s">
        <v>919</v>
      </c>
    </row>
    <row r="6046" spans="1:5">
      <c r="A6046" s="35">
        <v>5985</v>
      </c>
      <c r="B6046" s="139"/>
      <c r="D6046" s="2" t="str">
        <f t="shared" si="93"/>
        <v>OK</v>
      </c>
      <c r="E6046" s="2" t="s">
        <v>919</v>
      </c>
    </row>
    <row r="6047" spans="1:5">
      <c r="A6047" s="35">
        <v>5986</v>
      </c>
      <c r="B6047" s="139"/>
      <c r="D6047" s="2" t="str">
        <f t="shared" si="93"/>
        <v>OK</v>
      </c>
      <c r="E6047" s="2" t="s">
        <v>919</v>
      </c>
    </row>
    <row r="6048" spans="1:5">
      <c r="A6048" s="35">
        <v>5987</v>
      </c>
      <c r="B6048" s="139"/>
      <c r="D6048" s="2" t="str">
        <f t="shared" si="93"/>
        <v>OK</v>
      </c>
      <c r="E6048" s="2" t="s">
        <v>919</v>
      </c>
    </row>
    <row r="6049" spans="1:5">
      <c r="A6049" s="35">
        <v>5988</v>
      </c>
      <c r="B6049" s="139"/>
      <c r="D6049" s="2" t="str">
        <f t="shared" si="93"/>
        <v>OK</v>
      </c>
      <c r="E6049" s="2" t="s">
        <v>919</v>
      </c>
    </row>
    <row r="6050" spans="1:5">
      <c r="A6050" s="35">
        <v>5989</v>
      </c>
      <c r="B6050" s="139"/>
      <c r="D6050" s="2" t="str">
        <f t="shared" si="93"/>
        <v>OK</v>
      </c>
      <c r="E6050" s="2" t="s">
        <v>919</v>
      </c>
    </row>
    <row r="6051" spans="1:5">
      <c r="A6051" s="35">
        <v>5990</v>
      </c>
      <c r="B6051" s="139"/>
      <c r="D6051" s="2" t="str">
        <f t="shared" si="93"/>
        <v>OK</v>
      </c>
      <c r="E6051" s="2" t="s">
        <v>919</v>
      </c>
    </row>
    <row r="6052" spans="1:5">
      <c r="A6052" s="35">
        <v>5991</v>
      </c>
      <c r="B6052" s="139"/>
      <c r="D6052" s="2" t="str">
        <f t="shared" si="93"/>
        <v>OK</v>
      </c>
      <c r="E6052" s="2" t="s">
        <v>919</v>
      </c>
    </row>
    <row r="6053" spans="1:5">
      <c r="A6053" s="35">
        <v>5992</v>
      </c>
      <c r="B6053" s="139"/>
      <c r="D6053" s="2" t="str">
        <f t="shared" si="93"/>
        <v>OK</v>
      </c>
      <c r="E6053" s="2" t="s">
        <v>919</v>
      </c>
    </row>
    <row r="6054" spans="1:5">
      <c r="A6054" s="35">
        <v>5993</v>
      </c>
      <c r="B6054" s="139"/>
      <c r="C6054" s="2" t="s">
        <v>572</v>
      </c>
      <c r="D6054" s="2" t="str">
        <f t="shared" si="93"/>
        <v>OK</v>
      </c>
      <c r="E6054" s="2" t="s">
        <v>919</v>
      </c>
    </row>
    <row r="6055" spans="1:5">
      <c r="A6055" s="35">
        <v>5994</v>
      </c>
      <c r="B6055" s="139"/>
      <c r="D6055" s="2" t="str">
        <f t="shared" si="93"/>
        <v>OK</v>
      </c>
      <c r="E6055" s="2" t="s">
        <v>919</v>
      </c>
    </row>
    <row r="6056" spans="1:5">
      <c r="A6056" s="35">
        <v>5995</v>
      </c>
      <c r="B6056" s="139"/>
      <c r="D6056" s="2" t="str">
        <f t="shared" si="93"/>
        <v>OK</v>
      </c>
      <c r="E6056" s="2" t="s">
        <v>919</v>
      </c>
    </row>
    <row r="6057" spans="1:5">
      <c r="A6057" s="35">
        <v>5996</v>
      </c>
      <c r="B6057" s="139"/>
      <c r="D6057" s="2" t="str">
        <f t="shared" si="93"/>
        <v>OK</v>
      </c>
      <c r="E6057" s="2" t="s">
        <v>919</v>
      </c>
    </row>
    <row r="6058" spans="1:5">
      <c r="A6058" s="35">
        <v>5997</v>
      </c>
      <c r="B6058" s="139"/>
      <c r="D6058" s="2" t="str">
        <f t="shared" si="93"/>
        <v>OK</v>
      </c>
      <c r="E6058" s="2" t="s">
        <v>919</v>
      </c>
    </row>
    <row r="6059" spans="1:5">
      <c r="A6059" s="35">
        <v>5998</v>
      </c>
      <c r="B6059" s="139"/>
      <c r="D6059" s="2" t="str">
        <f t="shared" si="93"/>
        <v>OK</v>
      </c>
      <c r="E6059" s="2" t="s">
        <v>919</v>
      </c>
    </row>
    <row r="6060" spans="1:5">
      <c r="A6060" s="35">
        <v>5999</v>
      </c>
      <c r="B6060" s="139"/>
      <c r="D6060" s="2" t="str">
        <f t="shared" si="93"/>
        <v>OK</v>
      </c>
      <c r="E6060" s="2" t="s">
        <v>919</v>
      </c>
    </row>
    <row r="6061" spans="1:5">
      <c r="A6061" s="35">
        <v>6000</v>
      </c>
      <c r="B6061" s="139"/>
      <c r="D6061" s="2" t="str">
        <f t="shared" si="93"/>
        <v>OK</v>
      </c>
      <c r="E6061" s="2" t="s">
        <v>919</v>
      </c>
    </row>
    <row r="6062" spans="1:5">
      <c r="A6062" s="35">
        <v>6001</v>
      </c>
      <c r="B6062" s="139"/>
      <c r="D6062" s="2" t="str">
        <f t="shared" si="93"/>
        <v>OK</v>
      </c>
      <c r="E6062" s="2" t="s">
        <v>919</v>
      </c>
    </row>
    <row r="6063" spans="1:5">
      <c r="A6063" s="35">
        <v>6002</v>
      </c>
      <c r="B6063" s="139"/>
      <c r="D6063" s="2" t="str">
        <f t="shared" si="93"/>
        <v>OK</v>
      </c>
      <c r="E6063" s="2" t="s">
        <v>919</v>
      </c>
    </row>
    <row r="6064" spans="1:5">
      <c r="A6064" s="35">
        <v>6003</v>
      </c>
      <c r="B6064" s="139"/>
      <c r="D6064" s="2" t="str">
        <f t="shared" si="93"/>
        <v>OK</v>
      </c>
      <c r="E6064" s="2" t="s">
        <v>919</v>
      </c>
    </row>
    <row r="6065" spans="1:5">
      <c r="A6065" s="35">
        <v>6004</v>
      </c>
      <c r="B6065" s="139"/>
      <c r="D6065" s="2" t="str">
        <f t="shared" si="93"/>
        <v>OK</v>
      </c>
      <c r="E6065" s="2" t="s">
        <v>919</v>
      </c>
    </row>
    <row r="6066" spans="1:5">
      <c r="A6066" s="35">
        <v>6005</v>
      </c>
      <c r="B6066" s="139"/>
      <c r="D6066" s="2" t="str">
        <f t="shared" si="93"/>
        <v>OK</v>
      </c>
      <c r="E6066" s="2" t="s">
        <v>919</v>
      </c>
    </row>
    <row r="6067" spans="1:5">
      <c r="A6067" s="127">
        <v>6006</v>
      </c>
      <c r="B6067" s="139"/>
      <c r="D6067" s="2" t="str">
        <f t="shared" si="93"/>
        <v>OK</v>
      </c>
      <c r="E6067" s="2" t="s">
        <v>919</v>
      </c>
    </row>
    <row r="6068" spans="1:5">
      <c r="A6068" s="127">
        <v>6007</v>
      </c>
      <c r="B6068" s="139"/>
      <c r="D6068" s="2" t="str">
        <f t="shared" si="93"/>
        <v>OK</v>
      </c>
      <c r="E6068" s="2" t="s">
        <v>919</v>
      </c>
    </row>
    <row r="6069" spans="1:5">
      <c r="A6069" s="127">
        <v>6008</v>
      </c>
      <c r="B6069" s="139"/>
      <c r="D6069" s="2" t="str">
        <f t="shared" si="93"/>
        <v>OK</v>
      </c>
      <c r="E6069" s="2" t="s">
        <v>919</v>
      </c>
    </row>
    <row r="6070" spans="1:5">
      <c r="A6070" s="127">
        <v>6009</v>
      </c>
      <c r="B6070" s="139"/>
      <c r="D6070" s="2" t="str">
        <f t="shared" si="93"/>
        <v>OK</v>
      </c>
      <c r="E6070" s="2" t="s">
        <v>919</v>
      </c>
    </row>
    <row r="6071" spans="1:5">
      <c r="A6071" s="127">
        <v>6010</v>
      </c>
      <c r="B6071" s="139"/>
      <c r="D6071" s="2" t="str">
        <f t="shared" si="93"/>
        <v>OK</v>
      </c>
      <c r="E6071" s="2" t="s">
        <v>919</v>
      </c>
    </row>
    <row r="6072" spans="1:5">
      <c r="A6072" s="127">
        <v>6011</v>
      </c>
      <c r="B6072" s="139"/>
      <c r="D6072" s="2" t="str">
        <f t="shared" si="93"/>
        <v>OK</v>
      </c>
      <c r="E6072" s="2" t="s">
        <v>919</v>
      </c>
    </row>
    <row r="6073" spans="1:5">
      <c r="A6073" s="127">
        <v>6012</v>
      </c>
      <c r="B6073" s="139"/>
      <c r="C6073" s="2" t="s">
        <v>572</v>
      </c>
      <c r="D6073" s="2" t="str">
        <f t="shared" si="93"/>
        <v>OK</v>
      </c>
      <c r="E6073" s="2" t="s">
        <v>919</v>
      </c>
    </row>
    <row r="6074" spans="1:5">
      <c r="A6074" s="8">
        <v>6013</v>
      </c>
      <c r="B6074" s="139">
        <f>'PCTC-OEPP 27-28'!F78</f>
        <v>5660.3</v>
      </c>
      <c r="D6074" s="2" t="str">
        <f t="shared" si="93"/>
        <v>Error?</v>
      </c>
      <c r="E6074" s="2" t="s">
        <v>929</v>
      </c>
    </row>
    <row r="6075" spans="1:5">
      <c r="A6075" s="127">
        <v>6014</v>
      </c>
      <c r="B6075" s="139"/>
      <c r="D6075" s="2" t="str">
        <f t="shared" si="93"/>
        <v>OK</v>
      </c>
      <c r="E6075" s="2" t="s">
        <v>929</v>
      </c>
    </row>
    <row r="6076" spans="1:5">
      <c r="A6076">
        <v>6015</v>
      </c>
      <c r="B6076" s="138">
        <f>'Short-Term Long-Term Debt 24'!C27</f>
        <v>0</v>
      </c>
      <c r="D6076" s="2" t="str">
        <f t="shared" si="93"/>
        <v>Error?</v>
      </c>
      <c r="E6076" s="2" t="s">
        <v>929</v>
      </c>
    </row>
    <row r="6077" spans="1:5">
      <c r="A6077">
        <v>6016</v>
      </c>
      <c r="B6077" s="138">
        <f>'Short-Term Long-Term Debt 24'!D27</f>
        <v>0</v>
      </c>
      <c r="D6077" s="2" t="str">
        <f t="shared" si="93"/>
        <v>Error?</v>
      </c>
      <c r="E6077" s="2" t="s">
        <v>929</v>
      </c>
    </row>
    <row r="6078" spans="1:5">
      <c r="A6078">
        <v>6017</v>
      </c>
      <c r="B6078" s="138">
        <f>'Short-Term Long-Term Debt 24'!E27</f>
        <v>0</v>
      </c>
      <c r="D6078" s="2" t="str">
        <f t="shared" si="93"/>
        <v>Error?</v>
      </c>
      <c r="E6078" s="2" t="s">
        <v>929</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481</v>
      </c>
    </row>
    <row r="6081" spans="1:5">
      <c r="A6081">
        <v>6020</v>
      </c>
      <c r="B6081" s="138">
        <f>'Assets-Liab 5-6'!C7</f>
        <v>51773</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4890861</v>
      </c>
      <c r="D6090" s="2" t="str">
        <f t="shared" si="94"/>
        <v>Error?</v>
      </c>
      <c r="E6090" s="2" t="s">
        <v>190</v>
      </c>
    </row>
    <row r="6091" spans="1:5">
      <c r="A6091">
        <v>6030</v>
      </c>
      <c r="B6091" s="138">
        <f>'Assets-Liab 5-6'!D8</f>
        <v>32</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4055661</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143070</v>
      </c>
      <c r="D6099" s="2" t="str">
        <f t="shared" si="94"/>
        <v>Error?</v>
      </c>
      <c r="E6099" s="2" t="s">
        <v>190</v>
      </c>
    </row>
    <row r="6100" spans="1:5">
      <c r="A6100">
        <v>6039</v>
      </c>
      <c r="B6100" s="138">
        <f>'Assets-Liab 5-6'!D9</f>
        <v>23821</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29936</v>
      </c>
      <c r="D6102" s="2" t="str">
        <f t="shared" si="94"/>
        <v>Error?</v>
      </c>
      <c r="E6102" s="2" t="s">
        <v>190</v>
      </c>
    </row>
    <row r="6103" spans="1:5">
      <c r="A6103">
        <f>A6102+1</f>
        <v>6042</v>
      </c>
      <c r="B6103" s="138">
        <f>'Assets-Liab 5-6'!G9</f>
        <v>6120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20849</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3635</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163135</v>
      </c>
      <c r="D6113" s="2" t="str">
        <f t="shared" si="94"/>
        <v>Error?</v>
      </c>
      <c r="E6113" s="2" t="s">
        <v>190</v>
      </c>
    </row>
    <row r="6114" spans="1:5">
      <c r="A6114">
        <v>6053</v>
      </c>
      <c r="B6114" s="138">
        <f>'Assets-Liab 5-6'!D11</f>
        <v>0</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50910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123680</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2314742</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51773</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4787239</v>
      </c>
      <c r="D6142" s="2" t="str">
        <f t="shared" si="94"/>
        <v>Error?</v>
      </c>
      <c r="E6142" s="2" t="s">
        <v>190</v>
      </c>
    </row>
    <row r="6143" spans="1:5">
      <c r="A6143">
        <v>6082</v>
      </c>
      <c r="B6143" s="138">
        <f>'Assets-Liab 5-6'!D27</f>
        <v>489787</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309451</v>
      </c>
      <c r="D6145" s="2" t="str">
        <f t="shared" si="95"/>
        <v>Error?</v>
      </c>
      <c r="E6145" s="2" t="s">
        <v>190</v>
      </c>
    </row>
    <row r="6146" spans="1:5">
      <c r="A6146">
        <v>6085</v>
      </c>
      <c r="B6146" s="138">
        <f>'Assets-Liab 5-6'!G27</f>
        <v>18078</v>
      </c>
      <c r="D6146" s="2" t="str">
        <f t="shared" si="95"/>
        <v>Error?</v>
      </c>
      <c r="E6146" s="2" t="s">
        <v>190</v>
      </c>
    </row>
    <row r="6147" spans="1:5">
      <c r="A6147">
        <v>6086</v>
      </c>
      <c r="B6147" s="138">
        <f>'Assets-Liab 5-6'!H27</f>
        <v>536495</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116867</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0</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0</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2234049</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2402689</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123680</v>
      </c>
      <c r="D6214" s="2" t="str">
        <f t="shared" si="96"/>
        <v>Error?</v>
      </c>
      <c r="E6214" s="2" t="s">
        <v>190</v>
      </c>
    </row>
    <row r="6215" spans="1:5">
      <c r="A6215">
        <v>6154</v>
      </c>
      <c r="B6215" s="138">
        <f>'Assets-Liab 5-6'!J39</f>
        <v>-211627</v>
      </c>
      <c r="D6215" s="2" t="str">
        <f t="shared" si="96"/>
        <v>Error?</v>
      </c>
      <c r="E6215" s="2" t="s">
        <v>190</v>
      </c>
    </row>
    <row r="6216" spans="1:5">
      <c r="A6216">
        <v>6155</v>
      </c>
      <c r="B6216" s="138">
        <f>'Assets-Liab 5-6'!J41</f>
        <v>2314742</v>
      </c>
      <c r="D6216" s="2" t="str">
        <f t="shared" si="96"/>
        <v>Error?</v>
      </c>
      <c r="E6216" s="2" t="s">
        <v>190</v>
      </c>
    </row>
    <row r="6217" spans="1:5">
      <c r="A6217">
        <v>6156</v>
      </c>
      <c r="B6217" s="138">
        <f>'Assets-Liab 5-6'!J4</f>
        <v>0</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2191062</v>
      </c>
      <c r="D6219" s="2" t="str">
        <f t="shared" si="96"/>
        <v>Error?</v>
      </c>
      <c r="E6219" s="2" t="s">
        <v>190</v>
      </c>
    </row>
    <row r="6220" spans="1:5">
      <c r="A6220">
        <v>6159</v>
      </c>
      <c r="B6220" s="138">
        <f>'Acct Summary 7-8'!J4</f>
        <v>4361898</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4361898</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4361898</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3751455</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3751455</v>
      </c>
      <c r="D6229" s="2" t="str">
        <f t="shared" si="96"/>
        <v>Error?</v>
      </c>
      <c r="E6229" s="2" t="s">
        <v>190</v>
      </c>
    </row>
    <row r="6230" spans="1:5">
      <c r="A6230">
        <v>6169</v>
      </c>
      <c r="B6230" s="138">
        <f>'Acct Summary 7-8'!J20</f>
        <v>610443</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610443</v>
      </c>
      <c r="D6263" s="2" t="str">
        <f t="shared" si="96"/>
        <v>Error?</v>
      </c>
      <c r="E6263" s="2" t="s">
        <v>190</v>
      </c>
    </row>
    <row r="6264" spans="1:5">
      <c r="A6264">
        <v>6203</v>
      </c>
      <c r="B6264" s="138">
        <f>'Acct Summary 7-8'!J79</f>
        <v>-698390</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-87947</v>
      </c>
      <c r="D6266" s="2" t="str">
        <f t="shared" si="96"/>
        <v>Error?</v>
      </c>
      <c r="E6266" s="2" t="s">
        <v>190</v>
      </c>
    </row>
    <row r="6267" spans="1:5">
      <c r="A6267">
        <v>6206</v>
      </c>
      <c r="B6267" s="138">
        <f>'Acct Summary 7-8'!C82</f>
        <v>11969624</v>
      </c>
      <c r="D6267" s="2" t="str">
        <f t="shared" si="96"/>
        <v>Error?</v>
      </c>
      <c r="E6267" s="2" t="s">
        <v>190</v>
      </c>
    </row>
    <row r="6268" spans="1:5">
      <c r="A6268">
        <v>6207</v>
      </c>
      <c r="B6268" s="138">
        <f>'Acct Summary 7-8'!D82</f>
        <v>1271355</v>
      </c>
      <c r="D6268" s="2" t="str">
        <f t="shared" si="96"/>
        <v>Error?</v>
      </c>
      <c r="E6268" s="2" t="s">
        <v>190</v>
      </c>
    </row>
    <row r="6269" spans="1:5">
      <c r="A6269">
        <v>6208</v>
      </c>
      <c r="B6269" s="138">
        <f>'Acct Summary 7-8'!E82</f>
        <v>11685</v>
      </c>
      <c r="D6269" s="2" t="str">
        <f t="shared" si="96"/>
        <v>Error?</v>
      </c>
      <c r="E6269" s="2" t="s">
        <v>190</v>
      </c>
    </row>
    <row r="6270" spans="1:5">
      <c r="A6270">
        <v>6209</v>
      </c>
      <c r="B6270" s="138">
        <f>'Acct Summary 7-8'!F82</f>
        <v>771852</v>
      </c>
      <c r="D6270" s="2" t="str">
        <f t="shared" si="96"/>
        <v>Error?</v>
      </c>
      <c r="E6270" s="2" t="s">
        <v>190</v>
      </c>
    </row>
    <row r="6271" spans="1:5">
      <c r="A6271">
        <v>6210</v>
      </c>
      <c r="B6271" s="138">
        <f>'Acct Summary 7-8'!G82</f>
        <v>604790</v>
      </c>
      <c r="D6271" s="2" t="str">
        <f t="shared" ref="D6271:D6334" si="97">IF(ISBLANK(B6271),"OK",IF(A6271-B6271=0,"OK","Error?"))</f>
        <v>Error?</v>
      </c>
      <c r="E6271" s="2" t="s">
        <v>190</v>
      </c>
    </row>
    <row r="6272" spans="1:5">
      <c r="A6272">
        <v>6211</v>
      </c>
      <c r="B6272" s="138">
        <f>'Acct Summary 7-8'!H82</f>
        <v>-1826624</v>
      </c>
      <c r="D6272" s="2" t="str">
        <f t="shared" si="97"/>
        <v>Error?</v>
      </c>
      <c r="E6272" s="2" t="s">
        <v>190</v>
      </c>
    </row>
    <row r="6273" spans="1:5">
      <c r="A6273">
        <v>6212</v>
      </c>
      <c r="B6273" s="138">
        <f>'Acct Summary 7-8'!I82</f>
        <v>1273500</v>
      </c>
      <c r="D6273" s="2" t="str">
        <f t="shared" si="97"/>
        <v>Error?</v>
      </c>
      <c r="E6273" s="2" t="s">
        <v>190</v>
      </c>
    </row>
    <row r="6274" spans="1:5">
      <c r="A6274">
        <v>6213</v>
      </c>
      <c r="B6274" s="138">
        <f>'Acct Summary 7-8'!J82</f>
        <v>610443</v>
      </c>
      <c r="D6274" s="2" t="str">
        <f t="shared" si="97"/>
        <v>Error?</v>
      </c>
      <c r="E6274" s="2" t="s">
        <v>190</v>
      </c>
    </row>
    <row r="6275" spans="1:5">
      <c r="A6275">
        <v>6214</v>
      </c>
      <c r="B6275" s="138">
        <f>'Acct Summary 7-8'!K82</f>
        <v>0</v>
      </c>
      <c r="D6275" s="2" t="str">
        <f t="shared" si="97"/>
        <v>Error?</v>
      </c>
      <c r="E6275" s="2" t="s">
        <v>190</v>
      </c>
    </row>
    <row r="6276" spans="1:5">
      <c r="A6276">
        <v>6215</v>
      </c>
      <c r="B6276" s="138">
        <f>'Acct Summary 7-8'!C83</f>
        <v>0.2790351161455466</v>
      </c>
      <c r="D6276" s="2" t="str">
        <f t="shared" si="97"/>
        <v>Error?</v>
      </c>
      <c r="E6276" s="2" t="s">
        <v>190</v>
      </c>
    </row>
    <row r="6277" spans="1:5">
      <c r="A6277">
        <v>6216</v>
      </c>
      <c r="B6277" s="138">
        <f>'Acct Summary 7-8'!D83</f>
        <v>0.27117467325750666</v>
      </c>
      <c r="D6277" s="2" t="str">
        <f t="shared" si="97"/>
        <v>Error?</v>
      </c>
      <c r="E6277" s="2" t="s">
        <v>190</v>
      </c>
    </row>
    <row r="6278" spans="1:5">
      <c r="A6278">
        <v>6217</v>
      </c>
      <c r="B6278" s="138">
        <f>'Acct Summary 7-8'!E83</f>
        <v>3.6563523215412189E-3</v>
      </c>
      <c r="D6278" s="2" t="str">
        <f t="shared" si="97"/>
        <v>Error?</v>
      </c>
      <c r="E6278" s="2" t="s">
        <v>190</v>
      </c>
    </row>
    <row r="6279" spans="1:5">
      <c r="A6279">
        <v>6218</v>
      </c>
      <c r="B6279" s="138">
        <f>'Acct Summary 7-8'!F83</f>
        <v>7.5240907240099311E-2</v>
      </c>
      <c r="D6279" s="2" t="str">
        <f t="shared" si="97"/>
        <v>Error?</v>
      </c>
      <c r="E6279" s="2" t="s">
        <v>190</v>
      </c>
    </row>
    <row r="6280" spans="1:5">
      <c r="A6280">
        <v>6219</v>
      </c>
      <c r="B6280" s="138">
        <f>'Acct Summary 7-8'!G83</f>
        <v>0.1310196543562914</v>
      </c>
      <c r="D6280" s="2" t="str">
        <f t="shared" si="97"/>
        <v>Error?</v>
      </c>
      <c r="E6280" s="2" t="s">
        <v>190</v>
      </c>
    </row>
    <row r="6281" spans="1:5">
      <c r="A6281">
        <v>6220</v>
      </c>
      <c r="B6281" s="138">
        <f>'Acct Summary 7-8'!H83</f>
        <v>-1.0331922653571215</v>
      </c>
      <c r="D6281" s="2" t="str">
        <f t="shared" si="97"/>
        <v>Error?</v>
      </c>
      <c r="E6281" s="2" t="s">
        <v>190</v>
      </c>
    </row>
    <row r="6282" spans="1:5">
      <c r="A6282">
        <v>6221</v>
      </c>
      <c r="B6282" s="138">
        <f>'Acct Summary 7-8'!I83</f>
        <v>7.3706123297524559E-2</v>
      </c>
      <c r="D6282" s="2" t="str">
        <f t="shared" si="97"/>
        <v>Error?</v>
      </c>
      <c r="E6282" s="2" t="s">
        <v>190</v>
      </c>
    </row>
    <row r="6283" spans="1:5">
      <c r="A6283">
        <v>6222</v>
      </c>
      <c r="B6283" s="138">
        <f>'Acct Summary 7-8'!J83</f>
        <v>-6.9410326674019576</v>
      </c>
      <c r="D6283" s="2" t="str">
        <f t="shared" si="97"/>
        <v>Error?</v>
      </c>
      <c r="E6283" s="2" t="s">
        <v>190</v>
      </c>
    </row>
    <row r="6284" spans="1:5">
      <c r="A6284">
        <v>6223</v>
      </c>
      <c r="B6284" s="138" t="e">
        <f>'Acct Summary 7-8'!K83</f>
        <v>#DIV/0!</v>
      </c>
      <c r="D6284" s="2" t="e">
        <f t="shared" si="97"/>
        <v>#DIV/0!</v>
      </c>
      <c r="E6284" s="2" t="s">
        <v>190</v>
      </c>
    </row>
    <row r="6285" spans="1:5">
      <c r="A6285">
        <v>6224</v>
      </c>
      <c r="B6285" s="138">
        <f>'Acct Summary 7-8'!E37</f>
        <v>420380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4361898</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0</v>
      </c>
      <c r="D6300" s="2" t="str">
        <f t="shared" si="97"/>
        <v>Error?</v>
      </c>
      <c r="E6300" s="2" t="s">
        <v>190</v>
      </c>
    </row>
    <row r="6301" spans="1:5">
      <c r="A6301">
        <v>6240</v>
      </c>
      <c r="B6301" s="138">
        <f>'Revenues 9-14'!J12</f>
        <v>4361898</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0</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0</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111565</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0</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142130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0</v>
      </c>
      <c r="D6351" s="2" t="str">
        <f t="shared" si="98"/>
        <v>Error?</v>
      </c>
      <c r="E6351" s="2" t="s">
        <v>190</v>
      </c>
    </row>
    <row r="6352" spans="1:5">
      <c r="A6352">
        <v>6291</v>
      </c>
      <c r="B6352" s="138">
        <f>'Revenues 9-14'!J109</f>
        <v>4361898</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1910</v>
      </c>
    </row>
    <row r="6383" spans="1:6">
      <c r="A6383" s="129">
        <v>6322</v>
      </c>
      <c r="D6383" s="2" t="str">
        <f t="shared" si="98"/>
        <v>OK</v>
      </c>
      <c r="E6383" s="2" t="s">
        <v>190</v>
      </c>
      <c r="F6383" s="1" t="s">
        <v>1910</v>
      </c>
    </row>
    <row r="6384" spans="1:6">
      <c r="A6384" s="129">
        <v>6323</v>
      </c>
      <c r="D6384" s="2" t="str">
        <f t="shared" si="98"/>
        <v>OK</v>
      </c>
      <c r="E6384" s="2" t="s">
        <v>190</v>
      </c>
      <c r="F6384" s="1" t="s">
        <v>1910</v>
      </c>
    </row>
    <row r="6385" spans="1:6">
      <c r="A6385" s="129">
        <v>6324</v>
      </c>
      <c r="D6385" s="2" t="str">
        <f t="shared" si="98"/>
        <v>OK</v>
      </c>
      <c r="E6385" s="2" t="s">
        <v>190</v>
      </c>
      <c r="F6385" s="1" t="s">
        <v>1910</v>
      </c>
    </row>
    <row r="6386" spans="1:6">
      <c r="A6386" s="129">
        <v>6325</v>
      </c>
      <c r="D6386" s="2" t="str">
        <f t="shared" si="98"/>
        <v>OK</v>
      </c>
      <c r="E6386" s="2" t="s">
        <v>190</v>
      </c>
      <c r="F6386" s="1" t="s">
        <v>1910</v>
      </c>
    </row>
    <row r="6387" spans="1:6">
      <c r="A6387" s="129">
        <v>6326</v>
      </c>
      <c r="D6387" s="2" t="str">
        <f t="shared" si="98"/>
        <v>OK</v>
      </c>
      <c r="E6387" s="2" t="s">
        <v>190</v>
      </c>
      <c r="F6387" s="1" t="s">
        <v>1910</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1910</v>
      </c>
    </row>
    <row r="6411" spans="1:6">
      <c r="A6411" s="129">
        <v>6350</v>
      </c>
      <c r="D6411" s="2" t="str">
        <f t="shared" si="99"/>
        <v>OK</v>
      </c>
      <c r="E6411" s="2" t="s">
        <v>190</v>
      </c>
      <c r="F6411" s="1" t="s">
        <v>1910</v>
      </c>
    </row>
    <row r="6412" spans="1:6">
      <c r="A6412" s="129">
        <v>6351</v>
      </c>
      <c r="D6412" s="2" t="str">
        <f t="shared" si="99"/>
        <v>OK</v>
      </c>
      <c r="E6412" s="2" t="s">
        <v>190</v>
      </c>
      <c r="F6412" s="1" t="s">
        <v>1910</v>
      </c>
    </row>
    <row r="6413" spans="1:6">
      <c r="A6413" s="129">
        <v>6352</v>
      </c>
      <c r="D6413" s="2" t="str">
        <f t="shared" si="99"/>
        <v>OK</v>
      </c>
      <c r="E6413" s="2" t="s">
        <v>190</v>
      </c>
      <c r="F6413" s="1" t="s">
        <v>1910</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0</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314076</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314076</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1910</v>
      </c>
    </row>
    <row r="6842" spans="1:5">
      <c r="A6842" s="129">
        <v>6781</v>
      </c>
      <c r="D6842" s="2" t="str">
        <f t="shared" si="105"/>
        <v>OK</v>
      </c>
      <c r="E6842" s="1" t="s">
        <v>1910</v>
      </c>
    </row>
    <row r="6843" spans="1:5">
      <c r="A6843" s="129">
        <v>6782</v>
      </c>
      <c r="D6843" s="2" t="str">
        <f t="shared" si="105"/>
        <v>OK</v>
      </c>
      <c r="E6843" s="1" t="s">
        <v>1910</v>
      </c>
    </row>
    <row r="6844" spans="1:5">
      <c r="A6844">
        <v>6783</v>
      </c>
      <c r="B6844" s="138">
        <f>'Expenditures 15-22'!I5</f>
        <v>144156</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0</v>
      </c>
      <c r="D6848" s="2" t="str">
        <f t="shared" si="106"/>
        <v>Error?</v>
      </c>
    </row>
    <row r="6849" spans="1:4">
      <c r="A6849">
        <v>6788</v>
      </c>
      <c r="B6849" s="138">
        <f>'Expenditures 15-22'!I8</f>
        <v>1418</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97</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347189</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4386755</v>
      </c>
      <c r="D6880" s="2" t="str">
        <f t="shared" si="106"/>
        <v>Error?</v>
      </c>
    </row>
    <row r="6881" spans="1:4">
      <c r="A6881">
        <v>6820</v>
      </c>
      <c r="B6881" s="138">
        <f>'Expenditures 15-22'!K22</f>
        <v>4386755</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145574</v>
      </c>
      <c r="D6902" s="2" t="str">
        <f t="shared" si="106"/>
        <v>Error?</v>
      </c>
    </row>
    <row r="6903" spans="1:4">
      <c r="A6903">
        <v>6842</v>
      </c>
      <c r="B6903" s="138">
        <f>'Expenditures 15-22'!J33</f>
        <v>97</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0</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0</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0</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0</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0</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0</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0</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272567</v>
      </c>
      <c r="D6976" s="2" t="str">
        <f t="shared" si="108"/>
        <v>Error?</v>
      </c>
    </row>
    <row r="6977" spans="1:4">
      <c r="A6977">
        <v>6916</v>
      </c>
      <c r="B6977" s="138">
        <f>'Expenditures 15-22'!I74</f>
        <v>0</v>
      </c>
      <c r="D6977" s="2" t="str">
        <f t="shared" si="108"/>
        <v>Error?</v>
      </c>
    </row>
    <row r="6978" spans="1:4">
      <c r="A6978">
        <v>6917</v>
      </c>
      <c r="B6978" s="138">
        <f>'Expenditures 15-22'!J74</f>
        <v>272567</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213042</v>
      </c>
      <c r="D6983" s="2" t="str">
        <f t="shared" si="108"/>
        <v>Error?</v>
      </c>
    </row>
    <row r="6984" spans="1:4">
      <c r="A6984">
        <v>6923</v>
      </c>
      <c r="B6984" s="138">
        <f>'Expenditures 15-22'!K86</f>
        <v>213042</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23513</v>
      </c>
      <c r="D6991" s="2" t="str">
        <f t="shared" si="108"/>
        <v>Error?</v>
      </c>
    </row>
    <row r="6992" spans="1:4">
      <c r="A6992">
        <v>6931</v>
      </c>
      <c r="B6992" s="138">
        <f>'Expenditures 15-22'!K90</f>
        <v>23513</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236555</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145574</v>
      </c>
      <c r="D7020" s="2" t="str">
        <f t="shared" si="108"/>
        <v>Error?</v>
      </c>
    </row>
    <row r="7021" spans="1:4">
      <c r="A7021">
        <v>6960</v>
      </c>
      <c r="B7021" s="138">
        <f>'Expenditures 15-22'!J114</f>
        <v>272664</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0</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0</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0</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3751455</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0</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4361898</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4543</v>
      </c>
      <c r="D7079" s="2" t="str">
        <f t="shared" si="109"/>
        <v>Error?</v>
      </c>
    </row>
    <row r="7080" spans="1:4">
      <c r="A7080">
        <v>7019</v>
      </c>
      <c r="B7080" s="138">
        <f>'Expenditures 15-22'!K226</f>
        <v>4543</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240259</v>
      </c>
      <c r="D7093" s="2" t="str">
        <f t="shared" si="109"/>
        <v>Error?</v>
      </c>
    </row>
    <row r="7094" spans="1:4">
      <c r="A7094">
        <v>7033</v>
      </c>
      <c r="B7094" s="138">
        <f>'Expenditures 15-22'!K254</f>
        <v>240259</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1176679</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1176679</v>
      </c>
      <c r="D7135" s="2" t="str">
        <f t="shared" si="110"/>
        <v>Error?</v>
      </c>
    </row>
    <row r="7136" spans="1:4">
      <c r="A7136">
        <v>7075</v>
      </c>
      <c r="B7136" s="138">
        <f>'Expenditures 15-22'!C321</f>
        <v>0</v>
      </c>
      <c r="D7136" s="2" t="str">
        <f t="shared" si="110"/>
        <v>Error?</v>
      </c>
    </row>
    <row r="7137" spans="1:4">
      <c r="A7137">
        <v>7076</v>
      </c>
      <c r="B7137" s="138">
        <f>'Expenditures 15-22'!D321</f>
        <v>17322</v>
      </c>
      <c r="D7137" s="2" t="str">
        <f t="shared" si="110"/>
        <v>Error?</v>
      </c>
    </row>
    <row r="7138" spans="1:4">
      <c r="A7138">
        <v>7077</v>
      </c>
      <c r="B7138" s="138">
        <f>'Expenditures 15-22'!E321</f>
        <v>0</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17322</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315934</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85887</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401821</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1508910</v>
      </c>
      <c r="D7172" s="2" t="str">
        <f t="shared" si="111"/>
        <v>Error?</v>
      </c>
    </row>
    <row r="7173" spans="1:4">
      <c r="A7173">
        <v>7112</v>
      </c>
      <c r="B7173" s="138">
        <f>'Expenditures 15-22'!D325</f>
        <v>462700</v>
      </c>
      <c r="D7173" s="2" t="str">
        <f t="shared" si="111"/>
        <v>Error?</v>
      </c>
    </row>
    <row r="7174" spans="1:4">
      <c r="A7174">
        <v>7113</v>
      </c>
      <c r="B7174" s="138">
        <f>'Expenditures 15-22'!E325</f>
        <v>31401</v>
      </c>
      <c r="D7174" s="2" t="str">
        <f t="shared" si="111"/>
        <v>Error?</v>
      </c>
    </row>
    <row r="7175" spans="1:4">
      <c r="A7175">
        <v>7114</v>
      </c>
      <c r="B7175" s="138">
        <f>'Expenditures 15-22'!F325</f>
        <v>41673</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2044684</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67337</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67337</v>
      </c>
      <c r="D7198" s="2" t="str">
        <f t="shared" si="111"/>
        <v>Error?</v>
      </c>
    </row>
    <row r="7199" spans="1:4">
      <c r="A7199">
        <v>7138</v>
      </c>
      <c r="B7199" s="138">
        <f>'Expenditures 15-22'!C330</f>
        <v>1508910</v>
      </c>
      <c r="D7199" s="2" t="str">
        <f t="shared" si="111"/>
        <v>Error?</v>
      </c>
    </row>
    <row r="7200" spans="1:4">
      <c r="A7200">
        <v>7139</v>
      </c>
      <c r="B7200" s="138">
        <f>'Expenditures 15-22'!D330</f>
        <v>480022</v>
      </c>
      <c r="D7200" s="2" t="str">
        <f t="shared" si="111"/>
        <v>Error?</v>
      </c>
    </row>
    <row r="7201" spans="1:4">
      <c r="A7201">
        <v>7140</v>
      </c>
      <c r="B7201" s="138">
        <f>'Expenditures 15-22'!E330</f>
        <v>1634963</v>
      </c>
      <c r="D7201" s="2" t="str">
        <f t="shared" si="111"/>
        <v>Error?</v>
      </c>
    </row>
    <row r="7202" spans="1:4">
      <c r="A7202">
        <v>7141</v>
      </c>
      <c r="B7202" s="138">
        <f>'Expenditures 15-22'!F330</f>
        <v>41673</v>
      </c>
      <c r="D7202" s="2" t="str">
        <f t="shared" si="111"/>
        <v>Error?</v>
      </c>
    </row>
    <row r="7203" spans="1:4">
      <c r="A7203">
        <v>7142</v>
      </c>
      <c r="B7203" s="138">
        <f>'Expenditures 15-22'!G330</f>
        <v>0</v>
      </c>
      <c r="D7203" s="2" t="str">
        <f t="shared" si="111"/>
        <v>Error?</v>
      </c>
    </row>
    <row r="7204" spans="1:4">
      <c r="A7204">
        <v>7143</v>
      </c>
      <c r="B7204" s="138">
        <f>'Expenditures 15-22'!H330</f>
        <v>85887</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3751455</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1508910</v>
      </c>
      <c r="D7216" s="2" t="str">
        <f t="shared" si="111"/>
        <v>Error?</v>
      </c>
    </row>
    <row r="7217" spans="1:4">
      <c r="A7217">
        <v>7156</v>
      </c>
      <c r="B7217" s="138">
        <f>'Expenditures 15-22'!D342</f>
        <v>480022</v>
      </c>
      <c r="D7217" s="2" t="str">
        <f t="shared" si="111"/>
        <v>Error?</v>
      </c>
    </row>
    <row r="7218" spans="1:4">
      <c r="A7218">
        <v>7157</v>
      </c>
      <c r="B7218" s="138">
        <f>'Expenditures 15-22'!E342</f>
        <v>1634963</v>
      </c>
      <c r="D7218" s="2" t="str">
        <f t="shared" si="111"/>
        <v>Error?</v>
      </c>
    </row>
    <row r="7219" spans="1:4">
      <c r="A7219">
        <v>7158</v>
      </c>
      <c r="B7219" s="138">
        <f>'Expenditures 15-22'!F342</f>
        <v>41673</v>
      </c>
      <c r="D7219" s="2" t="str">
        <f t="shared" si="111"/>
        <v>Error?</v>
      </c>
    </row>
    <row r="7220" spans="1:4">
      <c r="A7220">
        <v>7159</v>
      </c>
      <c r="B7220" s="138">
        <f>'Expenditures 15-22'!G342</f>
        <v>0</v>
      </c>
      <c r="D7220" s="2" t="str">
        <f t="shared" si="111"/>
        <v>Error?</v>
      </c>
    </row>
    <row r="7221" spans="1:4">
      <c r="A7221">
        <v>7160</v>
      </c>
      <c r="B7221" s="138">
        <f>'Expenditures 15-22'!H342</f>
        <v>85887</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3751455</v>
      </c>
      <c r="D7224" s="2" t="str">
        <f t="shared" si="111"/>
        <v>Error?</v>
      </c>
    </row>
    <row r="7225" spans="1:4">
      <c r="A7225">
        <v>7164</v>
      </c>
      <c r="B7225" s="138">
        <f>'Expenditures 15-22'!K343</f>
        <v>610443</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306532</v>
      </c>
      <c r="D7263" s="2" t="str">
        <f t="shared" si="112"/>
        <v>Error?</v>
      </c>
    </row>
    <row r="7264" spans="1:4">
      <c r="A7264">
        <f t="shared" si="113"/>
        <v>7203</v>
      </c>
      <c r="B7264" s="138">
        <f>'Expenditures 15-22'!D17</f>
        <v>3535</v>
      </c>
      <c r="D7264" s="2" t="str">
        <f t="shared" si="112"/>
        <v>Error?</v>
      </c>
    </row>
    <row r="7265" spans="1:5">
      <c r="A7265">
        <f t="shared" si="113"/>
        <v>7204</v>
      </c>
      <c r="B7265" s="138">
        <f>'Expenditures 15-22'!E17</f>
        <v>5071</v>
      </c>
      <c r="D7265" s="2" t="str">
        <f t="shared" si="112"/>
        <v>Error?</v>
      </c>
    </row>
    <row r="7266" spans="1:5">
      <c r="A7266">
        <f t="shared" si="113"/>
        <v>7205</v>
      </c>
      <c r="B7266" s="138">
        <f>'Expenditures 15-22'!F17</f>
        <v>12786</v>
      </c>
      <c r="D7266" s="2" t="str">
        <f t="shared" si="112"/>
        <v>Error?</v>
      </c>
    </row>
    <row r="7267" spans="1:5">
      <c r="A7267">
        <f t="shared" si="113"/>
        <v>7206</v>
      </c>
      <c r="B7267" s="138">
        <f>'Expenditures 15-22'!G17</f>
        <v>19265</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576037</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576037</v>
      </c>
      <c r="D7618" s="2" t="str">
        <f t="shared" si="124"/>
        <v>Error?</v>
      </c>
      <c r="E7618" s="2" t="s">
        <v>19</v>
      </c>
    </row>
    <row r="7619" spans="1:5">
      <c r="A7619">
        <f t="shared" si="123"/>
        <v>7558</v>
      </c>
      <c r="B7619" s="138">
        <f>'Cap Outlay Deprec 26'!H14</f>
        <v>499620</v>
      </c>
      <c r="D7619" s="2" t="str">
        <f t="shared" si="124"/>
        <v>Error?</v>
      </c>
      <c r="E7619" s="2" t="s">
        <v>19</v>
      </c>
    </row>
    <row r="7620" spans="1:5">
      <c r="A7620">
        <f t="shared" si="123"/>
        <v>7559</v>
      </c>
      <c r="B7620" s="138">
        <f>'Cap Outlay Deprec 26'!I14</f>
        <v>3316</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502936</v>
      </c>
      <c r="D7622" s="2" t="str">
        <f t="shared" si="124"/>
        <v>Error?</v>
      </c>
      <c r="E7622" s="2" t="s">
        <v>19</v>
      </c>
    </row>
    <row r="7623" spans="1:5">
      <c r="A7623">
        <f t="shared" si="123"/>
        <v>7562</v>
      </c>
      <c r="B7623" s="138">
        <f>'Cap Outlay Deprec 26'!L14</f>
        <v>73101</v>
      </c>
      <c r="D7623" s="2" t="str">
        <f t="shared" si="124"/>
        <v>Error?</v>
      </c>
      <c r="E7623" s="2" t="s">
        <v>19</v>
      </c>
    </row>
    <row r="7624" spans="1:5">
      <c r="A7624">
        <f t="shared" si="123"/>
        <v>7563</v>
      </c>
      <c r="B7624" s="138">
        <f>'Cap Outlay Deprec 26'!F17</f>
        <v>145574</v>
      </c>
      <c r="D7624" s="2" t="str">
        <f t="shared" si="124"/>
        <v>Error?</v>
      </c>
      <c r="E7624" s="2" t="s">
        <v>19</v>
      </c>
    </row>
    <row r="7625" spans="1:5">
      <c r="A7625">
        <f t="shared" si="123"/>
        <v>7564</v>
      </c>
      <c r="B7625" s="138">
        <f>'Cap Outlay Deprec 26'!I17</f>
        <v>14557.4</v>
      </c>
      <c r="D7625" s="2" t="str">
        <f t="shared" si="124"/>
        <v>Error?</v>
      </c>
      <c r="E7625" s="2" t="s">
        <v>19</v>
      </c>
    </row>
    <row r="7626" spans="1:5">
      <c r="A7626">
        <f t="shared" si="123"/>
        <v>7565</v>
      </c>
      <c r="D7626" s="2" t="str">
        <f t="shared" si="124"/>
        <v>OK</v>
      </c>
      <c r="E7626" s="4" t="s">
        <v>1331</v>
      </c>
    </row>
    <row r="7627" spans="1:5">
      <c r="A7627">
        <f t="shared" si="123"/>
        <v>7566</v>
      </c>
      <c r="D7627" s="2" t="str">
        <f t="shared" si="124"/>
        <v>OK</v>
      </c>
      <c r="E7627" s="4" t="s">
        <v>1331</v>
      </c>
    </row>
    <row r="7628" spans="1:5">
      <c r="A7628">
        <f t="shared" si="123"/>
        <v>7567</v>
      </c>
      <c r="D7628" s="2" t="str">
        <f t="shared" si="124"/>
        <v>OK</v>
      </c>
      <c r="E7628" s="2" t="s">
        <v>19</v>
      </c>
    </row>
    <row r="7629" spans="1:5">
      <c r="A7629">
        <f t="shared" si="123"/>
        <v>7568</v>
      </c>
      <c r="D7629" s="2" t="str">
        <f t="shared" si="124"/>
        <v>OK</v>
      </c>
      <c r="E7629" s="4" t="s">
        <v>1331</v>
      </c>
    </row>
    <row r="7630" spans="1:5">
      <c r="A7630">
        <f t="shared" ref="A7630:A7650" si="125">A7629+1</f>
        <v>7569</v>
      </c>
      <c r="D7630" s="2" t="str">
        <f t="shared" si="124"/>
        <v>OK</v>
      </c>
      <c r="E7630" s="4" t="s">
        <v>1331</v>
      </c>
    </row>
    <row r="7631" spans="1:5">
      <c r="A7631">
        <f t="shared" si="125"/>
        <v>7570</v>
      </c>
      <c r="B7631" s="138">
        <f>'Cap Outlay Deprec 26'!I18</f>
        <v>6219631.4000000004</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1331</v>
      </c>
    </row>
    <row r="7634" spans="1:6">
      <c r="A7634">
        <f t="shared" si="125"/>
        <v>7573</v>
      </c>
      <c r="D7634" s="2" t="str">
        <f t="shared" si="124"/>
        <v>OK</v>
      </c>
      <c r="E7634" s="4" t="s">
        <v>1331</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826</v>
      </c>
    </row>
    <row r="7652" spans="1:5">
      <c r="A7652">
        <v>7591</v>
      </c>
      <c r="B7652" s="138">
        <f>'Acct Summary 7-8'!D55</f>
        <v>0</v>
      </c>
      <c r="D7652" s="2" t="str">
        <f t="shared" si="124"/>
        <v>Error?</v>
      </c>
      <c r="E7652" s="2" t="s">
        <v>826</v>
      </c>
    </row>
    <row r="7653" spans="1:5">
      <c r="A7653">
        <v>7592</v>
      </c>
      <c r="B7653" s="138">
        <f>'Acct Summary 7-8'!H55</f>
        <v>0</v>
      </c>
      <c r="D7653" s="2" t="str">
        <f t="shared" si="124"/>
        <v>Error?</v>
      </c>
      <c r="E7653" s="2" t="s">
        <v>826</v>
      </c>
    </row>
    <row r="7654" spans="1:5">
      <c r="A7654">
        <v>7593</v>
      </c>
      <c r="B7654" s="138">
        <f>'Acct Summary 7-8'!C56</f>
        <v>420380</v>
      </c>
      <c r="D7654" s="2" t="str">
        <f t="shared" si="124"/>
        <v>Error?</v>
      </c>
      <c r="E7654" s="2" t="s">
        <v>826</v>
      </c>
    </row>
    <row r="7655" spans="1:5">
      <c r="A7655">
        <v>7594</v>
      </c>
      <c r="B7655" s="138">
        <f>'Acct Summary 7-8'!D56</f>
        <v>0</v>
      </c>
      <c r="D7655" s="2" t="str">
        <f t="shared" si="124"/>
        <v>Error?</v>
      </c>
      <c r="E7655" s="2" t="s">
        <v>826</v>
      </c>
    </row>
    <row r="7656" spans="1:5">
      <c r="A7656">
        <v>7595</v>
      </c>
      <c r="B7656" s="138">
        <f>'Acct Summary 7-8'!H56</f>
        <v>0</v>
      </c>
      <c r="D7656" s="2" t="str">
        <f t="shared" si="124"/>
        <v>Error?</v>
      </c>
      <c r="E7656" s="2" t="s">
        <v>826</v>
      </c>
    </row>
    <row r="7657" spans="1:5">
      <c r="A7657">
        <v>7596</v>
      </c>
      <c r="B7657" s="138">
        <f>'Acct Summary 7-8'!C57</f>
        <v>0</v>
      </c>
      <c r="D7657" s="2" t="str">
        <f t="shared" si="124"/>
        <v>Error?</v>
      </c>
      <c r="E7657" s="2" t="s">
        <v>826</v>
      </c>
    </row>
    <row r="7658" spans="1:5">
      <c r="A7658">
        <v>7597</v>
      </c>
      <c r="B7658" s="138">
        <f>'Acct Summary 7-8'!D57</f>
        <v>0</v>
      </c>
      <c r="D7658" s="2" t="str">
        <f t="shared" si="124"/>
        <v>Error?</v>
      </c>
      <c r="E7658" s="2" t="s">
        <v>826</v>
      </c>
    </row>
    <row r="7659" spans="1:5">
      <c r="A7659">
        <v>7598</v>
      </c>
      <c r="B7659" s="138">
        <f>'Acct Summary 7-8'!H57</f>
        <v>0</v>
      </c>
      <c r="D7659" s="2" t="str">
        <f t="shared" si="124"/>
        <v>Error?</v>
      </c>
      <c r="E7659" s="2" t="s">
        <v>826</v>
      </c>
    </row>
    <row r="7660" spans="1:5">
      <c r="A7660">
        <v>7599</v>
      </c>
      <c r="B7660" s="138">
        <f>'Acct Summary 7-8'!C59</f>
        <v>0</v>
      </c>
      <c r="D7660" s="2" t="str">
        <f t="shared" si="124"/>
        <v>Error?</v>
      </c>
      <c r="E7660" s="2" t="s">
        <v>826</v>
      </c>
    </row>
    <row r="7661" spans="1:5">
      <c r="A7661">
        <v>7600</v>
      </c>
      <c r="B7661" s="138">
        <f>'Acct Summary 7-8'!D59</f>
        <v>0</v>
      </c>
      <c r="D7661" s="2" t="str">
        <f t="shared" si="124"/>
        <v>Error?</v>
      </c>
      <c r="E7661" s="2" t="s">
        <v>826</v>
      </c>
    </row>
    <row r="7662" spans="1:5">
      <c r="A7662">
        <v>7601</v>
      </c>
      <c r="B7662" s="138">
        <f>'Acct Summary 7-8'!H59</f>
        <v>0</v>
      </c>
      <c r="D7662" s="2" t="str">
        <f t="shared" si="124"/>
        <v>Error?</v>
      </c>
      <c r="E7662" s="2" t="s">
        <v>826</v>
      </c>
    </row>
    <row r="7663" spans="1:5">
      <c r="A7663">
        <v>7602</v>
      </c>
      <c r="B7663" s="138">
        <f>'Acct Summary 7-8'!C60</f>
        <v>0</v>
      </c>
      <c r="D7663" s="2" t="str">
        <f t="shared" si="124"/>
        <v>Error?</v>
      </c>
      <c r="E7663" s="2" t="s">
        <v>826</v>
      </c>
    </row>
    <row r="7664" spans="1:5">
      <c r="A7664">
        <v>7603</v>
      </c>
      <c r="B7664" s="138">
        <f>'Acct Summary 7-8'!D60</f>
        <v>0</v>
      </c>
      <c r="D7664" s="2" t="str">
        <f t="shared" si="124"/>
        <v>Error?</v>
      </c>
      <c r="E7664" s="2" t="s">
        <v>826</v>
      </c>
    </row>
    <row r="7665" spans="1:5">
      <c r="A7665">
        <v>7604</v>
      </c>
      <c r="B7665" s="138">
        <f>'Acct Summary 7-8'!H60</f>
        <v>0</v>
      </c>
      <c r="D7665" s="2" t="str">
        <f t="shared" si="124"/>
        <v>Error?</v>
      </c>
      <c r="E7665" s="2" t="s">
        <v>826</v>
      </c>
    </row>
    <row r="7666" spans="1:5">
      <c r="A7666">
        <v>7605</v>
      </c>
      <c r="B7666" s="138">
        <f>'Acct Summary 7-8'!C61</f>
        <v>0</v>
      </c>
      <c r="D7666" s="2" t="str">
        <f t="shared" si="124"/>
        <v>Error?</v>
      </c>
      <c r="E7666" s="2" t="s">
        <v>826</v>
      </c>
    </row>
    <row r="7667" spans="1:5">
      <c r="A7667">
        <v>7606</v>
      </c>
      <c r="B7667" s="138">
        <f>'Acct Summary 7-8'!D61</f>
        <v>0</v>
      </c>
      <c r="D7667" s="2" t="str">
        <f t="shared" si="124"/>
        <v>Error?</v>
      </c>
      <c r="E7667" s="2" t="s">
        <v>826</v>
      </c>
    </row>
    <row r="7668" spans="1:5">
      <c r="A7668">
        <v>7607</v>
      </c>
      <c r="B7668" s="138">
        <f>'Acct Summary 7-8'!H61</f>
        <v>0</v>
      </c>
      <c r="D7668" s="2" t="str">
        <f t="shared" si="124"/>
        <v>Error?</v>
      </c>
      <c r="E7668" s="2" t="s">
        <v>826</v>
      </c>
    </row>
    <row r="7669" spans="1:5">
      <c r="A7669">
        <v>7608</v>
      </c>
      <c r="B7669" s="138">
        <f>'Acct Summary 7-8'!C63</f>
        <v>0</v>
      </c>
      <c r="D7669" s="2" t="str">
        <f t="shared" si="124"/>
        <v>Error?</v>
      </c>
      <c r="E7669" s="2" t="s">
        <v>826</v>
      </c>
    </row>
    <row r="7670" spans="1:5">
      <c r="A7670">
        <v>7609</v>
      </c>
      <c r="B7670" s="138">
        <f>'Acct Summary 7-8'!D63</f>
        <v>0</v>
      </c>
      <c r="D7670" s="2" t="str">
        <f t="shared" si="124"/>
        <v>Error?</v>
      </c>
      <c r="E7670" s="2" t="s">
        <v>826</v>
      </c>
    </row>
    <row r="7671" spans="1:5">
      <c r="A7671">
        <v>7610</v>
      </c>
      <c r="B7671" s="138">
        <f>'Acct Summary 7-8'!C64</f>
        <v>0</v>
      </c>
      <c r="D7671" s="2" t="str">
        <f t="shared" si="124"/>
        <v>Error?</v>
      </c>
      <c r="E7671" s="2" t="s">
        <v>826</v>
      </c>
    </row>
    <row r="7672" spans="1:5">
      <c r="A7672">
        <v>7611</v>
      </c>
      <c r="B7672" s="138">
        <f>'Acct Summary 7-8'!D64</f>
        <v>0</v>
      </c>
      <c r="D7672" s="2" t="str">
        <f t="shared" si="124"/>
        <v>Error?</v>
      </c>
      <c r="E7672" s="2" t="s">
        <v>826</v>
      </c>
    </row>
    <row r="7673" spans="1:5">
      <c r="A7673">
        <v>7612</v>
      </c>
      <c r="B7673" s="138">
        <f>'Acct Summary 7-8'!C65</f>
        <v>0</v>
      </c>
      <c r="D7673" s="2" t="str">
        <f t="shared" si="124"/>
        <v>Error?</v>
      </c>
      <c r="E7673" s="2" t="s">
        <v>826</v>
      </c>
    </row>
    <row r="7674" spans="1:5">
      <c r="A7674">
        <v>7613</v>
      </c>
      <c r="B7674" s="138">
        <f>'Acct Summary 7-8'!D65</f>
        <v>0</v>
      </c>
      <c r="D7674" s="2" t="str">
        <f t="shared" si="124"/>
        <v>Error?</v>
      </c>
      <c r="E7674" s="2" t="s">
        <v>826</v>
      </c>
    </row>
    <row r="7675" spans="1:5">
      <c r="A7675">
        <v>7614</v>
      </c>
      <c r="B7675" s="138">
        <f>'Acct Summary 7-8'!C67</f>
        <v>0</v>
      </c>
      <c r="D7675" s="2" t="str">
        <f t="shared" si="124"/>
        <v>Error?</v>
      </c>
      <c r="E7675" s="2" t="s">
        <v>826</v>
      </c>
    </row>
    <row r="7676" spans="1:5">
      <c r="A7676">
        <v>7615</v>
      </c>
      <c r="B7676" s="138">
        <f>'Acct Summary 7-8'!D67</f>
        <v>0</v>
      </c>
      <c r="D7676" s="2" t="str">
        <f t="shared" si="124"/>
        <v>Error?</v>
      </c>
      <c r="E7676" s="2" t="s">
        <v>826</v>
      </c>
    </row>
    <row r="7677" spans="1:5">
      <c r="A7677">
        <v>7616</v>
      </c>
      <c r="B7677" s="138">
        <f>'Acct Summary 7-8'!C68</f>
        <v>0</v>
      </c>
      <c r="D7677" s="2" t="str">
        <f t="shared" si="124"/>
        <v>Error?</v>
      </c>
      <c r="E7677" s="2" t="s">
        <v>826</v>
      </c>
    </row>
    <row r="7678" spans="1:5">
      <c r="A7678">
        <v>7617</v>
      </c>
      <c r="B7678" s="138">
        <f>'Acct Summary 7-8'!D68</f>
        <v>0</v>
      </c>
      <c r="D7678" s="2" t="str">
        <f t="shared" si="124"/>
        <v>Error?</v>
      </c>
      <c r="E7678" s="2" t="s">
        <v>826</v>
      </c>
    </row>
    <row r="7679" spans="1:5">
      <c r="A7679">
        <v>7618</v>
      </c>
      <c r="B7679" s="138">
        <f>'Acct Summary 7-8'!C69</f>
        <v>0</v>
      </c>
      <c r="D7679" s="2" t="str">
        <f t="shared" ref="D7679:D7742" si="126">IF(ISBLANK(B7679),"OK",IF(A7679-B7679=0,"OK","Error?"))</f>
        <v>Error?</v>
      </c>
      <c r="E7679" s="2" t="s">
        <v>826</v>
      </c>
    </row>
    <row r="7680" spans="1:5">
      <c r="A7680">
        <v>7619</v>
      </c>
      <c r="B7680" s="138">
        <f>'Acct Summary 7-8'!D69</f>
        <v>0</v>
      </c>
      <c r="D7680" s="2" t="str">
        <f t="shared" si="126"/>
        <v>Error?</v>
      </c>
      <c r="E7680" s="2" t="s">
        <v>826</v>
      </c>
    </row>
    <row r="7681" spans="1:5">
      <c r="A7681">
        <v>7620</v>
      </c>
      <c r="B7681" s="138">
        <f>'Acct Summary 7-8'!C71</f>
        <v>0</v>
      </c>
      <c r="D7681" s="2" t="str">
        <f t="shared" si="126"/>
        <v>Error?</v>
      </c>
      <c r="E7681" s="2" t="s">
        <v>826</v>
      </c>
    </row>
    <row r="7682" spans="1:5">
      <c r="A7682">
        <v>7621</v>
      </c>
      <c r="B7682" s="138">
        <f>'Acct Summary 7-8'!D71</f>
        <v>0</v>
      </c>
      <c r="D7682" s="2" t="str">
        <f t="shared" si="126"/>
        <v>Error?</v>
      </c>
      <c r="E7682" s="2" t="s">
        <v>826</v>
      </c>
    </row>
    <row r="7683" spans="1:5">
      <c r="A7683">
        <v>7622</v>
      </c>
      <c r="B7683" s="138">
        <f>'Acct Summary 7-8'!C72</f>
        <v>0</v>
      </c>
      <c r="D7683" s="2" t="str">
        <f t="shared" si="126"/>
        <v>Error?</v>
      </c>
      <c r="E7683" s="2" t="s">
        <v>826</v>
      </c>
    </row>
    <row r="7684" spans="1:5">
      <c r="A7684">
        <v>7623</v>
      </c>
      <c r="B7684" s="138">
        <f>'Acct Summary 7-8'!D72</f>
        <v>0</v>
      </c>
      <c r="D7684" s="2" t="str">
        <f t="shared" si="126"/>
        <v>Error?</v>
      </c>
      <c r="E7684" s="2" t="s">
        <v>826</v>
      </c>
    </row>
    <row r="7685" spans="1:5">
      <c r="A7685">
        <v>7624</v>
      </c>
      <c r="B7685" s="138">
        <f>'Acct Summary 7-8'!C73</f>
        <v>0</v>
      </c>
      <c r="D7685" s="2" t="str">
        <f t="shared" si="126"/>
        <v>Error?</v>
      </c>
      <c r="E7685" s="2" t="s">
        <v>826</v>
      </c>
    </row>
    <row r="7686" spans="1:5">
      <c r="A7686">
        <v>7625</v>
      </c>
      <c r="B7686" s="138">
        <f>'Acct Summary 7-8'!D73</f>
        <v>0</v>
      </c>
      <c r="D7686" s="2" t="str">
        <f t="shared" si="126"/>
        <v>Error?</v>
      </c>
      <c r="E7686" s="2" t="s">
        <v>826</v>
      </c>
    </row>
    <row r="7687" spans="1:5">
      <c r="A7687">
        <v>7626</v>
      </c>
      <c r="B7687" s="138">
        <f>'Revenues 9-14'!C196</f>
        <v>0</v>
      </c>
      <c r="D7687" s="2" t="str">
        <f t="shared" si="126"/>
        <v>Error?</v>
      </c>
      <c r="E7687" s="2" t="s">
        <v>826</v>
      </c>
    </row>
    <row r="7688" spans="1:5">
      <c r="A7688">
        <v>7627</v>
      </c>
      <c r="B7688" s="138">
        <f>'Expenditures 15-22'!C328</f>
        <v>0</v>
      </c>
      <c r="D7688" s="2" t="str">
        <f t="shared" si="126"/>
        <v>Error?</v>
      </c>
      <c r="E7688" s="2" t="s">
        <v>826</v>
      </c>
    </row>
    <row r="7689" spans="1:5">
      <c r="A7689">
        <v>7628</v>
      </c>
      <c r="B7689" s="138">
        <f>'Expenditures 15-22'!D328</f>
        <v>0</v>
      </c>
      <c r="D7689" s="2" t="str">
        <f t="shared" si="126"/>
        <v>Error?</v>
      </c>
      <c r="E7689" s="2" t="s">
        <v>826</v>
      </c>
    </row>
    <row r="7690" spans="1:5">
      <c r="A7690">
        <v>7629</v>
      </c>
      <c r="B7690" s="138">
        <f>'Expenditures 15-22'!E328</f>
        <v>0</v>
      </c>
      <c r="D7690" s="2" t="str">
        <f t="shared" si="126"/>
        <v>Error?</v>
      </c>
      <c r="E7690" s="2" t="s">
        <v>826</v>
      </c>
    </row>
    <row r="7691" spans="1:5">
      <c r="A7691">
        <v>7630</v>
      </c>
      <c r="B7691" s="138">
        <f>'Expenditures 15-22'!F328</f>
        <v>0</v>
      </c>
      <c r="D7691" s="2" t="str">
        <f t="shared" si="126"/>
        <v>Error?</v>
      </c>
      <c r="E7691" s="2" t="s">
        <v>826</v>
      </c>
    </row>
    <row r="7692" spans="1:5">
      <c r="A7692">
        <v>7631</v>
      </c>
      <c r="B7692" s="138">
        <f>'Expenditures 15-22'!G328</f>
        <v>0</v>
      </c>
      <c r="D7692" s="2" t="str">
        <f t="shared" si="126"/>
        <v>Error?</v>
      </c>
      <c r="E7692" s="2" t="s">
        <v>826</v>
      </c>
    </row>
    <row r="7693" spans="1:5">
      <c r="A7693">
        <v>7632</v>
      </c>
      <c r="B7693" s="138">
        <f>'Expenditures 15-22'!H328</f>
        <v>0</v>
      </c>
      <c r="D7693" s="2" t="str">
        <f t="shared" si="126"/>
        <v>Error?</v>
      </c>
      <c r="E7693" s="2" t="s">
        <v>826</v>
      </c>
    </row>
    <row r="7694" spans="1:5">
      <c r="A7694">
        <v>7633</v>
      </c>
      <c r="B7694" s="138">
        <f>'Expenditures 15-22'!I328</f>
        <v>0</v>
      </c>
      <c r="D7694" s="2" t="str">
        <f t="shared" si="126"/>
        <v>Error?</v>
      </c>
      <c r="E7694" s="2" t="s">
        <v>826</v>
      </c>
    </row>
    <row r="7695" spans="1:5">
      <c r="A7695">
        <v>7634</v>
      </c>
      <c r="B7695" s="138">
        <f>'Expenditures 15-22'!J328</f>
        <v>0</v>
      </c>
      <c r="D7695" s="2" t="str">
        <f t="shared" si="126"/>
        <v>Error?</v>
      </c>
      <c r="E7695" s="2" t="s">
        <v>826</v>
      </c>
    </row>
    <row r="7696" spans="1:5">
      <c r="A7696">
        <v>7635</v>
      </c>
      <c r="B7696" s="138">
        <f>'Expenditures 15-22'!K328</f>
        <v>0</v>
      </c>
      <c r="D7696" s="2" t="str">
        <f t="shared" si="126"/>
        <v>Error?</v>
      </c>
      <c r="E7696" s="2" t="s">
        <v>826</v>
      </c>
    </row>
    <row r="7697" spans="1:5">
      <c r="A7697">
        <v>7636</v>
      </c>
      <c r="B7697" s="138">
        <f>'Expenditures 15-22'!C329</f>
        <v>0</v>
      </c>
      <c r="D7697" s="2" t="str">
        <f t="shared" si="126"/>
        <v>Error?</v>
      </c>
      <c r="E7697" s="2" t="s">
        <v>826</v>
      </c>
    </row>
    <row r="7698" spans="1:5">
      <c r="A7698">
        <v>7637</v>
      </c>
      <c r="B7698" s="138">
        <f>'Expenditures 15-22'!D329</f>
        <v>0</v>
      </c>
      <c r="D7698" s="2" t="str">
        <f t="shared" si="126"/>
        <v>Error?</v>
      </c>
      <c r="E7698" s="2" t="s">
        <v>826</v>
      </c>
    </row>
    <row r="7699" spans="1:5">
      <c r="A7699">
        <v>7638</v>
      </c>
      <c r="B7699" s="138">
        <f>'Expenditures 15-22'!E329</f>
        <v>43612</v>
      </c>
      <c r="D7699" s="2" t="str">
        <f t="shared" si="126"/>
        <v>Error?</v>
      </c>
      <c r="E7699" s="2" t="s">
        <v>826</v>
      </c>
    </row>
    <row r="7700" spans="1:5">
      <c r="A7700">
        <v>7639</v>
      </c>
      <c r="B7700" s="138">
        <f>'Expenditures 15-22'!F329</f>
        <v>0</v>
      </c>
      <c r="D7700" s="2" t="str">
        <f t="shared" si="126"/>
        <v>Error?</v>
      </c>
      <c r="E7700" s="2" t="s">
        <v>826</v>
      </c>
    </row>
    <row r="7701" spans="1:5">
      <c r="A7701">
        <v>7640</v>
      </c>
      <c r="B7701" s="138">
        <f>'Expenditures 15-22'!G329</f>
        <v>0</v>
      </c>
      <c r="D7701" s="2" t="str">
        <f t="shared" si="126"/>
        <v>Error?</v>
      </c>
      <c r="E7701" s="2" t="s">
        <v>826</v>
      </c>
    </row>
    <row r="7702" spans="1:5">
      <c r="A7702">
        <v>7641</v>
      </c>
      <c r="B7702" s="138">
        <f>'Expenditures 15-22'!H329</f>
        <v>0</v>
      </c>
      <c r="D7702" s="2" t="str">
        <f t="shared" si="126"/>
        <v>Error?</v>
      </c>
      <c r="E7702" s="2" t="s">
        <v>826</v>
      </c>
    </row>
    <row r="7703" spans="1:5">
      <c r="A7703">
        <v>7642</v>
      </c>
      <c r="B7703" s="138">
        <f>'Expenditures 15-22'!I329</f>
        <v>0</v>
      </c>
      <c r="D7703" s="2" t="str">
        <f t="shared" si="126"/>
        <v>Error?</v>
      </c>
      <c r="E7703" s="2" t="s">
        <v>826</v>
      </c>
    </row>
    <row r="7704" spans="1:5">
      <c r="A7704">
        <v>7643</v>
      </c>
      <c r="B7704" s="138">
        <f>'Expenditures 15-22'!J329</f>
        <v>0</v>
      </c>
      <c r="D7704" s="2" t="str">
        <f t="shared" si="126"/>
        <v>Error?</v>
      </c>
      <c r="E7704" s="2" t="s">
        <v>826</v>
      </c>
    </row>
    <row r="7705" spans="1:5">
      <c r="A7705">
        <v>7644</v>
      </c>
      <c r="B7705" s="138">
        <f>'Expenditures 15-22'!K329</f>
        <v>43612</v>
      </c>
      <c r="D7705" s="2" t="str">
        <f t="shared" si="126"/>
        <v>Error?</v>
      </c>
      <c r="E7705" s="2" t="s">
        <v>826</v>
      </c>
    </row>
    <row r="7706" spans="1:5">
      <c r="A7706">
        <v>7645</v>
      </c>
      <c r="B7706" s="138">
        <f>'Revenues 9-14'!H167</f>
        <v>0</v>
      </c>
      <c r="D7706" s="2" t="str">
        <f t="shared" si="126"/>
        <v>Error?</v>
      </c>
      <c r="E7706" s="2" t="s">
        <v>826</v>
      </c>
    </row>
    <row r="7707" spans="1:5">
      <c r="A7707">
        <v>7646</v>
      </c>
      <c r="B7707" s="138">
        <f>'Expenditures 15-22'!I64</f>
        <v>0</v>
      </c>
      <c r="D7707" s="2" t="str">
        <f t="shared" si="126"/>
        <v>Error?</v>
      </c>
      <c r="E7707" s="2" t="s">
        <v>826</v>
      </c>
    </row>
    <row r="7708" spans="1:5">
      <c r="A7708">
        <v>7647</v>
      </c>
      <c r="B7708" s="138">
        <f>'Rest Tax Levies-Tort Im 25'!J3</f>
        <v>0</v>
      </c>
      <c r="D7708" s="2" t="str">
        <f t="shared" si="126"/>
        <v>Error?</v>
      </c>
      <c r="E7708" s="2" t="s">
        <v>826</v>
      </c>
    </row>
    <row r="7709" spans="1:5">
      <c r="A7709">
        <v>7648</v>
      </c>
      <c r="B7709" s="138">
        <f>'Rest Tax Levies-Tort Im 25'!K3</f>
        <v>239651</v>
      </c>
      <c r="D7709" s="2" t="str">
        <f t="shared" si="126"/>
        <v>Error?</v>
      </c>
      <c r="E7709" s="2" t="s">
        <v>826</v>
      </c>
    </row>
    <row r="7710" spans="1:5">
      <c r="A7710">
        <v>7649</v>
      </c>
      <c r="B7710" s="138">
        <f>'Rest Tax Levies-Tort Im 25'!J6</f>
        <v>0</v>
      </c>
      <c r="D7710" s="2" t="str">
        <f t="shared" si="126"/>
        <v>Error?</v>
      </c>
      <c r="E7710" s="2" t="s">
        <v>826</v>
      </c>
    </row>
    <row r="7711" spans="1:5">
      <c r="A7711">
        <v>7650</v>
      </c>
      <c r="B7711" s="138">
        <f>'Rest Tax Levies-Tort Im 25'!K6</f>
        <v>0</v>
      </c>
      <c r="D7711" s="2" t="str">
        <f t="shared" si="126"/>
        <v>Error?</v>
      </c>
      <c r="E7711" s="2" t="s">
        <v>826</v>
      </c>
    </row>
    <row r="7712" spans="1:5">
      <c r="A7712">
        <v>7651</v>
      </c>
      <c r="B7712" s="138">
        <f>'Rest Tax Levies-Tort Im 25'!K7</f>
        <v>142130</v>
      </c>
      <c r="D7712" s="2" t="str">
        <f t="shared" si="126"/>
        <v>Error?</v>
      </c>
      <c r="E7712" s="2" t="s">
        <v>826</v>
      </c>
    </row>
    <row r="7713" spans="1:6">
      <c r="A7713">
        <v>7652</v>
      </c>
      <c r="B7713" s="138">
        <f>'Rest Tax Levies-Tort Im 25'!J8</f>
        <v>0</v>
      </c>
      <c r="D7713" s="2" t="str">
        <f t="shared" si="126"/>
        <v>Error?</v>
      </c>
      <c r="E7713" s="2" t="s">
        <v>826</v>
      </c>
    </row>
    <row r="7714" spans="1:6">
      <c r="A7714">
        <v>7653</v>
      </c>
      <c r="B7714" s="138">
        <f>'Rest Tax Levies-Tort Im 25'!K9</f>
        <v>151602</v>
      </c>
      <c r="D7714" s="2" t="str">
        <f t="shared" si="126"/>
        <v>Error?</v>
      </c>
      <c r="E7714" s="2" t="s">
        <v>826</v>
      </c>
    </row>
    <row r="7715" spans="1:6">
      <c r="A7715">
        <v>7654</v>
      </c>
      <c r="B7715" s="138">
        <f>'Rest Tax Levies-Tort Im 25'!J10</f>
        <v>0</v>
      </c>
      <c r="D7715" s="2" t="str">
        <f t="shared" si="126"/>
        <v>Error?</v>
      </c>
      <c r="E7715" s="2" t="s">
        <v>826</v>
      </c>
    </row>
    <row r="7716" spans="1:6">
      <c r="A7716">
        <v>7655</v>
      </c>
      <c r="B7716" s="138">
        <f>'Rest Tax Levies-Tort Im 25'!K10</f>
        <v>0</v>
      </c>
      <c r="D7716" s="2" t="str">
        <f t="shared" si="126"/>
        <v>Error?</v>
      </c>
      <c r="E7716" s="2" t="s">
        <v>826</v>
      </c>
    </row>
    <row r="7717" spans="1:6">
      <c r="A7717">
        <v>7656</v>
      </c>
      <c r="B7717" s="138">
        <f>'Rest Tax Levies-Tort Im 25'!J11</f>
        <v>0</v>
      </c>
      <c r="D7717" s="2" t="str">
        <f t="shared" si="126"/>
        <v>Error?</v>
      </c>
      <c r="E7717" s="2" t="s">
        <v>826</v>
      </c>
    </row>
    <row r="7718" spans="1:6">
      <c r="A7718">
        <v>7657</v>
      </c>
      <c r="B7718" s="138">
        <f>'Rest Tax Levies-Tort Im 25'!J12</f>
        <v>0</v>
      </c>
      <c r="D7718" s="2" t="str">
        <f t="shared" si="126"/>
        <v>Error?</v>
      </c>
      <c r="E7718" s="2" t="s">
        <v>826</v>
      </c>
    </row>
    <row r="7719" spans="1:6">
      <c r="A7719">
        <v>7658</v>
      </c>
      <c r="B7719" s="138">
        <f>'Rest Tax Levies-Tort Im 25'!K12</f>
        <v>293732</v>
      </c>
      <c r="D7719" s="2" t="str">
        <f t="shared" si="126"/>
        <v>Error?</v>
      </c>
      <c r="E7719" s="2" t="s">
        <v>826</v>
      </c>
    </row>
    <row r="7720" spans="1:6">
      <c r="A7720">
        <v>7659</v>
      </c>
      <c r="B7720" s="138">
        <f>'Rest Tax Levies-Tort Im 25'!H14</f>
        <v>100757</v>
      </c>
      <c r="D7720" s="2" t="str">
        <f t="shared" si="126"/>
        <v>Error?</v>
      </c>
      <c r="E7720" s="2" t="s">
        <v>826</v>
      </c>
    </row>
    <row r="7721" spans="1:6">
      <c r="A7721">
        <v>7660</v>
      </c>
      <c r="B7721" s="138">
        <f>'Rest Tax Levies-Tort Im 25'!K14</f>
        <v>351732</v>
      </c>
      <c r="D7721" s="2" t="str">
        <f t="shared" si="126"/>
        <v>Error?</v>
      </c>
      <c r="E7721" s="2" t="s">
        <v>826</v>
      </c>
    </row>
    <row r="7722" spans="1:6">
      <c r="A7722">
        <v>7661</v>
      </c>
      <c r="B7722" s="138">
        <f>'Rest Tax Levies-Tort Im 25'!J15</f>
        <v>0</v>
      </c>
      <c r="D7722" s="2" t="str">
        <f t="shared" si="126"/>
        <v>Error?</v>
      </c>
      <c r="E7722" s="2" t="s">
        <v>826</v>
      </c>
    </row>
    <row r="7723" spans="1:6">
      <c r="A7723">
        <v>7662</v>
      </c>
      <c r="B7723" s="138">
        <f>'Rest Tax Levies-Tort Im 25'!K15</f>
        <v>0</v>
      </c>
      <c r="D7723" s="2" t="str">
        <f t="shared" si="126"/>
        <v>Error?</v>
      </c>
      <c r="E7723" s="2" t="s">
        <v>826</v>
      </c>
    </row>
    <row r="7724" spans="1:6">
      <c r="A7724">
        <v>7663</v>
      </c>
      <c r="B7724" s="138">
        <f>'Rest Tax Levies-Tort Im 25'!J18</f>
        <v>0</v>
      </c>
      <c r="D7724" s="2" t="str">
        <f t="shared" si="126"/>
        <v>Error?</v>
      </c>
      <c r="E7724" s="2" t="s">
        <v>826</v>
      </c>
      <c r="F7724" s="2"/>
    </row>
    <row r="7725" spans="1:6">
      <c r="A7725">
        <v>7664</v>
      </c>
      <c r="B7725" s="138">
        <f>'Rest Tax Levies-Tort Im 25'!J19</f>
        <v>0</v>
      </c>
      <c r="D7725" s="2" t="str">
        <f t="shared" si="126"/>
        <v>Error?</v>
      </c>
      <c r="E7725" s="2" t="s">
        <v>826</v>
      </c>
    </row>
    <row r="7726" spans="1:6">
      <c r="A7726">
        <v>7665</v>
      </c>
      <c r="B7726" s="138">
        <f>'Rest Tax Levies-Tort Im 25'!J20</f>
        <v>0</v>
      </c>
      <c r="D7726" s="2" t="str">
        <f t="shared" si="126"/>
        <v>Error?</v>
      </c>
      <c r="E7726" s="2" t="s">
        <v>826</v>
      </c>
    </row>
    <row r="7727" spans="1:6">
      <c r="A7727">
        <v>7666</v>
      </c>
      <c r="B7727" s="138">
        <f>'Rest Tax Levies-Tort Im 25'!J21</f>
        <v>0</v>
      </c>
      <c r="D7727" s="2" t="str">
        <f t="shared" si="126"/>
        <v>Error?</v>
      </c>
      <c r="E7727" s="2" t="s">
        <v>826</v>
      </c>
    </row>
    <row r="7728" spans="1:6">
      <c r="A7728">
        <v>7667</v>
      </c>
      <c r="B7728" s="138">
        <f>'Revenues 9-14'!E103</f>
        <v>0</v>
      </c>
      <c r="D7728" s="2" t="str">
        <f t="shared" si="126"/>
        <v>Error?</v>
      </c>
      <c r="E7728" s="2" t="s">
        <v>826</v>
      </c>
    </row>
    <row r="7729" spans="1:6">
      <c r="A7729">
        <v>7668</v>
      </c>
      <c r="B7729" s="138">
        <f>'Rest Tax Levies-Tort Im 25'!K22</f>
        <v>0</v>
      </c>
      <c r="D7729" s="2" t="str">
        <f t="shared" si="126"/>
        <v>Error?</v>
      </c>
      <c r="E7729" s="2" t="s">
        <v>826</v>
      </c>
    </row>
    <row r="7730" spans="1:6">
      <c r="A7730">
        <v>7669</v>
      </c>
      <c r="B7730" s="138">
        <f>'Rest Tax Levies-Tort Im 25'!J23</f>
        <v>0</v>
      </c>
      <c r="D7730" s="2" t="str">
        <f t="shared" si="126"/>
        <v>Error?</v>
      </c>
      <c r="E7730" s="2" t="s">
        <v>826</v>
      </c>
    </row>
    <row r="7731" spans="1:6">
      <c r="A7731">
        <v>7670</v>
      </c>
      <c r="B7731" s="138">
        <f>'Revenues 9-14'!H103</f>
        <v>0</v>
      </c>
      <c r="D7731" s="2" t="str">
        <f t="shared" si="126"/>
        <v>Error?</v>
      </c>
      <c r="E7731" s="2" t="s">
        <v>826</v>
      </c>
    </row>
    <row r="7732" spans="1:6">
      <c r="A7732">
        <v>7671</v>
      </c>
      <c r="B7732" s="138">
        <f>'Rest Tax Levies-Tort Im 25'!J24</f>
        <v>0</v>
      </c>
      <c r="D7732" s="2" t="str">
        <f t="shared" si="126"/>
        <v>Error?</v>
      </c>
      <c r="E7732" s="2" t="s">
        <v>826</v>
      </c>
    </row>
    <row r="7733" spans="1:6">
      <c r="A7733">
        <v>7672</v>
      </c>
      <c r="B7733" s="138">
        <f>'Rest Tax Levies-Tort Im 25'!K24</f>
        <v>181651</v>
      </c>
      <c r="D7733" s="2" t="str">
        <f t="shared" si="126"/>
        <v>Error?</v>
      </c>
      <c r="E7733" s="2" t="s">
        <v>826</v>
      </c>
    </row>
    <row r="7734" spans="1:6">
      <c r="A7734">
        <v>7673</v>
      </c>
      <c r="B7734" s="138">
        <f>'Rest Tax Levies-Tort Im 25'!G25</f>
        <v>0</v>
      </c>
      <c r="D7734" s="2" t="str">
        <f t="shared" si="126"/>
        <v>Error?</v>
      </c>
      <c r="E7734" s="2" t="s">
        <v>826</v>
      </c>
    </row>
    <row r="7735" spans="1:6">
      <c r="A7735">
        <v>7674</v>
      </c>
      <c r="B7735" s="138">
        <f>'Rest Tax Levies-Tort Im 25'!H25</f>
        <v>0</v>
      </c>
      <c r="D7735" s="2" t="str">
        <f t="shared" si="126"/>
        <v>Error?</v>
      </c>
      <c r="E7735" s="2" t="s">
        <v>826</v>
      </c>
    </row>
    <row r="7736" spans="1:6">
      <c r="A7736">
        <v>7675</v>
      </c>
      <c r="B7736" s="138">
        <f>'Rest Tax Levies-Tort Im 25'!I25</f>
        <v>0</v>
      </c>
      <c r="D7736" s="2" t="str">
        <f t="shared" si="126"/>
        <v>Error?</v>
      </c>
      <c r="E7736" s="2" t="s">
        <v>826</v>
      </c>
    </row>
    <row r="7737" spans="1:6">
      <c r="A7737">
        <v>7676</v>
      </c>
      <c r="B7737" s="138">
        <f>'Rest Tax Levies-Tort Im 25'!J25</f>
        <v>0</v>
      </c>
      <c r="D7737" s="2" t="str">
        <f t="shared" si="126"/>
        <v>Error?</v>
      </c>
      <c r="E7737" s="2" t="s">
        <v>826</v>
      </c>
    </row>
    <row r="7738" spans="1:6">
      <c r="A7738">
        <v>7677</v>
      </c>
      <c r="B7738" s="138">
        <f>'Rest Tax Levies-Tort Im 25'!K25</f>
        <v>0</v>
      </c>
      <c r="D7738" s="2" t="str">
        <f t="shared" si="126"/>
        <v>Error?</v>
      </c>
      <c r="E7738" s="2" t="s">
        <v>826</v>
      </c>
    </row>
    <row r="7739" spans="1:6">
      <c r="A7739">
        <v>7678</v>
      </c>
      <c r="B7739" s="138">
        <f>'Rest Tax Levies-Tort Im 25'!G26</f>
        <v>0</v>
      </c>
      <c r="D7739" s="2" t="str">
        <f t="shared" si="126"/>
        <v>Error?</v>
      </c>
      <c r="E7739" s="2" t="s">
        <v>826</v>
      </c>
    </row>
    <row r="7740" spans="1:6">
      <c r="A7740">
        <v>7679</v>
      </c>
      <c r="B7740" s="138">
        <f>'Rest Tax Levies-Tort Im 25'!H26</f>
        <v>0</v>
      </c>
      <c r="D7740" s="2" t="str">
        <f t="shared" si="126"/>
        <v>Error?</v>
      </c>
      <c r="E7740" s="2" t="s">
        <v>826</v>
      </c>
    </row>
    <row r="7741" spans="1:6">
      <c r="A7741">
        <v>7680</v>
      </c>
      <c r="B7741" s="138">
        <f>'Rest Tax Levies-Tort Im 25'!I26</f>
        <v>0</v>
      </c>
      <c r="D7741" s="2" t="str">
        <f t="shared" si="126"/>
        <v>Error?</v>
      </c>
      <c r="E7741" s="2" t="s">
        <v>826</v>
      </c>
    </row>
    <row r="7742" spans="1:6">
      <c r="A7742">
        <v>7681</v>
      </c>
      <c r="B7742" s="138">
        <f>'Rest Tax Levies-Tort Im 25'!J26</f>
        <v>0</v>
      </c>
      <c r="D7742" s="2" t="str">
        <f t="shared" si="126"/>
        <v>Error?</v>
      </c>
      <c r="E7742" s="2" t="s">
        <v>826</v>
      </c>
    </row>
    <row r="7743" spans="1:6">
      <c r="A7743">
        <v>7682</v>
      </c>
      <c r="B7743" s="138">
        <f>'Rest Tax Levies-Tort Im 25'!K26</f>
        <v>181651</v>
      </c>
      <c r="D7743" s="2" t="str">
        <f t="shared" ref="D7743:D7806" si="127">IF(ISBLANK(B7743),"OK",IF(A7743-B7743=0,"OK","Error?"))</f>
        <v>Error?</v>
      </c>
      <c r="E7743" s="2" t="s">
        <v>826</v>
      </c>
    </row>
    <row r="7744" spans="1:6">
      <c r="A7744">
        <v>7683</v>
      </c>
      <c r="D7744" s="2" t="str">
        <f t="shared" si="127"/>
        <v>OK</v>
      </c>
      <c r="E7744" s="4" t="s">
        <v>1331</v>
      </c>
      <c r="F7744" s="1"/>
    </row>
    <row r="7745" spans="1:6">
      <c r="A7745">
        <v>7684</v>
      </c>
      <c r="B7745" s="138">
        <f>'Expenditures 15-22'!H364</f>
        <v>0</v>
      </c>
      <c r="D7745" s="2" t="str">
        <f t="shared" si="127"/>
        <v>Error?</v>
      </c>
      <c r="E7745" s="2" t="s">
        <v>826</v>
      </c>
    </row>
    <row r="7746" spans="1:6">
      <c r="A7746">
        <v>7685</v>
      </c>
      <c r="B7746" s="138">
        <f>'Expenditures 15-22'!K364</f>
        <v>0</v>
      </c>
      <c r="D7746" s="2" t="str">
        <f t="shared" si="127"/>
        <v>Error?</v>
      </c>
      <c r="E7746" s="2" t="s">
        <v>826</v>
      </c>
    </row>
    <row r="7747" spans="1:6">
      <c r="A7747">
        <v>7686</v>
      </c>
      <c r="B7747" s="138">
        <f>'Revenues 9-14'!E266</f>
        <v>314076</v>
      </c>
      <c r="D7747" s="2" t="str">
        <f t="shared" si="127"/>
        <v>Error?</v>
      </c>
      <c r="E7747" s="2" t="s">
        <v>826</v>
      </c>
      <c r="F7747" s="2" t="s">
        <v>827</v>
      </c>
    </row>
    <row r="7748" spans="1:6">
      <c r="A7748">
        <v>7687</v>
      </c>
      <c r="B7748" s="138">
        <f>'Acct Summary 7-8'!C25</f>
        <v>0</v>
      </c>
      <c r="D7748" s="2" t="str">
        <f t="shared" si="127"/>
        <v>Error?</v>
      </c>
      <c r="E7748" s="4" t="s">
        <v>1330</v>
      </c>
    </row>
    <row r="7749" spans="1:6">
      <c r="A7749">
        <v>7688</v>
      </c>
      <c r="B7749" s="138">
        <f>'Acct Summary 7-8'!D25</f>
        <v>0</v>
      </c>
      <c r="D7749" s="2" t="str">
        <f t="shared" si="127"/>
        <v>Error?</v>
      </c>
      <c r="E7749" s="4" t="s">
        <v>1330</v>
      </c>
    </row>
    <row r="7750" spans="1:6">
      <c r="A7750">
        <v>7689</v>
      </c>
      <c r="B7750" s="138">
        <f>'Acct Summary 7-8'!E25</f>
        <v>0</v>
      </c>
      <c r="D7750" s="2" t="str">
        <f t="shared" si="127"/>
        <v>Error?</v>
      </c>
      <c r="E7750" s="4" t="s">
        <v>1330</v>
      </c>
    </row>
    <row r="7751" spans="1:6">
      <c r="A7751">
        <v>7690</v>
      </c>
      <c r="B7751" s="138">
        <f>'Acct Summary 7-8'!F25</f>
        <v>0</v>
      </c>
      <c r="D7751" s="2" t="str">
        <f t="shared" si="127"/>
        <v>Error?</v>
      </c>
      <c r="E7751" s="4" t="s">
        <v>1330</v>
      </c>
    </row>
    <row r="7752" spans="1:6">
      <c r="A7752">
        <v>7691</v>
      </c>
      <c r="B7752" s="138">
        <f>'Acct Summary 7-8'!G25</f>
        <v>0</v>
      </c>
      <c r="D7752" s="2" t="str">
        <f t="shared" si="127"/>
        <v>Error?</v>
      </c>
      <c r="E7752" s="4" t="s">
        <v>1330</v>
      </c>
    </row>
    <row r="7753" spans="1:6">
      <c r="A7753">
        <v>7692</v>
      </c>
      <c r="B7753" s="138">
        <f>'Acct Summary 7-8'!H25</f>
        <v>0</v>
      </c>
      <c r="D7753" s="2" t="str">
        <f t="shared" si="127"/>
        <v>Error?</v>
      </c>
      <c r="E7753" s="4" t="s">
        <v>1330</v>
      </c>
    </row>
    <row r="7754" spans="1:6">
      <c r="A7754">
        <v>7693</v>
      </c>
      <c r="B7754" s="138">
        <f>'Acct Summary 7-8'!J25</f>
        <v>0</v>
      </c>
      <c r="D7754" s="2" t="str">
        <f t="shared" si="127"/>
        <v>Error?</v>
      </c>
      <c r="E7754" s="4" t="s">
        <v>1330</v>
      </c>
    </row>
    <row r="7755" spans="1:6">
      <c r="A7755">
        <v>7694</v>
      </c>
      <c r="B7755" s="138">
        <f>'Acct Summary 7-8'!K25</f>
        <v>0</v>
      </c>
      <c r="D7755" s="2" t="str">
        <f t="shared" si="127"/>
        <v>Error?</v>
      </c>
      <c r="E7755" s="4" t="s">
        <v>1330</v>
      </c>
    </row>
    <row r="7756" spans="1:6">
      <c r="A7756">
        <v>7695</v>
      </c>
      <c r="B7756" s="138">
        <f>'Aud Quest 2'!E85</f>
        <v>0</v>
      </c>
      <c r="D7756" s="2" t="str">
        <f t="shared" si="127"/>
        <v>Error?</v>
      </c>
      <c r="E7756" s="4" t="s">
        <v>1330</v>
      </c>
      <c r="F7756" t="s">
        <v>1442</v>
      </c>
    </row>
    <row r="7757" spans="1:6">
      <c r="A7757">
        <v>7696</v>
      </c>
      <c r="B7757" s="138">
        <f>'Aud Quest 2'!E87</f>
        <v>0</v>
      </c>
      <c r="D7757" s="2" t="str">
        <f t="shared" si="127"/>
        <v>Error?</v>
      </c>
      <c r="E7757" s="4" t="s">
        <v>1330</v>
      </c>
      <c r="F7757" t="s">
        <v>1442</v>
      </c>
    </row>
    <row r="7758" spans="1:6">
      <c r="A7758">
        <v>7697</v>
      </c>
      <c r="B7758" s="138">
        <f>'Aud Quest 2'!J85</f>
        <v>0</v>
      </c>
      <c r="D7758" s="2" t="str">
        <f t="shared" si="127"/>
        <v>Error?</v>
      </c>
      <c r="E7758" s="4" t="s">
        <v>1330</v>
      </c>
    </row>
    <row r="7759" spans="1:6">
      <c r="A7759">
        <v>7698</v>
      </c>
      <c r="B7759" s="138">
        <f>'Aud Quest 2'!J88</f>
        <v>1181671</v>
      </c>
      <c r="D7759" s="2" t="str">
        <f t="shared" si="127"/>
        <v>Error?</v>
      </c>
      <c r="E7759" s="4" t="s">
        <v>1330</v>
      </c>
    </row>
    <row r="7760" spans="1:6">
      <c r="A7760">
        <v>7699</v>
      </c>
      <c r="B7760" s="138">
        <f>'Aud Quest 2'!J90</f>
        <v>1181671</v>
      </c>
      <c r="D7760" s="2" t="str">
        <f t="shared" si="127"/>
        <v>Error?</v>
      </c>
      <c r="E7760" s="4" t="s">
        <v>1330</v>
      </c>
    </row>
    <row r="7761" spans="1:5">
      <c r="A7761">
        <v>7700</v>
      </c>
      <c r="B7761" s="138">
        <f>'Revenues 9-14'!C253</f>
        <v>0</v>
      </c>
      <c r="D7761" s="2" t="str">
        <f t="shared" si="127"/>
        <v>Error?</v>
      </c>
      <c r="E7761" s="4" t="s">
        <v>1419</v>
      </c>
    </row>
    <row r="7762" spans="1:5">
      <c r="A7762">
        <v>7701</v>
      </c>
      <c r="B7762" s="138">
        <f>'Expenditures 15-22'!E6</f>
        <v>0</v>
      </c>
      <c r="D7762" s="2" t="str">
        <f t="shared" si="127"/>
        <v>Error?</v>
      </c>
      <c r="E7762" s="4" t="s">
        <v>1429</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1457</v>
      </c>
    </row>
    <row r="7765" spans="1:5">
      <c r="A7765">
        <v>7704</v>
      </c>
      <c r="B7765" s="138">
        <f>'Revenues 9-14'!C254</f>
        <v>0</v>
      </c>
      <c r="D7765" s="2" t="str">
        <f t="shared" si="127"/>
        <v>Error?</v>
      </c>
      <c r="E7765" s="4" t="s">
        <v>1461</v>
      </c>
    </row>
    <row r="7766" spans="1:5">
      <c r="A7766">
        <v>7705</v>
      </c>
      <c r="B7766" s="138">
        <f>'Revenues 9-14'!D254</f>
        <v>0</v>
      </c>
      <c r="D7766" s="2" t="str">
        <f t="shared" si="127"/>
        <v>Error?</v>
      </c>
      <c r="E7766" s="4" t="s">
        <v>1461</v>
      </c>
    </row>
    <row r="7767" spans="1:5">
      <c r="A7767" s="129">
        <v>7706</v>
      </c>
      <c r="E7767" s="4"/>
    </row>
    <row r="7768" spans="1:5">
      <c r="A7768">
        <v>7707</v>
      </c>
      <c r="B7768" s="138">
        <f>'Revenues 9-14'!F254</f>
        <v>0</v>
      </c>
      <c r="D7768" s="2" t="str">
        <f t="shared" si="127"/>
        <v>Error?</v>
      </c>
      <c r="E7768" s="4" t="s">
        <v>1461</v>
      </c>
    </row>
    <row r="7769" spans="1:5">
      <c r="A7769">
        <v>7708</v>
      </c>
      <c r="B7769" s="138">
        <f>'Revenues 9-14'!G254</f>
        <v>0</v>
      </c>
      <c r="D7769" s="2" t="str">
        <f t="shared" si="127"/>
        <v>Error?</v>
      </c>
      <c r="E7769" s="4" t="s">
        <v>1461</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1462</v>
      </c>
    </row>
    <row r="7773" spans="1:5">
      <c r="A7773">
        <v>7712</v>
      </c>
      <c r="B7773" s="138">
        <f>'Rest Tax Levies-Tort Im 25'!J22</f>
        <v>0</v>
      </c>
      <c r="D7773" s="2" t="str">
        <f t="shared" si="127"/>
        <v>Error?</v>
      </c>
      <c r="E7773" s="4" t="s">
        <v>1550</v>
      </c>
    </row>
    <row r="7774" spans="1:5">
      <c r="A7774">
        <v>7713</v>
      </c>
      <c r="B7774" s="138">
        <f>'Expenditures 15-22'!E133</f>
        <v>0</v>
      </c>
      <c r="D7774" s="2" t="str">
        <f t="shared" si="127"/>
        <v>Error?</v>
      </c>
      <c r="E7774" s="4" t="s">
        <v>1826</v>
      </c>
    </row>
    <row r="7775" spans="1:5">
      <c r="A7775">
        <v>7714</v>
      </c>
      <c r="B7775" s="138">
        <f>'Expenditures 15-22'!H133</f>
        <v>0</v>
      </c>
      <c r="D7775" s="2" t="str">
        <f t="shared" si="127"/>
        <v>Error?</v>
      </c>
      <c r="E7775" s="4" t="s">
        <v>1826</v>
      </c>
    </row>
    <row r="7776" spans="1:5">
      <c r="A7776">
        <v>7715</v>
      </c>
      <c r="B7776" s="138">
        <f>'Expenditures 15-22'!K133</f>
        <v>0</v>
      </c>
      <c r="D7776" s="2" t="str">
        <f t="shared" si="127"/>
        <v>Error?</v>
      </c>
      <c r="E7776" s="4" t="s">
        <v>1826</v>
      </c>
    </row>
    <row r="7777" spans="1:5">
      <c r="A7777">
        <v>7716</v>
      </c>
      <c r="B7777" s="138">
        <f>'Expenditures 15-22'!H157</f>
        <v>0</v>
      </c>
      <c r="D7777" s="2" t="str">
        <f t="shared" si="127"/>
        <v>Error?</v>
      </c>
      <c r="E7777" s="4" t="s">
        <v>1826</v>
      </c>
    </row>
    <row r="7778" spans="1:5">
      <c r="A7778">
        <v>7717</v>
      </c>
      <c r="B7778" s="138">
        <f>'Expenditures 15-22'!K157</f>
        <v>0</v>
      </c>
      <c r="D7778" s="2" t="str">
        <f t="shared" si="127"/>
        <v>Error?</v>
      </c>
      <c r="E7778" s="4" t="s">
        <v>1826</v>
      </c>
    </row>
    <row r="7779" spans="1:5">
      <c r="A7779">
        <v>7718</v>
      </c>
      <c r="B7779" s="138">
        <f>'Expenditures 15-22'!H158</f>
        <v>0</v>
      </c>
      <c r="D7779" s="2" t="str">
        <f t="shared" si="127"/>
        <v>Error?</v>
      </c>
      <c r="E7779" s="4" t="s">
        <v>1826</v>
      </c>
    </row>
    <row r="7780" spans="1:5">
      <c r="A7780">
        <v>7719</v>
      </c>
      <c r="B7780" s="138">
        <f>'Expenditures 15-22'!K158</f>
        <v>0</v>
      </c>
      <c r="D7780" s="2" t="str">
        <f t="shared" si="127"/>
        <v>Error?</v>
      </c>
      <c r="E7780" s="4" t="s">
        <v>1826</v>
      </c>
    </row>
    <row r="7781" spans="1:5">
      <c r="A7781">
        <v>7720</v>
      </c>
      <c r="B7781" s="138">
        <f>'Expenditures 15-22'!H159</f>
        <v>0</v>
      </c>
      <c r="D7781" s="2" t="str">
        <f t="shared" si="127"/>
        <v>Error?</v>
      </c>
      <c r="E7781" s="4" t="s">
        <v>1826</v>
      </c>
    </row>
    <row r="7782" spans="1:5">
      <c r="A7782">
        <v>7721</v>
      </c>
      <c r="B7782" s="138">
        <f>'Expenditures 15-22'!K159</f>
        <v>0</v>
      </c>
      <c r="D7782" s="2" t="str">
        <f t="shared" si="127"/>
        <v>Error?</v>
      </c>
      <c r="E7782" s="4" t="s">
        <v>1826</v>
      </c>
    </row>
    <row r="7783" spans="1:5">
      <c r="A7783">
        <v>7722</v>
      </c>
      <c r="B7783" s="138">
        <f>'Expenditures 15-22'!D282</f>
        <v>0</v>
      </c>
      <c r="D7783" s="2" t="str">
        <f t="shared" si="127"/>
        <v>Error?</v>
      </c>
      <c r="E7783" s="4" t="s">
        <v>1826</v>
      </c>
    </row>
    <row r="7784" spans="1:5">
      <c r="A7784">
        <v>7723</v>
      </c>
      <c r="B7784" s="138">
        <f>'Expenditures 15-22'!K282</f>
        <v>0</v>
      </c>
      <c r="D7784" s="2" t="str">
        <f t="shared" si="127"/>
        <v>Error?</v>
      </c>
      <c r="E7784" s="4" t="s">
        <v>1826</v>
      </c>
    </row>
    <row r="7785" spans="1:5">
      <c r="A7785">
        <v>7724</v>
      </c>
      <c r="B7785" s="138">
        <f>'Expenditures 15-22'!H332</f>
        <v>0</v>
      </c>
      <c r="D7785" s="2" t="str">
        <f t="shared" si="127"/>
        <v>Error?</v>
      </c>
      <c r="E7785" s="4" t="s">
        <v>1826</v>
      </c>
    </row>
    <row r="7786" spans="1:5">
      <c r="A7786">
        <v>7725</v>
      </c>
      <c r="B7786" s="138">
        <f>'Expenditures 15-22'!K332</f>
        <v>0</v>
      </c>
      <c r="D7786" s="2" t="str">
        <f t="shared" si="127"/>
        <v>Error?</v>
      </c>
      <c r="E7786" s="4" t="s">
        <v>1826</v>
      </c>
    </row>
    <row r="7787" spans="1:5">
      <c r="A7787">
        <v>7726</v>
      </c>
      <c r="B7787" s="138">
        <f>'Expenditures 15-22'!H333</f>
        <v>0</v>
      </c>
      <c r="D7787" s="2" t="str">
        <f t="shared" si="127"/>
        <v>Error?</v>
      </c>
      <c r="E7787" s="4" t="s">
        <v>1826</v>
      </c>
    </row>
    <row r="7788" spans="1:5">
      <c r="A7788">
        <v>7727</v>
      </c>
      <c r="B7788" s="138">
        <f>'Expenditures 15-22'!K333</f>
        <v>0</v>
      </c>
      <c r="D7788" s="2" t="str">
        <f t="shared" si="127"/>
        <v>Error?</v>
      </c>
      <c r="E7788" s="4" t="s">
        <v>1826</v>
      </c>
    </row>
    <row r="7789" spans="1:5">
      <c r="A7789">
        <v>7728</v>
      </c>
      <c r="B7789" s="138">
        <f>'Expenditures 15-22'!H334</f>
        <v>0</v>
      </c>
      <c r="D7789" s="2" t="str">
        <f t="shared" si="127"/>
        <v>Error?</v>
      </c>
      <c r="E7789" s="4" t="s">
        <v>1826</v>
      </c>
    </row>
    <row r="7790" spans="1:5">
      <c r="A7790">
        <v>7729</v>
      </c>
      <c r="B7790" s="138">
        <f>'Expenditures 15-22'!K334</f>
        <v>0</v>
      </c>
      <c r="D7790" s="2" t="str">
        <f t="shared" si="127"/>
        <v>Error?</v>
      </c>
      <c r="E7790" s="4" t="s">
        <v>1826</v>
      </c>
    </row>
    <row r="7791" spans="1:5">
      <c r="A7791">
        <v>7730</v>
      </c>
      <c r="B7791" s="138">
        <f>'Expenditures 15-22'!H354</f>
        <v>0</v>
      </c>
      <c r="D7791" s="2" t="str">
        <f t="shared" si="127"/>
        <v>Error?</v>
      </c>
      <c r="E7791" s="4" t="s">
        <v>1826</v>
      </c>
    </row>
    <row r="7792" spans="1:5">
      <c r="A7792">
        <v>7731</v>
      </c>
      <c r="B7792" s="138">
        <f>'Expenditures 15-22'!K354</f>
        <v>0</v>
      </c>
      <c r="D7792" s="2" t="str">
        <f t="shared" si="127"/>
        <v>Error?</v>
      </c>
      <c r="E7792" s="4" t="s">
        <v>1826</v>
      </c>
    </row>
    <row r="7793" spans="1:5">
      <c r="A7793">
        <v>7732</v>
      </c>
      <c r="B7793" s="138">
        <f>'Expenditures 15-22'!H355</f>
        <v>0</v>
      </c>
      <c r="D7793" s="2" t="str">
        <f t="shared" si="127"/>
        <v>Error?</v>
      </c>
      <c r="E7793" s="4" t="s">
        <v>1826</v>
      </c>
    </row>
    <row r="7794" spans="1:5">
      <c r="A7794">
        <v>7733</v>
      </c>
      <c r="B7794" s="138">
        <f>'Expenditures 15-22'!K355</f>
        <v>0</v>
      </c>
      <c r="D7794" s="2" t="str">
        <f t="shared" si="127"/>
        <v>Error?</v>
      </c>
      <c r="E7794" s="4" t="s">
        <v>1826</v>
      </c>
    </row>
    <row r="7795" spans="1:5">
      <c r="A7795">
        <v>7734</v>
      </c>
      <c r="B7795" s="138">
        <f>'Expenditures 15-22'!E138</f>
        <v>0</v>
      </c>
      <c r="D7795" s="2" t="str">
        <f t="shared" si="127"/>
        <v>Error?</v>
      </c>
      <c r="E7795" s="4" t="s">
        <v>1826</v>
      </c>
    </row>
    <row r="7796" spans="1:5">
      <c r="A7796">
        <v>7735</v>
      </c>
      <c r="B7796" s="138">
        <f>'Acct Summary 7-8'!J15</f>
        <v>0</v>
      </c>
      <c r="D7796" s="2" t="str">
        <f t="shared" si="127"/>
        <v>Error?</v>
      </c>
      <c r="E7796" s="4" t="s">
        <v>1826</v>
      </c>
    </row>
    <row r="7797" spans="1:5">
      <c r="A7797">
        <v>7736</v>
      </c>
      <c r="B7797" s="138">
        <f>'Contracts Paid in CY 29'!D31</f>
        <v>1599543</v>
      </c>
      <c r="D7797" s="2" t="str">
        <f t="shared" si="127"/>
        <v>Error?</v>
      </c>
      <c r="E7797" s="4" t="s">
        <v>1875</v>
      </c>
    </row>
    <row r="7798" spans="1:5">
      <c r="A7798">
        <v>7737</v>
      </c>
      <c r="B7798" s="138">
        <f>'Contracts Paid in CY 29'!F31</f>
        <v>200000</v>
      </c>
      <c r="D7798" s="2" t="str">
        <f t="shared" si="127"/>
        <v>Error?</v>
      </c>
      <c r="E7798" s="4" t="s">
        <v>1875</v>
      </c>
    </row>
    <row r="7799" spans="1:5">
      <c r="A7799">
        <v>7738</v>
      </c>
      <c r="B7799" s="138">
        <f>'Contracts Paid in CY 29'!G31</f>
        <v>1399543</v>
      </c>
      <c r="D7799" s="2" t="str">
        <f t="shared" si="127"/>
        <v>Error?</v>
      </c>
      <c r="E7799" s="4" t="s">
        <v>1875</v>
      </c>
    </row>
    <row r="7800" spans="1:5">
      <c r="A7800">
        <v>7739</v>
      </c>
      <c r="D7800" s="2" t="str">
        <f t="shared" si="127"/>
        <v>OK</v>
      </c>
    </row>
    <row r="7801" spans="1:5">
      <c r="A7801">
        <v>7740</v>
      </c>
      <c r="B7801" s="138">
        <f>'Revenues 9-14'!C120</f>
        <v>0</v>
      </c>
      <c r="D7801" s="2" t="str">
        <f t="shared" si="127"/>
        <v>Error?</v>
      </c>
      <c r="E7801" s="4" t="s">
        <v>1912</v>
      </c>
    </row>
    <row r="7802" spans="1:5">
      <c r="A7802">
        <v>7741</v>
      </c>
      <c r="B7802" s="138">
        <f>'Revenues 9-14'!D120</f>
        <v>0</v>
      </c>
      <c r="D7802" s="2" t="str">
        <f t="shared" si="127"/>
        <v>Error?</v>
      </c>
      <c r="E7802" s="4" t="s">
        <v>1912</v>
      </c>
    </row>
    <row r="7803" spans="1:5">
      <c r="A7803">
        <v>7742</v>
      </c>
      <c r="B7803" s="138">
        <f>'Revenues 9-14'!E120</f>
        <v>0</v>
      </c>
      <c r="D7803" s="2" t="str">
        <f t="shared" si="127"/>
        <v>Error?</v>
      </c>
      <c r="E7803" s="4" t="s">
        <v>1912</v>
      </c>
    </row>
    <row r="7804" spans="1:5">
      <c r="A7804">
        <v>7743</v>
      </c>
      <c r="B7804" s="138">
        <f>'Revenues 9-14'!F120</f>
        <v>0</v>
      </c>
      <c r="D7804" s="2" t="str">
        <f t="shared" si="127"/>
        <v>Error?</v>
      </c>
      <c r="E7804" s="4" t="s">
        <v>1912</v>
      </c>
    </row>
    <row r="7805" spans="1:5">
      <c r="A7805">
        <v>7744</v>
      </c>
      <c r="B7805" s="138">
        <f>'Revenues 9-14'!G120</f>
        <v>0</v>
      </c>
      <c r="D7805" s="2" t="str">
        <f t="shared" si="127"/>
        <v>Error?</v>
      </c>
      <c r="E7805" s="4" t="s">
        <v>1912</v>
      </c>
    </row>
    <row r="7806" spans="1:5">
      <c r="A7806">
        <v>7745</v>
      </c>
      <c r="B7806" s="138">
        <f>'Revenues 9-14'!H120</f>
        <v>0</v>
      </c>
      <c r="D7806" s="2" t="str">
        <f t="shared" si="127"/>
        <v>Error?</v>
      </c>
      <c r="E7806" s="4" t="s">
        <v>1912</v>
      </c>
    </row>
    <row r="7807" spans="1:5">
      <c r="A7807">
        <v>7746</v>
      </c>
      <c r="B7807" s="138">
        <f>'Revenues 9-14'!J120</f>
        <v>0</v>
      </c>
      <c r="D7807" s="2" t="str">
        <f t="shared" ref="D7807:D7816" si="128">IF(ISBLANK(B7807),"OK",IF(A7807-B7807=0,"OK","Error?"))</f>
        <v>Error?</v>
      </c>
      <c r="E7807" s="4" t="s">
        <v>1912</v>
      </c>
    </row>
    <row r="7808" spans="1:5">
      <c r="A7808">
        <v>7747</v>
      </c>
      <c r="B7808" s="138">
        <f>'Revenues 9-14'!K120</f>
        <v>0</v>
      </c>
      <c r="D7808" s="2" t="str">
        <f t="shared" si="128"/>
        <v>Error?</v>
      </c>
      <c r="E7808" s="4" t="s">
        <v>1912</v>
      </c>
    </row>
    <row r="7809" spans="1:5">
      <c r="A7809">
        <v>7748</v>
      </c>
      <c r="B7809" s="138">
        <f>'Revenues 9-14'!C261</f>
        <v>0</v>
      </c>
      <c r="D7809" s="2" t="str">
        <f t="shared" si="128"/>
        <v>Error?</v>
      </c>
      <c r="E7809" s="4" t="s">
        <v>1913</v>
      </c>
    </row>
    <row r="7810" spans="1:5">
      <c r="A7810">
        <v>7749</v>
      </c>
      <c r="B7810" s="138">
        <f>'Revenues 9-14'!D261</f>
        <v>0</v>
      </c>
      <c r="D7810" s="2" t="str">
        <f t="shared" si="128"/>
        <v>Error?</v>
      </c>
      <c r="E7810" s="4" t="s">
        <v>1913</v>
      </c>
    </row>
    <row r="7811" spans="1:5">
      <c r="A7811">
        <v>7750</v>
      </c>
      <c r="B7811" s="138">
        <f>'Revenues 9-14'!F261</f>
        <v>0</v>
      </c>
      <c r="D7811" s="2" t="str">
        <f t="shared" si="128"/>
        <v>Error?</v>
      </c>
      <c r="E7811" s="4" t="s">
        <v>1913</v>
      </c>
    </row>
    <row r="7812" spans="1:5">
      <c r="A7812">
        <v>7751</v>
      </c>
      <c r="B7812" s="138">
        <f>'Revenues 9-14'!G261</f>
        <v>0</v>
      </c>
      <c r="D7812" s="2" t="str">
        <f t="shared" si="128"/>
        <v>Error?</v>
      </c>
      <c r="E7812" s="4" t="s">
        <v>1913</v>
      </c>
    </row>
    <row r="7813" spans="1:5">
      <c r="A7813">
        <v>7752</v>
      </c>
      <c r="B7813" s="138">
        <f>'Revenues 9-14'!C262</f>
        <v>0</v>
      </c>
      <c r="D7813" s="2" t="str">
        <f t="shared" si="128"/>
        <v>Error?</v>
      </c>
      <c r="E7813" s="4" t="s">
        <v>1914</v>
      </c>
    </row>
    <row r="7814" spans="1:5">
      <c r="A7814">
        <v>7753</v>
      </c>
      <c r="B7814" s="138">
        <f>'Revenues 9-14'!D262</f>
        <v>0</v>
      </c>
      <c r="D7814" s="2" t="str">
        <f t="shared" si="128"/>
        <v>Error?</v>
      </c>
      <c r="E7814" s="4" t="s">
        <v>1914</v>
      </c>
    </row>
    <row r="7815" spans="1:5">
      <c r="A7815">
        <v>7754</v>
      </c>
      <c r="B7815" s="138">
        <f>'Revenues 9-14'!F262</f>
        <v>0</v>
      </c>
      <c r="D7815" s="2" t="str">
        <f t="shared" si="128"/>
        <v>Error?</v>
      </c>
      <c r="E7815" s="4" t="s">
        <v>1914</v>
      </c>
    </row>
    <row r="7816" spans="1:5">
      <c r="A7816">
        <v>7755</v>
      </c>
      <c r="B7816" s="138">
        <f>'Revenues 9-14'!G262</f>
        <v>0</v>
      </c>
      <c r="D7816" s="2" t="str">
        <f t="shared" si="128"/>
        <v>Error?</v>
      </c>
      <c r="E7816" s="4" t="s">
        <v>1914</v>
      </c>
    </row>
  </sheetData>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AC59"/>
  <sheetViews>
    <sheetView showGridLines="0" showZeros="0" zoomScale="110" zoomScaleNormal="110" workbookViewId="0">
      <selection activeCell="R24" sqref="R24"/>
    </sheetView>
  </sheetViews>
  <sheetFormatPr defaultColWidth="9.140625" defaultRowHeight="12.75"/>
  <cols>
    <col min="1" max="1" width="7.85546875" style="1156" customWidth="1"/>
    <col min="2" max="2" width="3.85546875" style="1152" customWidth="1"/>
    <col min="3" max="3" width="9.140625" style="1156"/>
    <col min="4" max="4" width="13" style="1156" customWidth="1"/>
    <col min="5" max="5" width="16" style="1156" customWidth="1"/>
    <col min="6" max="6" width="4.140625" style="1156" customWidth="1"/>
    <col min="7" max="7" width="3.7109375" style="1156" customWidth="1"/>
    <col min="8" max="8" width="9.7109375" style="1156" customWidth="1"/>
    <col min="9" max="9" width="10.7109375" style="1156" customWidth="1"/>
    <col min="10" max="10" width="5" style="1156" customWidth="1"/>
    <col min="11" max="11" width="6.5703125" style="1156" customWidth="1"/>
    <col min="12" max="12" width="12.85546875" style="1156" customWidth="1"/>
    <col min="13" max="13" width="2.7109375" style="1156" customWidth="1"/>
    <col min="14" max="14" width="13.140625" style="1156" customWidth="1"/>
    <col min="15" max="15" width="7.140625" style="1156" customWidth="1"/>
    <col min="16" max="16" width="7" style="1156" customWidth="1"/>
    <col min="17" max="17" width="9.7109375" style="1156" customWidth="1"/>
    <col min="18" max="19" width="9.85546875" style="1156" customWidth="1"/>
    <col min="20" max="16384" width="9.140625" style="1156"/>
  </cols>
  <sheetData>
    <row r="1" spans="1:29">
      <c r="A1" s="1151"/>
      <c r="C1" s="1151"/>
      <c r="D1" s="1151"/>
      <c r="E1" s="1151"/>
      <c r="F1" s="1153"/>
      <c r="G1" s="1153"/>
      <c r="H1" s="1151"/>
      <c r="I1" s="1151"/>
      <c r="J1" s="1151"/>
      <c r="K1" s="1151"/>
      <c r="L1" s="1154"/>
      <c r="M1" s="1155"/>
    </row>
    <row r="2" spans="1:29" ht="13.5" customHeight="1">
      <c r="A2" s="2434" t="s">
        <v>1190</v>
      </c>
      <c r="B2" s="2434"/>
      <c r="C2" s="2434"/>
      <c r="D2" s="2434"/>
      <c r="E2" s="2434"/>
      <c r="F2" s="2434"/>
      <c r="G2" s="2434"/>
      <c r="H2" s="2434"/>
      <c r="I2" s="2434"/>
      <c r="J2" s="2434"/>
      <c r="K2" s="2434"/>
      <c r="L2" s="2434"/>
    </row>
    <row r="3" spans="1:29" ht="13.5" customHeight="1">
      <c r="A3" s="2418" t="s">
        <v>1189</v>
      </c>
      <c r="B3" s="2418"/>
      <c r="C3" s="2418"/>
      <c r="D3" s="2418"/>
      <c r="E3" s="2418"/>
      <c r="F3" s="2418"/>
      <c r="G3" s="2418"/>
      <c r="H3" s="2418"/>
      <c r="I3" s="2418"/>
      <c r="J3" s="2418"/>
      <c r="K3" s="2418"/>
      <c r="L3" s="2418"/>
    </row>
    <row r="4" spans="1:29" ht="13.5" customHeight="1">
      <c r="A4" s="2434" t="s">
        <v>1960</v>
      </c>
      <c r="B4" s="2451"/>
      <c r="C4" s="2451"/>
      <c r="D4" s="2451"/>
      <c r="E4" s="2451"/>
      <c r="F4" s="2451"/>
      <c r="G4" s="2451"/>
      <c r="H4" s="2451"/>
      <c r="I4" s="2451"/>
      <c r="J4" s="2451"/>
      <c r="K4" s="2451"/>
      <c r="L4" s="2451"/>
    </row>
    <row r="5" spans="1:29" ht="29.85" customHeight="1">
      <c r="A5" s="1157"/>
      <c r="B5" s="1158"/>
      <c r="C5" s="1157"/>
      <c r="D5" s="1157"/>
      <c r="E5" s="1157"/>
      <c r="F5" s="1157"/>
      <c r="G5" s="1157"/>
      <c r="H5" s="1157"/>
      <c r="I5" s="1157"/>
      <c r="J5" s="1157"/>
      <c r="K5" s="1157"/>
      <c r="L5" s="1157"/>
      <c r="V5" s="1159"/>
      <c r="W5" s="1159"/>
      <c r="X5" s="1159"/>
      <c r="Y5" s="1159"/>
      <c r="Z5" s="1159"/>
      <c r="AA5" s="1159"/>
      <c r="AB5" s="1159"/>
      <c r="AC5" s="1159"/>
    </row>
    <row r="6" spans="1:29" ht="13.5" customHeight="1">
      <c r="A6" s="1160" t="s">
        <v>1188</v>
      </c>
      <c r="B6" s="1161"/>
      <c r="C6" s="1162"/>
      <c r="D6" s="1162"/>
      <c r="E6" s="1163" t="s">
        <v>1187</v>
      </c>
      <c r="F6" s="1164"/>
      <c r="G6" s="1165" t="s">
        <v>1186</v>
      </c>
      <c r="H6" s="1162"/>
      <c r="I6" s="1162"/>
      <c r="J6" s="1162"/>
      <c r="K6" s="1162"/>
      <c r="L6" s="1166"/>
      <c r="V6" s="1159"/>
      <c r="W6" s="1159"/>
      <c r="X6" s="1159"/>
      <c r="Y6" s="1159"/>
      <c r="Z6" s="1159"/>
      <c r="AA6" s="1159"/>
      <c r="AB6" s="1159"/>
      <c r="AC6" s="1159"/>
    </row>
    <row r="7" spans="1:29" ht="18" customHeight="1">
      <c r="A7" s="2452" t="str">
        <f>COVER!A17</f>
        <v>Joliet Twp HSD 204</v>
      </c>
      <c r="B7" s="2453"/>
      <c r="C7" s="2453"/>
      <c r="D7" s="2454"/>
      <c r="E7" s="2455">
        <f>COVER!A13</f>
        <v>56099204017</v>
      </c>
      <c r="F7" s="2456"/>
      <c r="G7" s="2419" t="str">
        <f>COVER!T23</f>
        <v>066-004133</v>
      </c>
      <c r="H7" s="2420"/>
      <c r="I7" s="2420"/>
      <c r="J7" s="2420"/>
      <c r="K7" s="2420"/>
      <c r="L7" s="2421"/>
    </row>
    <row r="8" spans="1:29" ht="13.5" customHeight="1">
      <c r="A8" s="1160" t="s">
        <v>1514</v>
      </c>
      <c r="B8" s="1161"/>
      <c r="C8" s="1162"/>
      <c r="D8" s="1162"/>
      <c r="E8" s="1167"/>
      <c r="F8" s="1166"/>
      <c r="G8" s="1168" t="s">
        <v>1185</v>
      </c>
      <c r="H8" s="1169"/>
      <c r="I8" s="1169"/>
      <c r="J8" s="1169"/>
      <c r="K8" s="1169"/>
      <c r="L8" s="1170"/>
    </row>
    <row r="9" spans="1:29" ht="13.5" customHeight="1">
      <c r="A9" s="2422"/>
      <c r="B9" s="2423"/>
      <c r="C9" s="2423"/>
      <c r="D9" s="2423"/>
      <c r="E9" s="2423"/>
      <c r="F9" s="2424"/>
      <c r="G9" s="2425" t="str">
        <f>COVER!T13</f>
        <v>Wermer, Rogers, Doran &amp; Ruzon, LLC</v>
      </c>
      <c r="H9" s="2426"/>
      <c r="I9" s="2426"/>
      <c r="J9" s="2426"/>
      <c r="K9" s="2426"/>
      <c r="L9" s="2427"/>
    </row>
    <row r="10" spans="1:29" ht="13.5" customHeight="1">
      <c r="A10" s="2409" t="str">
        <f>COVER!A38</f>
        <v>Dr. Mike Hanson</v>
      </c>
      <c r="B10" s="2410"/>
      <c r="C10" s="2410"/>
      <c r="D10" s="2410"/>
      <c r="E10" s="2410"/>
      <c r="F10" s="2411"/>
      <c r="G10" s="2425" t="str">
        <f>COVER!T17</f>
        <v>755 Essington Road</v>
      </c>
      <c r="H10" s="2440"/>
      <c r="I10" s="2440"/>
      <c r="J10" s="2440"/>
      <c r="K10" s="2440"/>
      <c r="L10" s="2441"/>
    </row>
    <row r="11" spans="1:29" ht="13.5" customHeight="1">
      <c r="A11" s="1160" t="s">
        <v>1516</v>
      </c>
      <c r="B11" s="1161"/>
      <c r="C11" s="1162"/>
      <c r="D11" s="1167"/>
      <c r="E11" s="1162"/>
      <c r="F11" s="1166"/>
      <c r="G11" s="2425" t="str">
        <f>COVER!T19</f>
        <v>Joliet</v>
      </c>
      <c r="H11" s="2440"/>
      <c r="I11" s="2440"/>
      <c r="J11" s="2440"/>
      <c r="K11" s="2440"/>
      <c r="L11" s="2441"/>
    </row>
    <row r="12" spans="1:29" ht="13.5" customHeight="1">
      <c r="A12" s="2445" t="s">
        <v>1515</v>
      </c>
      <c r="B12" s="2446"/>
      <c r="C12" s="2446"/>
      <c r="D12" s="2446"/>
      <c r="E12" s="2446"/>
      <c r="F12" s="2447"/>
      <c r="G12" s="2442"/>
      <c r="H12" s="2443"/>
      <c r="I12" s="2443"/>
      <c r="J12" s="2443"/>
      <c r="K12" s="2443"/>
      <c r="L12" s="2444"/>
    </row>
    <row r="13" spans="1:29" ht="13.5" customHeight="1">
      <c r="A13" s="2425"/>
      <c r="B13" s="2440"/>
      <c r="C13" s="2440"/>
      <c r="D13" s="2440"/>
      <c r="E13" s="2440"/>
      <c r="F13" s="2441"/>
      <c r="G13" s="2435" t="s">
        <v>1517</v>
      </c>
      <c r="H13" s="2436"/>
      <c r="I13" s="2448" t="str">
        <f>COVER!T25</f>
        <v>dmm@wrdr.com</v>
      </c>
      <c r="J13" s="2449"/>
      <c r="K13" s="2449"/>
      <c r="L13" s="2450"/>
    </row>
    <row r="14" spans="1:29" ht="13.5" customHeight="1">
      <c r="A14" s="2425" t="str">
        <f>COVER!A19</f>
        <v>300 Caterpillar Drive</v>
      </c>
      <c r="B14" s="2440"/>
      <c r="C14" s="2440"/>
      <c r="D14" s="2440"/>
      <c r="E14" s="2440"/>
      <c r="F14" s="2441"/>
      <c r="G14" s="1171" t="s">
        <v>1184</v>
      </c>
      <c r="H14" s="1169"/>
      <c r="I14" s="1169"/>
      <c r="J14" s="1169"/>
      <c r="K14" s="1169"/>
      <c r="L14" s="1170"/>
    </row>
    <row r="15" spans="1:29" ht="13.5" customHeight="1">
      <c r="A15" s="2425" t="str">
        <f>COVER!A21</f>
        <v>Joliet</v>
      </c>
      <c r="B15" s="2440"/>
      <c r="C15" s="2440"/>
      <c r="D15" s="2440"/>
      <c r="E15" s="2440"/>
      <c r="F15" s="2441"/>
      <c r="G15" s="2437" t="str">
        <f>COVER!T15</f>
        <v>David M. Meyer</v>
      </c>
      <c r="H15" s="2438"/>
      <c r="I15" s="2438"/>
      <c r="J15" s="2438"/>
      <c r="K15" s="2438"/>
      <c r="L15" s="2439"/>
    </row>
    <row r="16" spans="1:29" ht="12.2" customHeight="1">
      <c r="A16" s="2415">
        <f>COVER!A25</f>
        <v>60436</v>
      </c>
      <c r="B16" s="2416"/>
      <c r="C16" s="2416"/>
      <c r="D16" s="2416"/>
      <c r="E16" s="2416"/>
      <c r="F16" s="2417"/>
      <c r="G16" s="2428"/>
      <c r="H16" s="2429"/>
      <c r="I16" s="2429"/>
      <c r="J16" s="2429"/>
      <c r="K16" s="2429"/>
      <c r="L16" s="2430"/>
    </row>
    <row r="17" spans="1:13" ht="12.2" customHeight="1">
      <c r="A17" s="2431"/>
      <c r="B17" s="2432"/>
      <c r="C17" s="2432"/>
      <c r="D17" s="2432"/>
      <c r="E17" s="2432"/>
      <c r="F17" s="2433"/>
      <c r="G17" s="1171" t="s">
        <v>1183</v>
      </c>
      <c r="H17" s="1169"/>
      <c r="I17" s="1169"/>
      <c r="J17" s="1169"/>
      <c r="K17" s="1173" t="s">
        <v>1182</v>
      </c>
      <c r="L17" s="1166"/>
      <c r="M17" s="1159"/>
    </row>
    <row r="18" spans="1:13" ht="12.2" customHeight="1">
      <c r="A18" s="2409"/>
      <c r="B18" s="2410"/>
      <c r="C18" s="2410"/>
      <c r="D18" s="2410"/>
      <c r="E18" s="2410"/>
      <c r="F18" s="2411"/>
      <c r="G18" s="2412" t="str">
        <f>COVER!T21</f>
        <v>(815)730-6250</v>
      </c>
      <c r="H18" s="2413"/>
      <c r="I18" s="2413"/>
      <c r="J18" s="2413"/>
      <c r="K18" s="2412" t="str">
        <f>COVER!X21</f>
        <v>(815)730-6257</v>
      </c>
      <c r="L18" s="2414"/>
    </row>
    <row r="19" spans="1:13" ht="12.2" customHeight="1">
      <c r="A19" s="1174"/>
      <c r="C19" s="1174"/>
      <c r="D19" s="1174"/>
      <c r="E19" s="1174"/>
      <c r="F19" s="1174"/>
      <c r="G19" s="1174"/>
      <c r="H19" s="1174"/>
      <c r="I19" s="1174"/>
      <c r="J19" s="1174"/>
      <c r="K19" s="1174"/>
      <c r="L19" s="1174"/>
    </row>
    <row r="20" spans="1:13" ht="12.2" customHeight="1">
      <c r="A20" s="1174"/>
      <c r="C20" s="1174"/>
      <c r="D20" s="1174"/>
      <c r="E20" s="1174"/>
      <c r="F20" s="1174"/>
      <c r="G20" s="1174"/>
      <c r="H20" s="1174"/>
      <c r="I20" s="1174"/>
      <c r="J20" s="1174" t="s">
        <v>1168</v>
      </c>
      <c r="K20" s="1152" t="s">
        <v>1168</v>
      </c>
    </row>
    <row r="21" spans="1:13" ht="12.2" customHeight="1">
      <c r="A21" s="1175" t="s">
        <v>1691</v>
      </c>
    </row>
    <row r="22" spans="1:13" ht="12.2" customHeight="1">
      <c r="A22" s="1176"/>
    </row>
    <row r="23" spans="1:13" ht="12.2" customHeight="1">
      <c r="A23" s="1176"/>
      <c r="B23" s="1177" t="s">
        <v>2095</v>
      </c>
      <c r="C23" s="1178" t="s">
        <v>1181</v>
      </c>
    </row>
    <row r="24" spans="1:13" ht="10.15" customHeight="1">
      <c r="A24" s="1176"/>
      <c r="C24" s="1178" t="s">
        <v>1180</v>
      </c>
    </row>
    <row r="25" spans="1:13" ht="9" customHeight="1">
      <c r="B25" s="1179" t="s">
        <v>1168</v>
      </c>
      <c r="C25" s="1180"/>
    </row>
    <row r="26" spans="1:13" s="1174" customFormat="1" ht="12.2" customHeight="1">
      <c r="B26" s="1177" t="s">
        <v>2095</v>
      </c>
      <c r="C26" s="1178" t="s">
        <v>1692</v>
      </c>
    </row>
    <row r="27" spans="1:13" s="1174" customFormat="1" ht="9" customHeight="1">
      <c r="B27" s="1179"/>
      <c r="C27" s="1178"/>
    </row>
    <row r="28" spans="1:13" s="1174" customFormat="1" ht="12.2" customHeight="1">
      <c r="A28" s="1181"/>
      <c r="B28" s="1177" t="s">
        <v>2095</v>
      </c>
      <c r="C28" s="1178" t="s">
        <v>1693</v>
      </c>
    </row>
    <row r="29" spans="1:13" s="1174" customFormat="1" ht="9" customHeight="1">
      <c r="A29" s="1181"/>
      <c r="B29" s="1179"/>
      <c r="C29" s="1178"/>
    </row>
    <row r="30" spans="1:13" s="1174" customFormat="1" ht="12.2" customHeight="1">
      <c r="B30" s="1177" t="s">
        <v>2095</v>
      </c>
      <c r="C30" s="1178" t="s">
        <v>1559</v>
      </c>
      <c r="D30" s="1172"/>
      <c r="E30" s="1172"/>
    </row>
    <row r="31" spans="1:13" s="1174" customFormat="1" ht="9" customHeight="1">
      <c r="B31" s="1179"/>
      <c r="C31" s="1178"/>
      <c r="D31" s="1172"/>
      <c r="E31" s="1172"/>
    </row>
    <row r="32" spans="1:13" s="1174" customFormat="1" ht="12.2" customHeight="1">
      <c r="B32" s="1177" t="s">
        <v>2095</v>
      </c>
      <c r="C32" s="1178" t="s">
        <v>1560</v>
      </c>
      <c r="D32" s="1172"/>
      <c r="E32" s="1172"/>
    </row>
    <row r="33" spans="1:8" s="1174" customFormat="1" ht="10.9" customHeight="1">
      <c r="B33" s="1179"/>
      <c r="C33" s="1182" t="s">
        <v>1694</v>
      </c>
      <c r="D33" s="1172"/>
      <c r="E33" s="1172"/>
    </row>
    <row r="34" spans="1:8" ht="9" customHeight="1">
      <c r="B34" s="1179"/>
      <c r="C34" s="1182"/>
    </row>
    <row r="35" spans="1:8" s="1174" customFormat="1" ht="13.5" customHeight="1">
      <c r="B35" s="1177" t="s">
        <v>2095</v>
      </c>
      <c r="C35" s="1178" t="s">
        <v>1561</v>
      </c>
    </row>
    <row r="36" spans="1:8" s="1174" customFormat="1" ht="10.9" customHeight="1">
      <c r="B36" s="1179"/>
      <c r="C36" s="1182" t="s">
        <v>1562</v>
      </c>
    </row>
    <row r="37" spans="1:8" ht="9" customHeight="1">
      <c r="B37" s="1179"/>
      <c r="C37" s="1182"/>
    </row>
    <row r="38" spans="1:8" s="1174" customFormat="1" ht="12.2" customHeight="1">
      <c r="B38" s="1177" t="s">
        <v>2095</v>
      </c>
      <c r="C38" s="1178" t="s">
        <v>1563</v>
      </c>
    </row>
    <row r="39" spans="1:8" ht="9" customHeight="1">
      <c r="B39" s="1179"/>
      <c r="C39" s="1182"/>
    </row>
    <row r="40" spans="1:8" s="1174" customFormat="1" ht="13.5" customHeight="1">
      <c r="B40" s="1177" t="s">
        <v>2095</v>
      </c>
      <c r="C40" s="1178" t="s">
        <v>1564</v>
      </c>
    </row>
    <row r="41" spans="1:8" ht="9" customHeight="1">
      <c r="A41" s="1183"/>
      <c r="B41" s="1179"/>
      <c r="C41" s="1182"/>
    </row>
    <row r="42" spans="1:8" s="1174" customFormat="1" ht="13.5" customHeight="1">
      <c r="B42" s="1177" t="s">
        <v>2059</v>
      </c>
      <c r="C42" s="1178" t="s">
        <v>1808</v>
      </c>
      <c r="D42" s="1172"/>
      <c r="E42" s="1172"/>
      <c r="F42" s="1172"/>
      <c r="G42" s="1172"/>
      <c r="H42" s="1172"/>
    </row>
    <row r="43" spans="1:8" s="1174" customFormat="1" ht="12.95" customHeight="1">
      <c r="B43" s="1179"/>
      <c r="C43" s="1169"/>
      <c r="D43" s="1172"/>
      <c r="E43" s="1172"/>
      <c r="F43" s="1172"/>
      <c r="G43" s="1172"/>
      <c r="H43" s="1172"/>
    </row>
    <row r="44" spans="1:8" s="1174" customFormat="1" ht="13.5" customHeight="1">
      <c r="A44" s="1175" t="s">
        <v>1179</v>
      </c>
      <c r="B44" s="1179"/>
      <c r="D44" s="1172"/>
      <c r="E44" s="1172"/>
      <c r="F44" s="1172"/>
      <c r="G44" s="1172"/>
      <c r="H44" s="1172"/>
    </row>
    <row r="45" spans="1:8" ht="12" customHeight="1">
      <c r="B45" s="1179"/>
      <c r="D45" s="1184"/>
      <c r="E45" s="1184"/>
      <c r="F45" s="1184"/>
      <c r="G45" s="1184"/>
      <c r="H45" s="1184"/>
    </row>
    <row r="46" spans="1:8" s="1174" customFormat="1" ht="12.2" customHeight="1">
      <c r="B46" s="1177"/>
      <c r="C46" s="1185" t="s">
        <v>1565</v>
      </c>
      <c r="D46" s="1172"/>
      <c r="E46" s="1172"/>
      <c r="F46" s="1172"/>
      <c r="G46" s="1172"/>
      <c r="H46" s="1172"/>
    </row>
    <row r="47" spans="1:8" ht="9" customHeight="1"/>
    <row r="48" spans="1:8" ht="12.2" customHeight="1">
      <c r="B48" s="1841"/>
      <c r="C48" s="1186" t="s">
        <v>1566</v>
      </c>
    </row>
    <row r="49" spans="1:12" ht="9" customHeight="1"/>
    <row r="50" spans="1:12" ht="6" customHeight="1">
      <c r="C50" s="1186"/>
    </row>
    <row r="51" spans="1:12" ht="12.2" customHeight="1">
      <c r="A51" s="1184"/>
    </row>
    <row r="52" spans="1:12" ht="12.2" customHeight="1"/>
    <row r="53" spans="1:12" ht="12.2" customHeight="1"/>
    <row r="54" spans="1:12" ht="12.2" customHeight="1"/>
    <row r="55" spans="1:12" ht="12.2" customHeight="1">
      <c r="A55" s="1187"/>
    </row>
    <row r="58" spans="1:12" ht="12.75" customHeight="1"/>
    <row r="59" spans="1:12" ht="36" customHeight="1">
      <c r="L59" s="1154"/>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5" right="0.5" top="0.68" bottom="1" header="0.26" footer="0.5"/>
  <pageSetup scale="95"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pageSetUpPr fitToPage="1"/>
  </sheetPr>
  <dimension ref="A1:K127"/>
  <sheetViews>
    <sheetView showGridLines="0" zoomScale="125" zoomScaleNormal="125" workbookViewId="0">
      <selection activeCell="D42" sqref="D42"/>
    </sheetView>
  </sheetViews>
  <sheetFormatPr defaultColWidth="10.7109375" defaultRowHeight="11.25"/>
  <cols>
    <col min="1" max="1" width="1.7109375" style="1191" customWidth="1"/>
    <col min="2" max="2" width="2.7109375" style="1195" customWidth="1"/>
    <col min="3" max="3" width="3.28515625" style="1205" customWidth="1"/>
    <col min="4" max="4" width="97.7109375" style="1195" customWidth="1"/>
    <col min="5" max="5" width="4.140625" style="1195" customWidth="1"/>
    <col min="6" max="16384" width="10.7109375" style="1195"/>
  </cols>
  <sheetData>
    <row r="1" spans="1:11" s="1188" customFormat="1" ht="12.75">
      <c r="A1" s="2457" t="str">
        <f>'Single Audit Cover'!A7</f>
        <v>Joliet Twp HSD 204</v>
      </c>
      <c r="B1" s="2451"/>
      <c r="C1" s="2451"/>
      <c r="D1" s="2451"/>
    </row>
    <row r="2" spans="1:11" s="1188" customFormat="1" ht="12.75">
      <c r="A2" s="2458">
        <f>'Single Audit Cover'!E7</f>
        <v>56099204017</v>
      </c>
      <c r="B2" s="2459"/>
      <c r="C2" s="2459"/>
      <c r="D2" s="2459"/>
    </row>
    <row r="3" spans="1:11" s="1188" customFormat="1" ht="12.75">
      <c r="A3" s="2457" t="s">
        <v>1510</v>
      </c>
      <c r="B3" s="2451"/>
      <c r="C3" s="2451"/>
      <c r="D3" s="2451"/>
    </row>
    <row r="4" spans="1:11" s="1188" customFormat="1" ht="4.5" customHeight="1">
      <c r="A4" s="1189"/>
      <c r="B4" s="1190"/>
      <c r="C4" s="1190"/>
      <c r="D4" s="1190"/>
    </row>
    <row r="5" spans="1:11">
      <c r="B5" s="1192" t="s">
        <v>1511</v>
      </c>
      <c r="C5" s="1193"/>
      <c r="D5" s="1194"/>
    </row>
    <row r="6" spans="1:11">
      <c r="B6" s="1192" t="s">
        <v>1224</v>
      </c>
      <c r="C6" s="1193"/>
      <c r="D6" s="1194"/>
    </row>
    <row r="7" spans="1:11">
      <c r="B7" s="1192" t="s">
        <v>1512</v>
      </c>
      <c r="C7" s="1193"/>
      <c r="D7" s="1194"/>
    </row>
    <row r="8" spans="1:11" ht="4.5" customHeight="1">
      <c r="B8" s="1192"/>
      <c r="C8" s="1193"/>
      <c r="D8" s="1194"/>
    </row>
    <row r="9" spans="1:11">
      <c r="B9" s="1196" t="s">
        <v>1223</v>
      </c>
      <c r="C9" s="1197"/>
      <c r="D9" s="1194"/>
    </row>
    <row r="10" spans="1:11" ht="4.5" customHeight="1">
      <c r="B10" s="1196"/>
      <c r="C10" s="1197"/>
      <c r="D10" s="1194"/>
    </row>
    <row r="11" spans="1:11">
      <c r="B11" s="1198"/>
      <c r="C11" s="1199">
        <v>1</v>
      </c>
      <c r="D11" s="1200" t="s">
        <v>1695</v>
      </c>
      <c r="E11" s="1201"/>
      <c r="F11" s="1201"/>
      <c r="G11" s="1201"/>
      <c r="H11" s="1201"/>
      <c r="I11" s="1201"/>
      <c r="J11" s="1201"/>
      <c r="K11" s="1201"/>
    </row>
    <row r="12" spans="1:11" ht="3" customHeight="1">
      <c r="B12" s="1202"/>
      <c r="C12" s="1199"/>
      <c r="D12" s="1200"/>
      <c r="E12" s="1201"/>
      <c r="F12" s="1201"/>
      <c r="G12" s="1201"/>
      <c r="H12" s="1201"/>
      <c r="I12" s="1201"/>
      <c r="J12" s="1201"/>
      <c r="K12" s="1201"/>
    </row>
    <row r="13" spans="1:11">
      <c r="B13" s="1198"/>
      <c r="C13" s="1199">
        <f>C11+1</f>
        <v>2</v>
      </c>
      <c r="D13" s="1203" t="s">
        <v>1696</v>
      </c>
      <c r="E13" s="1201"/>
      <c r="F13" s="1201"/>
      <c r="G13" s="1201"/>
      <c r="H13" s="1201"/>
      <c r="I13" s="1201"/>
      <c r="J13" s="1201"/>
      <c r="K13" s="1201"/>
    </row>
    <row r="14" spans="1:11" ht="3" customHeight="1">
      <c r="B14" s="1202"/>
      <c r="C14" s="1199"/>
      <c r="D14" s="1203"/>
      <c r="E14" s="1201"/>
      <c r="F14" s="1201"/>
      <c r="G14" s="1201"/>
      <c r="H14" s="1201"/>
      <c r="I14" s="1201"/>
      <c r="J14" s="1201"/>
      <c r="K14" s="1201"/>
    </row>
    <row r="15" spans="1:11">
      <c r="B15" s="1198"/>
      <c r="C15" s="1199">
        <f>C13+1</f>
        <v>3</v>
      </c>
      <c r="D15" s="1200" t="s">
        <v>1697</v>
      </c>
      <c r="E15" s="1201"/>
      <c r="F15" s="1201"/>
      <c r="G15" s="1201"/>
      <c r="H15" s="1201"/>
      <c r="I15" s="1201"/>
      <c r="J15" s="1201"/>
      <c r="K15" s="1201"/>
    </row>
    <row r="16" spans="1:11" ht="10.5" customHeight="1">
      <c r="B16" s="1204"/>
      <c r="D16" s="1203" t="s">
        <v>1222</v>
      </c>
      <c r="E16" s="1201"/>
      <c r="F16" s="1201"/>
      <c r="G16" s="1201"/>
      <c r="H16" s="1201"/>
      <c r="I16" s="1201"/>
      <c r="J16" s="1201"/>
      <c r="K16" s="1201"/>
    </row>
    <row r="17" spans="1:11" ht="3" customHeight="1">
      <c r="B17" s="1204"/>
      <c r="D17" s="1203"/>
      <c r="E17" s="1201"/>
      <c r="F17" s="1201"/>
      <c r="G17" s="1201"/>
      <c r="H17" s="1201"/>
      <c r="I17" s="1201"/>
      <c r="J17" s="1201"/>
      <c r="K17" s="1201"/>
    </row>
    <row r="18" spans="1:11">
      <c r="B18" s="1198"/>
      <c r="C18" s="1199">
        <f>C15+1</f>
        <v>4</v>
      </c>
      <c r="D18" s="1206" t="s">
        <v>1698</v>
      </c>
      <c r="E18" s="1201"/>
      <c r="F18" s="1201"/>
      <c r="G18" s="1201"/>
      <c r="H18" s="1201"/>
      <c r="I18" s="1201"/>
      <c r="J18" s="1201"/>
      <c r="K18" s="1201"/>
    </row>
    <row r="19" spans="1:11" ht="9.75" customHeight="1">
      <c r="A19" s="1195"/>
      <c r="B19" s="1204"/>
      <c r="D19" s="1203" t="s">
        <v>1221</v>
      </c>
      <c r="E19" s="1201"/>
      <c r="F19" s="1201"/>
      <c r="G19" s="1201"/>
      <c r="H19" s="1201"/>
      <c r="I19" s="1201"/>
      <c r="J19" s="1201"/>
      <c r="K19" s="1201"/>
    </row>
    <row r="20" spans="1:11" ht="3" customHeight="1">
      <c r="A20" s="1195"/>
      <c r="B20" s="1204"/>
      <c r="D20" s="1203"/>
      <c r="E20" s="1201"/>
      <c r="F20" s="1201"/>
      <c r="G20" s="1201"/>
      <c r="H20" s="1201"/>
      <c r="I20" s="1201"/>
      <c r="J20" s="1201"/>
      <c r="K20" s="1201"/>
    </row>
    <row r="21" spans="1:11">
      <c r="A21" s="1195"/>
      <c r="B21" s="1198"/>
      <c r="C21" s="1199">
        <f>C18+1</f>
        <v>5</v>
      </c>
      <c r="D21" s="1203" t="s">
        <v>1220</v>
      </c>
      <c r="E21" s="1201"/>
      <c r="F21" s="1201"/>
      <c r="G21" s="1201"/>
      <c r="H21" s="1201"/>
      <c r="I21" s="1201"/>
      <c r="J21" s="1201"/>
      <c r="K21" s="1201"/>
    </row>
    <row r="22" spans="1:11" ht="10.5" customHeight="1">
      <c r="A22" s="1195"/>
      <c r="B22" s="1204"/>
      <c r="D22" s="1203" t="s">
        <v>1219</v>
      </c>
      <c r="E22" s="1201"/>
      <c r="F22" s="1201"/>
      <c r="G22" s="1201"/>
      <c r="H22" s="1201"/>
      <c r="I22" s="1201"/>
      <c r="J22" s="1201"/>
      <c r="K22" s="1201"/>
    </row>
    <row r="23" spans="1:11" ht="3" customHeight="1">
      <c r="A23" s="1195"/>
      <c r="B23" s="1204"/>
      <c r="D23" s="1203"/>
      <c r="E23" s="1201"/>
      <c r="F23" s="1201"/>
      <c r="G23" s="1201"/>
      <c r="H23" s="1201"/>
      <c r="I23" s="1201"/>
      <c r="J23" s="1201"/>
      <c r="K23" s="1201"/>
    </row>
    <row r="24" spans="1:11">
      <c r="A24" s="1195"/>
      <c r="B24" s="1198"/>
      <c r="C24" s="1199">
        <f>C21+1</f>
        <v>6</v>
      </c>
      <c r="D24" s="1207" t="s">
        <v>1719</v>
      </c>
      <c r="E24" s="1201"/>
      <c r="F24" s="1201"/>
      <c r="G24" s="1201"/>
      <c r="H24" s="1201"/>
      <c r="I24" s="1201"/>
      <c r="J24" s="1201"/>
      <c r="K24" s="1201"/>
    </row>
    <row r="25" spans="1:11">
      <c r="A25" s="1195"/>
      <c r="B25" s="1204"/>
      <c r="D25" s="1203" t="s">
        <v>1699</v>
      </c>
      <c r="E25" s="1201"/>
      <c r="F25" s="1201"/>
      <c r="G25" s="1201"/>
      <c r="H25" s="1201"/>
      <c r="I25" s="1201"/>
      <c r="J25" s="1201"/>
      <c r="K25" s="1201"/>
    </row>
    <row r="26" spans="1:11">
      <c r="A26" s="1195"/>
      <c r="B26" s="1204"/>
      <c r="D26" s="1208" t="s">
        <v>1700</v>
      </c>
      <c r="E26" s="1201"/>
      <c r="F26" s="1201"/>
      <c r="G26" s="1201"/>
      <c r="H26" s="1201"/>
      <c r="I26" s="1201"/>
      <c r="J26" s="1201"/>
      <c r="K26" s="1201"/>
    </row>
    <row r="27" spans="1:11" ht="3" customHeight="1">
      <c r="A27" s="1195"/>
      <c r="B27" s="1204"/>
      <c r="D27" s="1208"/>
      <c r="E27" s="1201"/>
      <c r="F27" s="1201"/>
      <c r="G27" s="1201"/>
      <c r="H27" s="1201"/>
      <c r="I27" s="1201"/>
      <c r="J27" s="1201"/>
      <c r="K27" s="1201"/>
    </row>
    <row r="28" spans="1:11">
      <c r="A28" s="1195"/>
      <c r="B28" s="1198"/>
      <c r="C28" s="1205">
        <f>C24+1</f>
        <v>7</v>
      </c>
      <c r="D28" s="1208" t="s">
        <v>1567</v>
      </c>
      <c r="E28" s="1201"/>
      <c r="F28" s="1201"/>
      <c r="G28" s="1201"/>
      <c r="H28" s="1201"/>
      <c r="I28" s="1201"/>
      <c r="J28" s="1201"/>
      <c r="K28" s="1201"/>
    </row>
    <row r="29" spans="1:11" ht="10.5" customHeight="1">
      <c r="A29" s="1195"/>
      <c r="D29" s="1209" t="s">
        <v>1568</v>
      </c>
    </row>
    <row r="30" spans="1:11" ht="6" customHeight="1">
      <c r="A30" s="1195"/>
      <c r="D30" s="1194"/>
    </row>
    <row r="31" spans="1:11">
      <c r="A31" s="1195"/>
      <c r="B31" s="1196" t="s">
        <v>1218</v>
      </c>
      <c r="C31" s="1197"/>
      <c r="D31" s="1194"/>
    </row>
    <row r="32" spans="1:11" ht="4.5" customHeight="1">
      <c r="A32" s="1195"/>
      <c r="B32" s="1196"/>
      <c r="C32" s="1197"/>
      <c r="D32" s="1194"/>
    </row>
    <row r="33" spans="1:5">
      <c r="A33" s="1195"/>
      <c r="B33" s="1198"/>
      <c r="C33" s="1199">
        <v>8</v>
      </c>
      <c r="D33" s="1210" t="s">
        <v>1217</v>
      </c>
    </row>
    <row r="34" spans="1:5" ht="10.5" customHeight="1">
      <c r="A34" s="1195"/>
      <c r="B34" s="1211"/>
      <c r="C34" s="1199"/>
      <c r="D34" s="1210" t="s">
        <v>1569</v>
      </c>
    </row>
    <row r="35" spans="1:5" ht="3" customHeight="1">
      <c r="A35" s="1195"/>
      <c r="B35" s="1204"/>
      <c r="D35" s="1194"/>
    </row>
    <row r="36" spans="1:5">
      <c r="A36" s="1195"/>
      <c r="B36" s="1198"/>
      <c r="C36" s="1199">
        <f>C33+1</f>
        <v>9</v>
      </c>
      <c r="D36" s="1210" t="s">
        <v>1216</v>
      </c>
    </row>
    <row r="37" spans="1:5" ht="10.5" customHeight="1">
      <c r="A37" s="1195"/>
      <c r="B37" s="1204"/>
      <c r="D37" s="1210" t="s">
        <v>1569</v>
      </c>
    </row>
    <row r="38" spans="1:5" ht="3" customHeight="1">
      <c r="A38" s="1195"/>
      <c r="B38" s="1212"/>
      <c r="C38" s="1213"/>
      <c r="D38" s="1194"/>
    </row>
    <row r="39" spans="1:5">
      <c r="A39" s="1195"/>
      <c r="B39" s="1214"/>
      <c r="C39" s="1205">
        <f>C36+1</f>
        <v>10</v>
      </c>
      <c r="D39" s="1194" t="s">
        <v>1215</v>
      </c>
    </row>
    <row r="40" spans="1:5" ht="10.5" customHeight="1">
      <c r="A40" s="1195"/>
      <c r="B40" s="1215"/>
      <c r="C40" s="1213"/>
      <c r="D40" s="1194" t="s">
        <v>1570</v>
      </c>
    </row>
    <row r="41" spans="1:5" ht="3" customHeight="1">
      <c r="A41" s="1195"/>
      <c r="B41" s="1212"/>
      <c r="C41" s="1213"/>
      <c r="D41" s="1194"/>
    </row>
    <row r="42" spans="1:5" ht="10.5" customHeight="1">
      <c r="A42" s="1195"/>
      <c r="B42" s="1214"/>
      <c r="C42" s="1205">
        <v>11</v>
      </c>
      <c r="D42" s="1216" t="s">
        <v>1571</v>
      </c>
      <c r="E42" s="312"/>
    </row>
    <row r="43" spans="1:5" ht="3" customHeight="1">
      <c r="A43" s="1195"/>
      <c r="B43" s="1212"/>
      <c r="C43" s="1213"/>
      <c r="D43" s="1194"/>
    </row>
    <row r="44" spans="1:5">
      <c r="A44" s="1195"/>
      <c r="B44" s="1198"/>
      <c r="C44" s="1199">
        <f>C42+1</f>
        <v>12</v>
      </c>
      <c r="D44" s="1210" t="s">
        <v>1214</v>
      </c>
    </row>
    <row r="45" spans="1:5" ht="10.5" customHeight="1">
      <c r="A45" s="1195"/>
      <c r="B45" s="1211"/>
      <c r="C45" s="1199"/>
      <c r="D45" s="1210" t="s">
        <v>1213</v>
      </c>
    </row>
    <row r="46" spans="1:5" ht="10.5" customHeight="1">
      <c r="A46" s="1195"/>
      <c r="B46" s="1212"/>
      <c r="C46" s="1213"/>
      <c r="D46" s="1210" t="s">
        <v>1212</v>
      </c>
    </row>
    <row r="47" spans="1:5" ht="3" customHeight="1">
      <c r="A47" s="1195"/>
      <c r="B47" s="1212"/>
      <c r="C47" s="1213"/>
      <c r="D47" s="1210"/>
    </row>
    <row r="48" spans="1:5">
      <c r="A48" s="1195"/>
      <c r="B48" s="1198"/>
      <c r="C48" s="1199">
        <f>C44+1</f>
        <v>13</v>
      </c>
      <c r="D48" s="1210" t="s">
        <v>1572</v>
      </c>
    </row>
    <row r="49" spans="1:4" ht="3" customHeight="1">
      <c r="A49" s="1195"/>
      <c r="B49" s="1202"/>
      <c r="C49" s="1199"/>
      <c r="D49" s="1210"/>
    </row>
    <row r="50" spans="1:4">
      <c r="A50" s="1195"/>
      <c r="B50" s="1198"/>
      <c r="C50" s="1199">
        <f>C48+1</f>
        <v>14</v>
      </c>
      <c r="D50" s="1210" t="s">
        <v>1211</v>
      </c>
    </row>
    <row r="51" spans="1:4" ht="3" customHeight="1">
      <c r="A51" s="1195"/>
      <c r="B51" s="1202"/>
      <c r="C51" s="1199"/>
      <c r="D51" s="1210"/>
    </row>
    <row r="52" spans="1:4">
      <c r="A52" s="1195"/>
      <c r="B52" s="1198"/>
      <c r="C52" s="1199">
        <f>C50+1</f>
        <v>15</v>
      </c>
      <c r="D52" s="1210" t="s">
        <v>1210</v>
      </c>
    </row>
    <row r="53" spans="1:4" ht="3" customHeight="1">
      <c r="A53" s="1195"/>
      <c r="B53" s="1202"/>
      <c r="C53" s="1199"/>
      <c r="D53" s="1210"/>
    </row>
    <row r="54" spans="1:4">
      <c r="A54" s="1195"/>
      <c r="B54" s="1198"/>
      <c r="C54" s="1199">
        <f>C52+1</f>
        <v>16</v>
      </c>
      <c r="D54" s="1210" t="s">
        <v>1209</v>
      </c>
    </row>
    <row r="55" spans="1:4" ht="3" customHeight="1">
      <c r="A55" s="1195"/>
      <c r="B55" s="1202"/>
      <c r="C55" s="1199"/>
      <c r="D55" s="1210"/>
    </row>
    <row r="56" spans="1:4">
      <c r="A56" s="1195"/>
      <c r="B56" s="1198"/>
      <c r="C56" s="1199">
        <f>C54+1</f>
        <v>17</v>
      </c>
      <c r="D56" s="1194" t="s">
        <v>1701</v>
      </c>
    </row>
    <row r="57" spans="1:4" ht="10.5" customHeight="1">
      <c r="A57" s="1195"/>
      <c r="D57" s="1210" t="s">
        <v>1702</v>
      </c>
    </row>
    <row r="58" spans="1:4">
      <c r="A58" s="1195"/>
      <c r="C58" s="1217"/>
      <c r="D58" s="1210" t="s">
        <v>1703</v>
      </c>
    </row>
    <row r="59" spans="1:4" ht="10.5" customHeight="1">
      <c r="A59" s="1195"/>
      <c r="D59" s="1194" t="s">
        <v>1208</v>
      </c>
    </row>
    <row r="60" spans="1:4" ht="10.5" customHeight="1">
      <c r="A60" s="1195"/>
      <c r="D60" s="1218" t="s">
        <v>1592</v>
      </c>
    </row>
    <row r="61" spans="1:4" ht="10.5" customHeight="1">
      <c r="A61" s="1195"/>
      <c r="C61" s="1217"/>
      <c r="D61" s="1210" t="s">
        <v>1704</v>
      </c>
    </row>
    <row r="62" spans="1:4" ht="10.5" customHeight="1">
      <c r="A62" s="1195"/>
      <c r="D62" s="1219" t="s">
        <v>1207</v>
      </c>
    </row>
    <row r="63" spans="1:4" ht="10.5" customHeight="1">
      <c r="A63" s="1195"/>
      <c r="D63" s="1194" t="s">
        <v>1573</v>
      </c>
    </row>
    <row r="64" spans="1:4" ht="10.5" customHeight="1">
      <c r="A64" s="1195"/>
      <c r="D64" s="1218" t="s">
        <v>1591</v>
      </c>
    </row>
    <row r="65" spans="1:4">
      <c r="A65" s="1195"/>
      <c r="C65" s="1217"/>
      <c r="D65" s="1210" t="s">
        <v>1705</v>
      </c>
    </row>
    <row r="66" spans="1:4" ht="10.5" customHeight="1">
      <c r="A66" s="1195"/>
      <c r="D66" s="1220" t="s">
        <v>1206</v>
      </c>
    </row>
    <row r="67" spans="1:4" ht="10.5" customHeight="1">
      <c r="A67" s="1195"/>
      <c r="D67" s="1194" t="s">
        <v>1574</v>
      </c>
    </row>
    <row r="68" spans="1:4" ht="10.5" customHeight="1">
      <c r="A68" s="1195"/>
      <c r="D68" s="1218" t="s">
        <v>1591</v>
      </c>
    </row>
    <row r="69" spans="1:4" ht="10.5" customHeight="1">
      <c r="A69" s="1195"/>
      <c r="C69" s="1217"/>
      <c r="D69" s="1210" t="s">
        <v>1706</v>
      </c>
    </row>
    <row r="70" spans="1:4">
      <c r="A70" s="1195"/>
      <c r="D70" s="1219" t="s">
        <v>1205</v>
      </c>
    </row>
    <row r="71" spans="1:4" ht="3" customHeight="1">
      <c r="A71" s="1195"/>
      <c r="D71" s="1194"/>
    </row>
    <row r="72" spans="1:4">
      <c r="A72" s="1195"/>
      <c r="B72" s="1198"/>
      <c r="C72" s="1199">
        <f>C56+1</f>
        <v>18</v>
      </c>
      <c r="D72" s="1220" t="s">
        <v>1707</v>
      </c>
    </row>
    <row r="73" spans="1:4" ht="3" customHeight="1">
      <c r="A73" s="1195"/>
      <c r="B73" s="1202"/>
      <c r="C73" s="1199"/>
      <c r="D73" s="1220"/>
    </row>
    <row r="74" spans="1:4">
      <c r="A74" s="1195"/>
      <c r="B74" s="1198"/>
      <c r="C74" s="1199">
        <f>C72+1</f>
        <v>19</v>
      </c>
      <c r="D74" s="1210" t="s">
        <v>1204</v>
      </c>
    </row>
    <row r="75" spans="1:4" ht="3" customHeight="1">
      <c r="A75" s="1195"/>
      <c r="B75" s="1202"/>
      <c r="C75" s="1199"/>
      <c r="D75" s="1210"/>
    </row>
    <row r="76" spans="1:4">
      <c r="A76" s="1195"/>
      <c r="B76" s="1198"/>
      <c r="C76" s="1199">
        <f>C74+1</f>
        <v>20</v>
      </c>
      <c r="D76" s="1221" t="s">
        <v>1708</v>
      </c>
    </row>
    <row r="77" spans="1:4" ht="3" customHeight="1">
      <c r="A77" s="1195"/>
      <c r="B77" s="1202"/>
      <c r="C77" s="1199"/>
      <c r="D77" s="1221"/>
    </row>
    <row r="78" spans="1:4">
      <c r="A78" s="1195"/>
      <c r="B78" s="1198"/>
      <c r="C78" s="1199">
        <f>C76+1</f>
        <v>21</v>
      </c>
      <c r="D78" s="1194" t="s">
        <v>1709</v>
      </c>
    </row>
    <row r="79" spans="1:4" ht="3" customHeight="1">
      <c r="A79" s="1195"/>
      <c r="B79" s="1202"/>
      <c r="C79" s="1199"/>
      <c r="D79" s="1194"/>
    </row>
    <row r="80" spans="1:4">
      <c r="A80" s="1195"/>
      <c r="B80" s="1198"/>
      <c r="C80" s="1199">
        <f>C78+1</f>
        <v>22</v>
      </c>
      <c r="D80" s="1222" t="s">
        <v>1710</v>
      </c>
    </row>
    <row r="81" spans="1:4" ht="3" customHeight="1">
      <c r="A81" s="1195"/>
      <c r="B81" s="1202"/>
      <c r="C81" s="1199"/>
      <c r="D81" s="1222"/>
    </row>
    <row r="82" spans="1:4">
      <c r="A82" s="1195"/>
      <c r="B82" s="1198"/>
      <c r="C82" s="1199">
        <f>C80+1</f>
        <v>23</v>
      </c>
      <c r="D82" s="1221" t="s">
        <v>1711</v>
      </c>
    </row>
    <row r="83" spans="1:4" ht="10.5" customHeight="1">
      <c r="A83" s="1195"/>
      <c r="B83" s="1204"/>
      <c r="D83" s="1210" t="s">
        <v>1203</v>
      </c>
    </row>
    <row r="84" spans="1:4" ht="3" customHeight="1">
      <c r="A84" s="1195"/>
      <c r="B84" s="1204"/>
      <c r="D84" s="1210"/>
    </row>
    <row r="85" spans="1:4">
      <c r="A85" s="1195"/>
      <c r="B85" s="1198"/>
      <c r="C85" s="1199">
        <f>C82+1</f>
        <v>24</v>
      </c>
      <c r="D85" s="1210" t="s">
        <v>1202</v>
      </c>
    </row>
    <row r="86" spans="1:4" ht="3" customHeight="1">
      <c r="A86" s="1195"/>
      <c r="B86" s="1202"/>
      <c r="C86" s="1199"/>
      <c r="D86" s="1210"/>
    </row>
    <row r="87" spans="1:4">
      <c r="A87" s="1195"/>
      <c r="B87" s="1198"/>
      <c r="C87" s="1199">
        <f>C85+1</f>
        <v>25</v>
      </c>
      <c r="D87" s="1210" t="s">
        <v>1201</v>
      </c>
    </row>
    <row r="88" spans="1:4" ht="3" customHeight="1">
      <c r="A88" s="1195"/>
      <c r="B88" s="1202"/>
      <c r="C88" s="1199"/>
      <c r="D88" s="1210"/>
    </row>
    <row r="89" spans="1:4">
      <c r="A89" s="1195"/>
      <c r="B89" s="1198"/>
      <c r="C89" s="1199">
        <f>C87+1</f>
        <v>26</v>
      </c>
      <c r="D89" s="1210" t="s">
        <v>1200</v>
      </c>
    </row>
    <row r="90" spans="1:4" ht="3" customHeight="1">
      <c r="A90" s="1195"/>
      <c r="B90" s="1202"/>
      <c r="C90" s="1199"/>
      <c r="D90" s="1210"/>
    </row>
    <row r="91" spans="1:4">
      <c r="A91" s="1195"/>
      <c r="B91" s="1198"/>
      <c r="C91" s="1199">
        <f>C89+1</f>
        <v>27</v>
      </c>
      <c r="D91" s="1210" t="s">
        <v>1712</v>
      </c>
    </row>
    <row r="92" spans="1:4">
      <c r="A92" s="1195"/>
      <c r="B92" s="1223"/>
      <c r="C92" s="1217"/>
      <c r="D92" s="1210" t="s">
        <v>1199</v>
      </c>
    </row>
    <row r="93" spans="1:4" ht="4.5" customHeight="1">
      <c r="A93" s="1195"/>
      <c r="D93" s="1194"/>
    </row>
    <row r="94" spans="1:4">
      <c r="A94" s="1195"/>
      <c r="B94" s="1196" t="s">
        <v>1575</v>
      </c>
      <c r="C94" s="1197"/>
      <c r="D94" s="1194"/>
    </row>
    <row r="95" spans="1:4" ht="4.5" customHeight="1">
      <c r="A95" s="1195"/>
      <c r="B95" s="1196"/>
      <c r="C95" s="1197"/>
      <c r="D95" s="1194"/>
    </row>
    <row r="96" spans="1:4">
      <c r="A96" s="1195"/>
      <c r="B96" s="1198"/>
      <c r="C96" s="1199">
        <f>C91+1</f>
        <v>28</v>
      </c>
      <c r="D96" s="1210" t="s">
        <v>1713</v>
      </c>
    </row>
    <row r="97" spans="1:4" ht="3" customHeight="1">
      <c r="A97" s="1195"/>
      <c r="B97" s="1202"/>
      <c r="C97" s="1199"/>
      <c r="D97" s="1210"/>
    </row>
    <row r="98" spans="1:4">
      <c r="A98" s="1195"/>
      <c r="B98" s="1198"/>
      <c r="C98" s="1199">
        <f>C96+1</f>
        <v>29</v>
      </c>
      <c r="D98" s="1224" t="s">
        <v>1714</v>
      </c>
    </row>
    <row r="99" spans="1:4" ht="3" customHeight="1">
      <c r="A99" s="1195"/>
      <c r="B99" s="1202"/>
      <c r="C99" s="1199"/>
      <c r="D99" s="1224"/>
    </row>
    <row r="100" spans="1:4">
      <c r="A100" s="1195"/>
      <c r="B100" s="1198"/>
      <c r="C100" s="1199">
        <f>C98+1</f>
        <v>30</v>
      </c>
      <c r="D100" s="1210" t="s">
        <v>1715</v>
      </c>
    </row>
    <row r="101" spans="1:4" ht="3" customHeight="1">
      <c r="A101" s="1195"/>
      <c r="B101" s="1202"/>
      <c r="C101" s="1199"/>
      <c r="D101" s="1225"/>
    </row>
    <row r="102" spans="1:4">
      <c r="A102" s="1195"/>
      <c r="B102" s="1198"/>
      <c r="C102" s="1199">
        <f>C100+1</f>
        <v>31</v>
      </c>
      <c r="D102" s="1210" t="s">
        <v>1576</v>
      </c>
    </row>
    <row r="103" spans="1:4" ht="4.5" customHeight="1">
      <c r="A103" s="1195"/>
      <c r="B103" s="312"/>
      <c r="C103" s="1199"/>
      <c r="D103" s="1210"/>
    </row>
    <row r="104" spans="1:4" ht="14.1" customHeight="1">
      <c r="A104" s="1195"/>
      <c r="B104" s="1226" t="s">
        <v>1198</v>
      </c>
    </row>
    <row r="105" spans="1:4" ht="4.5" customHeight="1">
      <c r="A105" s="1195"/>
      <c r="B105" s="1226"/>
    </row>
    <row r="106" spans="1:4">
      <c r="A106" s="1195"/>
      <c r="B106" s="1198"/>
      <c r="C106" s="1199">
        <f>C102+1</f>
        <v>32</v>
      </c>
      <c r="D106" s="1194" t="s">
        <v>1577</v>
      </c>
    </row>
    <row r="107" spans="1:4" ht="3" customHeight="1">
      <c r="A107" s="1195"/>
      <c r="B107" s="1202"/>
      <c r="C107" s="1199"/>
      <c r="D107" s="1194"/>
    </row>
    <row r="108" spans="1:4">
      <c r="A108" s="1195"/>
      <c r="B108" s="1198"/>
      <c r="C108" s="1199">
        <v>33</v>
      </c>
      <c r="D108" s="1194" t="s">
        <v>1716</v>
      </c>
    </row>
    <row r="109" spans="1:4" ht="3" customHeight="1">
      <c r="A109" s="1195"/>
      <c r="B109" s="1202"/>
      <c r="C109" s="1199"/>
      <c r="D109" s="1194"/>
    </row>
    <row r="110" spans="1:4">
      <c r="A110" s="1195"/>
      <c r="B110" s="1198"/>
      <c r="C110" s="1199">
        <f>C108+1</f>
        <v>34</v>
      </c>
      <c r="D110" s="1194" t="s">
        <v>1197</v>
      </c>
    </row>
    <row r="111" spans="1:4" ht="3" customHeight="1">
      <c r="A111" s="1195"/>
      <c r="B111" s="1202"/>
      <c r="C111" s="1199"/>
      <c r="D111" s="1194"/>
    </row>
    <row r="112" spans="1:4">
      <c r="A112" s="1195"/>
      <c r="B112" s="1198"/>
      <c r="C112" s="1199">
        <f>C110+1</f>
        <v>35</v>
      </c>
      <c r="D112" s="1194" t="s">
        <v>1196</v>
      </c>
    </row>
    <row r="113" spans="1:4" ht="11.25" customHeight="1">
      <c r="A113" s="1195"/>
      <c r="B113" s="1227"/>
      <c r="C113" s="1199"/>
      <c r="D113" s="1228" t="s">
        <v>1195</v>
      </c>
    </row>
    <row r="114" spans="1:4" ht="3" customHeight="1">
      <c r="A114" s="1195"/>
      <c r="B114" s="1229"/>
      <c r="C114" s="1199"/>
      <c r="D114" s="1228"/>
    </row>
    <row r="115" spans="1:4">
      <c r="A115" s="1195"/>
      <c r="B115" s="1198"/>
      <c r="C115" s="1199">
        <f>C112+1</f>
        <v>36</v>
      </c>
      <c r="D115" s="1210" t="s">
        <v>1194</v>
      </c>
    </row>
    <row r="116" spans="1:4" ht="3" customHeight="1">
      <c r="A116" s="1195"/>
      <c r="B116" s="1202"/>
      <c r="C116" s="1199"/>
      <c r="D116" s="1210"/>
    </row>
    <row r="117" spans="1:4">
      <c r="A117" s="1195"/>
      <c r="B117" s="1198"/>
      <c r="C117" s="1199">
        <f>C115+1</f>
        <v>37</v>
      </c>
      <c r="D117" s="1210" t="s">
        <v>1717</v>
      </c>
    </row>
    <row r="118" spans="1:4" ht="3" customHeight="1">
      <c r="A118" s="1195"/>
      <c r="B118" s="1202"/>
      <c r="C118" s="1199"/>
      <c r="D118" s="1210"/>
    </row>
    <row r="119" spans="1:4">
      <c r="A119" s="1195"/>
      <c r="B119" s="1198"/>
      <c r="C119" s="1199">
        <f>C117+1</f>
        <v>38</v>
      </c>
      <c r="D119" s="1210" t="s">
        <v>1718</v>
      </c>
    </row>
    <row r="120" spans="1:4" ht="10.5" customHeight="1">
      <c r="A120" s="1195"/>
      <c r="B120" s="1223"/>
      <c r="C120" s="1199"/>
      <c r="D120" s="1210" t="s">
        <v>1193</v>
      </c>
    </row>
    <row r="121" spans="1:4" ht="10.5" customHeight="1">
      <c r="A121" s="1195"/>
      <c r="B121" s="1223"/>
      <c r="C121" s="1199"/>
      <c r="D121" s="1210" t="s">
        <v>1192</v>
      </c>
    </row>
    <row r="122" spans="1:4" ht="3" customHeight="1">
      <c r="A122" s="1195"/>
      <c r="B122" s="1223"/>
      <c r="C122" s="1199"/>
      <c r="D122" s="1210"/>
    </row>
    <row r="123" spans="1:4">
      <c r="A123" s="1195"/>
      <c r="B123" s="1198"/>
      <c r="C123" s="1199">
        <f>C119+1</f>
        <v>39</v>
      </c>
      <c r="D123" s="1220" t="s">
        <v>1809</v>
      </c>
    </row>
    <row r="124" spans="1:4">
      <c r="A124" s="1195"/>
      <c r="B124" s="312"/>
      <c r="C124" s="1199"/>
      <c r="D124" s="1210" t="s">
        <v>1191</v>
      </c>
    </row>
    <row r="125" spans="1:4" ht="4.5" customHeight="1">
      <c r="A125" s="1195"/>
      <c r="D125" s="1194"/>
    </row>
    <row r="126" spans="1:4">
      <c r="A126" s="1195"/>
      <c r="B126" s="1230"/>
      <c r="C126" s="1199"/>
      <c r="D126" s="1210"/>
    </row>
    <row r="127" spans="1:4">
      <c r="A127" s="1195"/>
      <c r="D127" s="1210"/>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E49"/>
  <sheetViews>
    <sheetView showGridLines="0" zoomScale="110" zoomScaleNormal="110" zoomScaleSheetLayoutView="100" workbookViewId="0">
      <selection activeCell="D8" sqref="D8"/>
    </sheetView>
  </sheetViews>
  <sheetFormatPr defaultColWidth="15.7109375" defaultRowHeight="12.75"/>
  <cols>
    <col min="1" max="1" width="31.85546875" style="317" customWidth="1"/>
    <col min="2" max="2" width="29.5703125" style="1231" customWidth="1"/>
    <col min="3" max="3" width="1.28515625" style="1231" customWidth="1"/>
    <col min="4" max="4" width="24.42578125" style="1232" customWidth="1"/>
    <col min="5" max="5" width="5" style="317" customWidth="1"/>
    <col min="6" max="16384" width="15.7109375" style="317"/>
  </cols>
  <sheetData>
    <row r="1" spans="1:5">
      <c r="A1" s="2461" t="str">
        <f>'Single Audit Cover'!A7</f>
        <v>Joliet Twp HSD 204</v>
      </c>
      <c r="B1" s="2461"/>
      <c r="C1" s="2461"/>
      <c r="D1" s="2461"/>
      <c r="E1" s="2461"/>
    </row>
    <row r="2" spans="1:5">
      <c r="A2" s="2462">
        <f>'Single Audit Cover'!E7</f>
        <v>56099204017</v>
      </c>
      <c r="B2" s="2462"/>
      <c r="C2" s="2462"/>
      <c r="D2" s="2462"/>
      <c r="E2" s="2462"/>
    </row>
    <row r="3" spans="1:5" ht="4.5" customHeight="1"/>
    <row r="4" spans="1:5">
      <c r="A4" s="2461" t="s">
        <v>1244</v>
      </c>
      <c r="B4" s="2461"/>
      <c r="C4" s="2461"/>
      <c r="D4" s="2461"/>
      <c r="E4" s="2461"/>
    </row>
    <row r="5" spans="1:5">
      <c r="A5" s="2463" t="str">
        <f>'Single Audit Cover'!A4</f>
        <v>Year Ending June 30, 2019</v>
      </c>
      <c r="B5" s="2463"/>
      <c r="C5" s="2463"/>
      <c r="D5" s="2463"/>
      <c r="E5" s="2463"/>
    </row>
    <row r="6" spans="1:5">
      <c r="A6" s="2461" t="s">
        <v>1243</v>
      </c>
      <c r="B6" s="2461"/>
      <c r="C6" s="2461"/>
      <c r="D6" s="2461"/>
      <c r="E6" s="2461"/>
    </row>
    <row r="8" spans="1:5">
      <c r="A8" s="1233" t="s">
        <v>1242</v>
      </c>
    </row>
    <row r="10" spans="1:5">
      <c r="A10" s="1234" t="s">
        <v>1241</v>
      </c>
      <c r="B10" s="1235" t="s">
        <v>1240</v>
      </c>
      <c r="C10" s="1235"/>
      <c r="D10" s="1236">
        <f>SUM('Acct Summary 7-8'!C7:K7)</f>
        <v>6093778</v>
      </c>
    </row>
    <row r="11" spans="1:5" ht="18" customHeight="1">
      <c r="A11" s="1234" t="s">
        <v>1239</v>
      </c>
      <c r="B11" s="1235"/>
      <c r="C11" s="1235"/>
    </row>
    <row r="12" spans="1:5">
      <c r="A12" s="1234" t="s">
        <v>1238</v>
      </c>
      <c r="B12" s="1235" t="s">
        <v>1237</v>
      </c>
      <c r="C12" s="1235"/>
      <c r="D12" s="1237">
        <f>SUM('Revenues 9-14'!C112:D112,'Revenues 9-14'!F112:G112)</f>
        <v>0</v>
      </c>
    </row>
    <row r="13" spans="1:5">
      <c r="A13" s="1234" t="s">
        <v>1236</v>
      </c>
      <c r="B13" s="1235"/>
      <c r="C13" s="1235"/>
    </row>
    <row r="14" spans="1:5">
      <c r="A14" s="1234" t="s">
        <v>1720</v>
      </c>
      <c r="B14" s="1235"/>
      <c r="C14" s="1235"/>
      <c r="D14" s="1237">
        <f>'ICR Computation 30'!E11</f>
        <v>178670</v>
      </c>
    </row>
    <row r="15" spans="1:5">
      <c r="A15" s="1234"/>
      <c r="B15" s="1235"/>
      <c r="C15" s="1235"/>
    </row>
    <row r="16" spans="1:5">
      <c r="A16" s="1234" t="s">
        <v>1815</v>
      </c>
      <c r="B16" s="1235"/>
      <c r="C16" s="1235"/>
    </row>
    <row r="17" spans="1:4">
      <c r="A17" s="1234" t="s">
        <v>2032</v>
      </c>
      <c r="B17" s="1235" t="s">
        <v>1235</v>
      </c>
      <c r="C17" s="1235"/>
      <c r="D17" s="1237">
        <f>-SUM('Revenues 9-14'!C264:D264,'Revenues 9-14'!F264:G264)</f>
        <v>-155290</v>
      </c>
    </row>
    <row r="19" spans="1:4" ht="13.5" thickBot="1">
      <c r="A19" s="1238" t="s">
        <v>1234</v>
      </c>
      <c r="D19" s="1239">
        <f>SUM(D10:D17)</f>
        <v>6117158</v>
      </c>
    </row>
    <row r="20" spans="1:4" ht="21.75" customHeight="1" thickTop="1"/>
    <row r="21" spans="1:4">
      <c r="A21" s="1233" t="s">
        <v>1233</v>
      </c>
    </row>
    <row r="22" spans="1:4" ht="8.25" customHeight="1"/>
    <row r="23" spans="1:4">
      <c r="A23" s="1240" t="s">
        <v>1227</v>
      </c>
    </row>
    <row r="24" spans="1:4">
      <c r="A24" s="2464" t="s">
        <v>2182</v>
      </c>
      <c r="B24" s="2465"/>
      <c r="D24" s="1241">
        <v>-314076</v>
      </c>
    </row>
    <row r="25" spans="1:4">
      <c r="A25" s="2466" t="s">
        <v>2183</v>
      </c>
      <c r="B25" s="2467"/>
      <c r="D25" s="1241">
        <v>-245945</v>
      </c>
    </row>
    <row r="26" spans="1:4">
      <c r="A26" s="2460"/>
      <c r="B26" s="2460"/>
      <c r="D26" s="1241"/>
    </row>
    <row r="27" spans="1:4">
      <c r="A27" s="2460"/>
      <c r="B27" s="2460"/>
      <c r="D27" s="1241"/>
    </row>
    <row r="28" spans="1:4">
      <c r="A28" s="2460"/>
      <c r="B28" s="2460"/>
      <c r="D28" s="1241"/>
    </row>
    <row r="29" spans="1:4">
      <c r="A29" s="2460"/>
      <c r="B29" s="2460"/>
      <c r="D29" s="1241"/>
    </row>
    <row r="30" spans="1:4">
      <c r="A30" s="2460"/>
      <c r="B30" s="2460"/>
      <c r="D30" s="1241"/>
    </row>
    <row r="32" spans="1:4">
      <c r="A32" s="1233" t="s">
        <v>1232</v>
      </c>
      <c r="D32" s="1236">
        <f>SUM(D19:D30)</f>
        <v>5557137</v>
      </c>
    </row>
    <row r="33" spans="1:4">
      <c r="D33" s="1242"/>
    </row>
    <row r="34" spans="1:4">
      <c r="A34" s="317" t="s">
        <v>1231</v>
      </c>
    </row>
    <row r="35" spans="1:4">
      <c r="A35" s="317" t="s">
        <v>1230</v>
      </c>
      <c r="B35" s="1231" t="s">
        <v>1229</v>
      </c>
      <c r="D35" s="1243">
        <v>5378467</v>
      </c>
    </row>
    <row r="37" spans="1:4">
      <c r="A37" s="1233" t="s">
        <v>1228</v>
      </c>
    </row>
    <row r="39" spans="1:4" ht="13.35" customHeight="1">
      <c r="A39" s="1240" t="s">
        <v>1227</v>
      </c>
    </row>
    <row r="40" spans="1:4">
      <c r="A40" s="2460" t="s">
        <v>2184</v>
      </c>
      <c r="B40" s="2460"/>
      <c r="D40" s="1241">
        <v>178670</v>
      </c>
    </row>
    <row r="41" spans="1:4">
      <c r="A41" s="2460"/>
      <c r="B41" s="2460"/>
      <c r="D41" s="1244"/>
    </row>
    <row r="42" spans="1:4">
      <c r="A42" s="2460"/>
      <c r="B42" s="2460"/>
      <c r="D42" s="1244"/>
    </row>
    <row r="43" spans="1:4">
      <c r="A43" s="2460"/>
      <c r="B43" s="2460"/>
      <c r="D43" s="1244"/>
    </row>
    <row r="44" spans="1:4">
      <c r="A44" s="2460"/>
      <c r="B44" s="2460"/>
      <c r="D44" s="1244"/>
    </row>
    <row r="45" spans="1:4">
      <c r="A45" s="2460"/>
      <c r="B45" s="2460"/>
      <c r="D45" s="1244"/>
    </row>
    <row r="47" spans="1:4">
      <c r="B47" s="1245" t="s">
        <v>1226</v>
      </c>
      <c r="C47" s="1245"/>
      <c r="D47" s="1246">
        <f>SUM(D35:D45)</f>
        <v>5557137</v>
      </c>
    </row>
    <row r="49" spans="2:4">
      <c r="B49" s="1245" t="s">
        <v>1225</v>
      </c>
      <c r="C49" s="1245"/>
      <c r="D49" s="1246">
        <f>D32-D47</f>
        <v>0</v>
      </c>
    </row>
  </sheetData>
  <sheetProtection password="F60E" sheet="1" objects="1" scenarios="1"/>
  <mergeCells count="18">
    <mergeCell ref="A43:B43"/>
    <mergeCell ref="A44:B44"/>
    <mergeCell ref="A45:B45"/>
    <mergeCell ref="A28:B28"/>
    <mergeCell ref="A29:B29"/>
    <mergeCell ref="A30:B30"/>
    <mergeCell ref="A41:B41"/>
    <mergeCell ref="A42:B42"/>
    <mergeCell ref="A40:B40"/>
    <mergeCell ref="A27:B27"/>
    <mergeCell ref="A1:E1"/>
    <mergeCell ref="A2:E2"/>
    <mergeCell ref="A26:B26"/>
    <mergeCell ref="A4:E4"/>
    <mergeCell ref="A5:E5"/>
    <mergeCell ref="A6:E6"/>
    <mergeCell ref="A24:B24"/>
    <mergeCell ref="A25:B25"/>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72"/>
  <sheetViews>
    <sheetView topLeftCell="A38" zoomScaleNormal="100" zoomScaleSheetLayoutView="75" workbookViewId="0">
      <selection activeCell="G33" sqref="G33"/>
    </sheetView>
  </sheetViews>
  <sheetFormatPr defaultRowHeight="12.75"/>
  <cols>
    <col min="1" max="1" width="53.28515625" style="1" customWidth="1"/>
    <col min="2" max="2" width="7.7109375" style="1" bestFit="1" customWidth="1"/>
    <col min="3" max="3" width="13.42578125" style="1" customWidth="1"/>
    <col min="4" max="5" width="14.28515625" style="1870" customWidth="1"/>
    <col min="6" max="8" width="14.140625" style="1870" customWidth="1"/>
    <col min="9" max="9" width="15.42578125" style="1870" customWidth="1"/>
    <col min="10" max="10" width="12" style="1870" customWidth="1"/>
    <col min="11" max="11" width="12.28515625" style="1870" customWidth="1"/>
    <col min="12" max="12" width="11.28515625" style="1870" customWidth="1"/>
    <col min="13" max="13" width="9.140625" style="1" customWidth="1"/>
    <col min="14" max="14" width="9.5703125" style="1" customWidth="1"/>
    <col min="15" max="15" width="13.42578125" style="1" customWidth="1"/>
    <col min="16" max="16" width="11.28515625" style="1" customWidth="1"/>
    <col min="17" max="17" width="10.28515625" style="1" customWidth="1"/>
    <col min="18" max="18" width="8.85546875" style="1" customWidth="1"/>
    <col min="19" max="252" width="9.140625" style="1"/>
    <col min="253" max="253" width="55.7109375" style="1" customWidth="1"/>
    <col min="254" max="254" width="7.7109375" style="1" bestFit="1" customWidth="1"/>
    <col min="255" max="255" width="13.42578125" style="1" bestFit="1" customWidth="1"/>
    <col min="256" max="259" width="14.28515625" style="1" bestFit="1" customWidth="1"/>
    <col min="260" max="260" width="12" style="1" bestFit="1" customWidth="1"/>
    <col min="261" max="261" width="12.28515625" style="1" bestFit="1" customWidth="1"/>
    <col min="262" max="262" width="10.28515625" style="1" customWidth="1"/>
    <col min="263" max="263" width="9.140625" style="1" customWidth="1"/>
    <col min="264" max="264" width="9.5703125" style="1" bestFit="1" customWidth="1"/>
    <col min="265" max="266" width="10.7109375" style="1" bestFit="1" customWidth="1"/>
    <col min="267" max="269" width="11.85546875" style="1" bestFit="1" customWidth="1"/>
    <col min="270" max="270" width="13.42578125" style="1" bestFit="1" customWidth="1"/>
    <col min="271" max="271" width="9.5703125" style="1" bestFit="1" customWidth="1"/>
    <col min="272" max="508" width="9.140625" style="1"/>
    <col min="509" max="509" width="55.7109375" style="1" customWidth="1"/>
    <col min="510" max="510" width="7.7109375" style="1" bestFit="1" customWidth="1"/>
    <col min="511" max="511" width="13.42578125" style="1" bestFit="1" customWidth="1"/>
    <col min="512" max="515" width="14.28515625" style="1" bestFit="1" customWidth="1"/>
    <col min="516" max="516" width="12" style="1" bestFit="1" customWidth="1"/>
    <col min="517" max="517" width="12.28515625" style="1" bestFit="1" customWidth="1"/>
    <col min="518" max="518" width="10.28515625" style="1" customWidth="1"/>
    <col min="519" max="519" width="9.140625" style="1" customWidth="1"/>
    <col min="520" max="520" width="9.5703125" style="1" bestFit="1" customWidth="1"/>
    <col min="521" max="522" width="10.7109375" style="1" bestFit="1" customWidth="1"/>
    <col min="523" max="525" width="11.85546875" style="1" bestFit="1" customWidth="1"/>
    <col min="526" max="526" width="13.42578125" style="1" bestFit="1" customWidth="1"/>
    <col min="527" max="527" width="9.5703125" style="1" bestFit="1" customWidth="1"/>
    <col min="528" max="764" width="9.140625" style="1"/>
    <col min="765" max="765" width="55.7109375" style="1" customWidth="1"/>
    <col min="766" max="766" width="7.7109375" style="1" bestFit="1" customWidth="1"/>
    <col min="767" max="767" width="13.42578125" style="1" bestFit="1" customWidth="1"/>
    <col min="768" max="771" width="14.28515625" style="1" bestFit="1" customWidth="1"/>
    <col min="772" max="772" width="12" style="1" bestFit="1" customWidth="1"/>
    <col min="773" max="773" width="12.28515625" style="1" bestFit="1" customWidth="1"/>
    <col min="774" max="774" width="10.28515625" style="1" customWidth="1"/>
    <col min="775" max="775" width="9.140625" style="1" customWidth="1"/>
    <col min="776" max="776" width="9.5703125" style="1" bestFit="1" customWidth="1"/>
    <col min="777" max="778" width="10.7109375" style="1" bestFit="1" customWidth="1"/>
    <col min="779" max="781" width="11.85546875" style="1" bestFit="1" customWidth="1"/>
    <col min="782" max="782" width="13.42578125" style="1" bestFit="1" customWidth="1"/>
    <col min="783" max="783" width="9.5703125" style="1" bestFit="1" customWidth="1"/>
    <col min="784" max="1020" width="9.140625" style="1"/>
    <col min="1021" max="1021" width="55.7109375" style="1" customWidth="1"/>
    <col min="1022" max="1022" width="7.7109375" style="1" bestFit="1" customWidth="1"/>
    <col min="1023" max="1023" width="13.42578125" style="1" bestFit="1" customWidth="1"/>
    <col min="1024" max="1027" width="14.28515625" style="1" bestFit="1" customWidth="1"/>
    <col min="1028" max="1028" width="12" style="1" bestFit="1" customWidth="1"/>
    <col min="1029" max="1029" width="12.28515625" style="1" bestFit="1" customWidth="1"/>
    <col min="1030" max="1030" width="10.28515625" style="1" customWidth="1"/>
    <col min="1031" max="1031" width="9.140625" style="1" customWidth="1"/>
    <col min="1032" max="1032" width="9.5703125" style="1" bestFit="1" customWidth="1"/>
    <col min="1033" max="1034" width="10.7109375" style="1" bestFit="1" customWidth="1"/>
    <col min="1035" max="1037" width="11.85546875" style="1" bestFit="1" customWidth="1"/>
    <col min="1038" max="1038" width="13.42578125" style="1" bestFit="1" customWidth="1"/>
    <col min="1039" max="1039" width="9.5703125" style="1" bestFit="1" customWidth="1"/>
    <col min="1040" max="1276" width="9.140625" style="1"/>
    <col min="1277" max="1277" width="55.7109375" style="1" customWidth="1"/>
    <col min="1278" max="1278" width="7.7109375" style="1" bestFit="1" customWidth="1"/>
    <col min="1279" max="1279" width="13.42578125" style="1" bestFit="1" customWidth="1"/>
    <col min="1280" max="1283" width="14.28515625" style="1" bestFit="1" customWidth="1"/>
    <col min="1284" max="1284" width="12" style="1" bestFit="1" customWidth="1"/>
    <col min="1285" max="1285" width="12.28515625" style="1" bestFit="1" customWidth="1"/>
    <col min="1286" max="1286" width="10.28515625" style="1" customWidth="1"/>
    <col min="1287" max="1287" width="9.140625" style="1" customWidth="1"/>
    <col min="1288" max="1288" width="9.5703125" style="1" bestFit="1" customWidth="1"/>
    <col min="1289" max="1290" width="10.7109375" style="1" bestFit="1" customWidth="1"/>
    <col min="1291" max="1293" width="11.85546875" style="1" bestFit="1" customWidth="1"/>
    <col min="1294" max="1294" width="13.42578125" style="1" bestFit="1" customWidth="1"/>
    <col min="1295" max="1295" width="9.5703125" style="1" bestFit="1" customWidth="1"/>
    <col min="1296" max="1532" width="9.140625" style="1"/>
    <col min="1533" max="1533" width="55.7109375" style="1" customWidth="1"/>
    <col min="1534" max="1534" width="7.7109375" style="1" bestFit="1" customWidth="1"/>
    <col min="1535" max="1535" width="13.42578125" style="1" bestFit="1" customWidth="1"/>
    <col min="1536" max="1539" width="14.28515625" style="1" bestFit="1" customWidth="1"/>
    <col min="1540" max="1540" width="12" style="1" bestFit="1" customWidth="1"/>
    <col min="1541" max="1541" width="12.28515625" style="1" bestFit="1" customWidth="1"/>
    <col min="1542" max="1542" width="10.28515625" style="1" customWidth="1"/>
    <col min="1543" max="1543" width="9.140625" style="1" customWidth="1"/>
    <col min="1544" max="1544" width="9.5703125" style="1" bestFit="1" customWidth="1"/>
    <col min="1545" max="1546" width="10.7109375" style="1" bestFit="1" customWidth="1"/>
    <col min="1547" max="1549" width="11.85546875" style="1" bestFit="1" customWidth="1"/>
    <col min="1550" max="1550" width="13.42578125" style="1" bestFit="1" customWidth="1"/>
    <col min="1551" max="1551" width="9.5703125" style="1" bestFit="1" customWidth="1"/>
    <col min="1552" max="1788" width="9.140625" style="1"/>
    <col min="1789" max="1789" width="55.7109375" style="1" customWidth="1"/>
    <col min="1790" max="1790" width="7.7109375" style="1" bestFit="1" customWidth="1"/>
    <col min="1791" max="1791" width="13.42578125" style="1" bestFit="1" customWidth="1"/>
    <col min="1792" max="1795" width="14.28515625" style="1" bestFit="1" customWidth="1"/>
    <col min="1796" max="1796" width="12" style="1" bestFit="1" customWidth="1"/>
    <col min="1797" max="1797" width="12.28515625" style="1" bestFit="1" customWidth="1"/>
    <col min="1798" max="1798" width="10.28515625" style="1" customWidth="1"/>
    <col min="1799" max="1799" width="9.140625" style="1" customWidth="1"/>
    <col min="1800" max="1800" width="9.5703125" style="1" bestFit="1" customWidth="1"/>
    <col min="1801" max="1802" width="10.7109375" style="1" bestFit="1" customWidth="1"/>
    <col min="1803" max="1805" width="11.85546875" style="1" bestFit="1" customWidth="1"/>
    <col min="1806" max="1806" width="13.42578125" style="1" bestFit="1" customWidth="1"/>
    <col min="1807" max="1807" width="9.5703125" style="1" bestFit="1" customWidth="1"/>
    <col min="1808" max="2044" width="9.140625" style="1"/>
    <col min="2045" max="2045" width="55.7109375" style="1" customWidth="1"/>
    <col min="2046" max="2046" width="7.7109375" style="1" bestFit="1" customWidth="1"/>
    <col min="2047" max="2047" width="13.42578125" style="1" bestFit="1" customWidth="1"/>
    <col min="2048" max="2051" width="14.28515625" style="1" bestFit="1" customWidth="1"/>
    <col min="2052" max="2052" width="12" style="1" bestFit="1" customWidth="1"/>
    <col min="2053" max="2053" width="12.28515625" style="1" bestFit="1" customWidth="1"/>
    <col min="2054" max="2054" width="10.28515625" style="1" customWidth="1"/>
    <col min="2055" max="2055" width="9.140625" style="1" customWidth="1"/>
    <col min="2056" max="2056" width="9.5703125" style="1" bestFit="1" customWidth="1"/>
    <col min="2057" max="2058" width="10.7109375" style="1" bestFit="1" customWidth="1"/>
    <col min="2059" max="2061" width="11.85546875" style="1" bestFit="1" customWidth="1"/>
    <col min="2062" max="2062" width="13.42578125" style="1" bestFit="1" customWidth="1"/>
    <col min="2063" max="2063" width="9.5703125" style="1" bestFit="1" customWidth="1"/>
    <col min="2064" max="2300" width="9.140625" style="1"/>
    <col min="2301" max="2301" width="55.7109375" style="1" customWidth="1"/>
    <col min="2302" max="2302" width="7.7109375" style="1" bestFit="1" customWidth="1"/>
    <col min="2303" max="2303" width="13.42578125" style="1" bestFit="1" customWidth="1"/>
    <col min="2304" max="2307" width="14.28515625" style="1" bestFit="1" customWidth="1"/>
    <col min="2308" max="2308" width="12" style="1" bestFit="1" customWidth="1"/>
    <col min="2309" max="2309" width="12.28515625" style="1" bestFit="1" customWidth="1"/>
    <col min="2310" max="2310" width="10.28515625" style="1" customWidth="1"/>
    <col min="2311" max="2311" width="9.140625" style="1" customWidth="1"/>
    <col min="2312" max="2312" width="9.5703125" style="1" bestFit="1" customWidth="1"/>
    <col min="2313" max="2314" width="10.7109375" style="1" bestFit="1" customWidth="1"/>
    <col min="2315" max="2317" width="11.85546875" style="1" bestFit="1" customWidth="1"/>
    <col min="2318" max="2318" width="13.42578125" style="1" bestFit="1" customWidth="1"/>
    <col min="2319" max="2319" width="9.5703125" style="1" bestFit="1" customWidth="1"/>
    <col min="2320" max="2556" width="9.140625" style="1"/>
    <col min="2557" max="2557" width="55.7109375" style="1" customWidth="1"/>
    <col min="2558" max="2558" width="7.7109375" style="1" bestFit="1" customWidth="1"/>
    <col min="2559" max="2559" width="13.42578125" style="1" bestFit="1" customWidth="1"/>
    <col min="2560" max="2563" width="14.28515625" style="1" bestFit="1" customWidth="1"/>
    <col min="2564" max="2564" width="12" style="1" bestFit="1" customWidth="1"/>
    <col min="2565" max="2565" width="12.28515625" style="1" bestFit="1" customWidth="1"/>
    <col min="2566" max="2566" width="10.28515625" style="1" customWidth="1"/>
    <col min="2567" max="2567" width="9.140625" style="1" customWidth="1"/>
    <col min="2568" max="2568" width="9.5703125" style="1" bestFit="1" customWidth="1"/>
    <col min="2569" max="2570" width="10.7109375" style="1" bestFit="1" customWidth="1"/>
    <col min="2571" max="2573" width="11.85546875" style="1" bestFit="1" customWidth="1"/>
    <col min="2574" max="2574" width="13.42578125" style="1" bestFit="1" customWidth="1"/>
    <col min="2575" max="2575" width="9.5703125" style="1" bestFit="1" customWidth="1"/>
    <col min="2576" max="2812" width="9.140625" style="1"/>
    <col min="2813" max="2813" width="55.7109375" style="1" customWidth="1"/>
    <col min="2814" max="2814" width="7.7109375" style="1" bestFit="1" customWidth="1"/>
    <col min="2815" max="2815" width="13.42578125" style="1" bestFit="1" customWidth="1"/>
    <col min="2816" max="2819" width="14.28515625" style="1" bestFit="1" customWidth="1"/>
    <col min="2820" max="2820" width="12" style="1" bestFit="1" customWidth="1"/>
    <col min="2821" max="2821" width="12.28515625" style="1" bestFit="1" customWidth="1"/>
    <col min="2822" max="2822" width="10.28515625" style="1" customWidth="1"/>
    <col min="2823" max="2823" width="9.140625" style="1" customWidth="1"/>
    <col min="2824" max="2824" width="9.5703125" style="1" bestFit="1" customWidth="1"/>
    <col min="2825" max="2826" width="10.7109375" style="1" bestFit="1" customWidth="1"/>
    <col min="2827" max="2829" width="11.85546875" style="1" bestFit="1" customWidth="1"/>
    <col min="2830" max="2830" width="13.42578125" style="1" bestFit="1" customWidth="1"/>
    <col min="2831" max="2831" width="9.5703125" style="1" bestFit="1" customWidth="1"/>
    <col min="2832" max="3068" width="9.140625" style="1"/>
    <col min="3069" max="3069" width="55.7109375" style="1" customWidth="1"/>
    <col min="3070" max="3070" width="7.7109375" style="1" bestFit="1" customWidth="1"/>
    <col min="3071" max="3071" width="13.42578125" style="1" bestFit="1" customWidth="1"/>
    <col min="3072" max="3075" width="14.28515625" style="1" bestFit="1" customWidth="1"/>
    <col min="3076" max="3076" width="12" style="1" bestFit="1" customWidth="1"/>
    <col min="3077" max="3077" width="12.28515625" style="1" bestFit="1" customWidth="1"/>
    <col min="3078" max="3078" width="10.28515625" style="1" customWidth="1"/>
    <col min="3079" max="3079" width="9.140625" style="1" customWidth="1"/>
    <col min="3080" max="3080" width="9.5703125" style="1" bestFit="1" customWidth="1"/>
    <col min="3081" max="3082" width="10.7109375" style="1" bestFit="1" customWidth="1"/>
    <col min="3083" max="3085" width="11.85546875" style="1" bestFit="1" customWidth="1"/>
    <col min="3086" max="3086" width="13.42578125" style="1" bestFit="1" customWidth="1"/>
    <col min="3087" max="3087" width="9.5703125" style="1" bestFit="1" customWidth="1"/>
    <col min="3088" max="3324" width="9.140625" style="1"/>
    <col min="3325" max="3325" width="55.7109375" style="1" customWidth="1"/>
    <col min="3326" max="3326" width="7.7109375" style="1" bestFit="1" customWidth="1"/>
    <col min="3327" max="3327" width="13.42578125" style="1" bestFit="1" customWidth="1"/>
    <col min="3328" max="3331" width="14.28515625" style="1" bestFit="1" customWidth="1"/>
    <col min="3332" max="3332" width="12" style="1" bestFit="1" customWidth="1"/>
    <col min="3333" max="3333" width="12.28515625" style="1" bestFit="1" customWidth="1"/>
    <col min="3334" max="3334" width="10.28515625" style="1" customWidth="1"/>
    <col min="3335" max="3335" width="9.140625" style="1" customWidth="1"/>
    <col min="3336" max="3336" width="9.5703125" style="1" bestFit="1" customWidth="1"/>
    <col min="3337" max="3338" width="10.7109375" style="1" bestFit="1" customWidth="1"/>
    <col min="3339" max="3341" width="11.85546875" style="1" bestFit="1" customWidth="1"/>
    <col min="3342" max="3342" width="13.42578125" style="1" bestFit="1" customWidth="1"/>
    <col min="3343" max="3343" width="9.5703125" style="1" bestFit="1" customWidth="1"/>
    <col min="3344" max="3580" width="9.140625" style="1"/>
    <col min="3581" max="3581" width="55.7109375" style="1" customWidth="1"/>
    <col min="3582" max="3582" width="7.7109375" style="1" bestFit="1" customWidth="1"/>
    <col min="3583" max="3583" width="13.42578125" style="1" bestFit="1" customWidth="1"/>
    <col min="3584" max="3587" width="14.28515625" style="1" bestFit="1" customWidth="1"/>
    <col min="3588" max="3588" width="12" style="1" bestFit="1" customWidth="1"/>
    <col min="3589" max="3589" width="12.28515625" style="1" bestFit="1" customWidth="1"/>
    <col min="3590" max="3590" width="10.28515625" style="1" customWidth="1"/>
    <col min="3591" max="3591" width="9.140625" style="1" customWidth="1"/>
    <col min="3592" max="3592" width="9.5703125" style="1" bestFit="1" customWidth="1"/>
    <col min="3593" max="3594" width="10.7109375" style="1" bestFit="1" customWidth="1"/>
    <col min="3595" max="3597" width="11.85546875" style="1" bestFit="1" customWidth="1"/>
    <col min="3598" max="3598" width="13.42578125" style="1" bestFit="1" customWidth="1"/>
    <col min="3599" max="3599" width="9.5703125" style="1" bestFit="1" customWidth="1"/>
    <col min="3600" max="3836" width="9.140625" style="1"/>
    <col min="3837" max="3837" width="55.7109375" style="1" customWidth="1"/>
    <col min="3838" max="3838" width="7.7109375" style="1" bestFit="1" customWidth="1"/>
    <col min="3839" max="3839" width="13.42578125" style="1" bestFit="1" customWidth="1"/>
    <col min="3840" max="3843" width="14.28515625" style="1" bestFit="1" customWidth="1"/>
    <col min="3844" max="3844" width="12" style="1" bestFit="1" customWidth="1"/>
    <col min="3845" max="3845" width="12.28515625" style="1" bestFit="1" customWidth="1"/>
    <col min="3846" max="3846" width="10.28515625" style="1" customWidth="1"/>
    <col min="3847" max="3847" width="9.140625" style="1" customWidth="1"/>
    <col min="3848" max="3848" width="9.5703125" style="1" bestFit="1" customWidth="1"/>
    <col min="3849" max="3850" width="10.7109375" style="1" bestFit="1" customWidth="1"/>
    <col min="3851" max="3853" width="11.85546875" style="1" bestFit="1" customWidth="1"/>
    <col min="3854" max="3854" width="13.42578125" style="1" bestFit="1" customWidth="1"/>
    <col min="3855" max="3855" width="9.5703125" style="1" bestFit="1" customWidth="1"/>
    <col min="3856" max="4092" width="9.140625" style="1"/>
    <col min="4093" max="4093" width="55.7109375" style="1" customWidth="1"/>
    <col min="4094" max="4094" width="7.7109375" style="1" bestFit="1" customWidth="1"/>
    <col min="4095" max="4095" width="13.42578125" style="1" bestFit="1" customWidth="1"/>
    <col min="4096" max="4099" width="14.28515625" style="1" bestFit="1" customWidth="1"/>
    <col min="4100" max="4100" width="12" style="1" bestFit="1" customWidth="1"/>
    <col min="4101" max="4101" width="12.28515625" style="1" bestFit="1" customWidth="1"/>
    <col min="4102" max="4102" width="10.28515625" style="1" customWidth="1"/>
    <col min="4103" max="4103" width="9.140625" style="1" customWidth="1"/>
    <col min="4104" max="4104" width="9.5703125" style="1" bestFit="1" customWidth="1"/>
    <col min="4105" max="4106" width="10.7109375" style="1" bestFit="1" customWidth="1"/>
    <col min="4107" max="4109" width="11.85546875" style="1" bestFit="1" customWidth="1"/>
    <col min="4110" max="4110" width="13.42578125" style="1" bestFit="1" customWidth="1"/>
    <col min="4111" max="4111" width="9.5703125" style="1" bestFit="1" customWidth="1"/>
    <col min="4112" max="4348" width="9.140625" style="1"/>
    <col min="4349" max="4349" width="55.7109375" style="1" customWidth="1"/>
    <col min="4350" max="4350" width="7.7109375" style="1" bestFit="1" customWidth="1"/>
    <col min="4351" max="4351" width="13.42578125" style="1" bestFit="1" customWidth="1"/>
    <col min="4352" max="4355" width="14.28515625" style="1" bestFit="1" customWidth="1"/>
    <col min="4356" max="4356" width="12" style="1" bestFit="1" customWidth="1"/>
    <col min="4357" max="4357" width="12.28515625" style="1" bestFit="1" customWidth="1"/>
    <col min="4358" max="4358" width="10.28515625" style="1" customWidth="1"/>
    <col min="4359" max="4359" width="9.140625" style="1" customWidth="1"/>
    <col min="4360" max="4360" width="9.5703125" style="1" bestFit="1" customWidth="1"/>
    <col min="4361" max="4362" width="10.7109375" style="1" bestFit="1" customWidth="1"/>
    <col min="4363" max="4365" width="11.85546875" style="1" bestFit="1" customWidth="1"/>
    <col min="4366" max="4366" width="13.42578125" style="1" bestFit="1" customWidth="1"/>
    <col min="4367" max="4367" width="9.5703125" style="1" bestFit="1" customWidth="1"/>
    <col min="4368" max="4604" width="9.140625" style="1"/>
    <col min="4605" max="4605" width="55.7109375" style="1" customWidth="1"/>
    <col min="4606" max="4606" width="7.7109375" style="1" bestFit="1" customWidth="1"/>
    <col min="4607" max="4607" width="13.42578125" style="1" bestFit="1" customWidth="1"/>
    <col min="4608" max="4611" width="14.28515625" style="1" bestFit="1" customWidth="1"/>
    <col min="4612" max="4612" width="12" style="1" bestFit="1" customWidth="1"/>
    <col min="4613" max="4613" width="12.28515625" style="1" bestFit="1" customWidth="1"/>
    <col min="4614" max="4614" width="10.28515625" style="1" customWidth="1"/>
    <col min="4615" max="4615" width="9.140625" style="1" customWidth="1"/>
    <col min="4616" max="4616" width="9.5703125" style="1" bestFit="1" customWidth="1"/>
    <col min="4617" max="4618" width="10.7109375" style="1" bestFit="1" customWidth="1"/>
    <col min="4619" max="4621" width="11.85546875" style="1" bestFit="1" customWidth="1"/>
    <col min="4622" max="4622" width="13.42578125" style="1" bestFit="1" customWidth="1"/>
    <col min="4623" max="4623" width="9.5703125" style="1" bestFit="1" customWidth="1"/>
    <col min="4624" max="4860" width="9.140625" style="1"/>
    <col min="4861" max="4861" width="55.7109375" style="1" customWidth="1"/>
    <col min="4862" max="4862" width="7.7109375" style="1" bestFit="1" customWidth="1"/>
    <col min="4863" max="4863" width="13.42578125" style="1" bestFit="1" customWidth="1"/>
    <col min="4864" max="4867" width="14.28515625" style="1" bestFit="1" customWidth="1"/>
    <col min="4868" max="4868" width="12" style="1" bestFit="1" customWidth="1"/>
    <col min="4869" max="4869" width="12.28515625" style="1" bestFit="1" customWidth="1"/>
    <col min="4870" max="4870" width="10.28515625" style="1" customWidth="1"/>
    <col min="4871" max="4871" width="9.140625" style="1" customWidth="1"/>
    <col min="4872" max="4872" width="9.5703125" style="1" bestFit="1" customWidth="1"/>
    <col min="4873" max="4874" width="10.7109375" style="1" bestFit="1" customWidth="1"/>
    <col min="4875" max="4877" width="11.85546875" style="1" bestFit="1" customWidth="1"/>
    <col min="4878" max="4878" width="13.42578125" style="1" bestFit="1" customWidth="1"/>
    <col min="4879" max="4879" width="9.5703125" style="1" bestFit="1" customWidth="1"/>
    <col min="4880" max="5116" width="9.140625" style="1"/>
    <col min="5117" max="5117" width="55.7109375" style="1" customWidth="1"/>
    <col min="5118" max="5118" width="7.7109375" style="1" bestFit="1" customWidth="1"/>
    <col min="5119" max="5119" width="13.42578125" style="1" bestFit="1" customWidth="1"/>
    <col min="5120" max="5123" width="14.28515625" style="1" bestFit="1" customWidth="1"/>
    <col min="5124" max="5124" width="12" style="1" bestFit="1" customWidth="1"/>
    <col min="5125" max="5125" width="12.28515625" style="1" bestFit="1" customWidth="1"/>
    <col min="5126" max="5126" width="10.28515625" style="1" customWidth="1"/>
    <col min="5127" max="5127" width="9.140625" style="1" customWidth="1"/>
    <col min="5128" max="5128" width="9.5703125" style="1" bestFit="1" customWidth="1"/>
    <col min="5129" max="5130" width="10.7109375" style="1" bestFit="1" customWidth="1"/>
    <col min="5131" max="5133" width="11.85546875" style="1" bestFit="1" customWidth="1"/>
    <col min="5134" max="5134" width="13.42578125" style="1" bestFit="1" customWidth="1"/>
    <col min="5135" max="5135" width="9.5703125" style="1" bestFit="1" customWidth="1"/>
    <col min="5136" max="5372" width="9.140625" style="1"/>
    <col min="5373" max="5373" width="55.7109375" style="1" customWidth="1"/>
    <col min="5374" max="5374" width="7.7109375" style="1" bestFit="1" customWidth="1"/>
    <col min="5375" max="5375" width="13.42578125" style="1" bestFit="1" customWidth="1"/>
    <col min="5376" max="5379" width="14.28515625" style="1" bestFit="1" customWidth="1"/>
    <col min="5380" max="5380" width="12" style="1" bestFit="1" customWidth="1"/>
    <col min="5381" max="5381" width="12.28515625" style="1" bestFit="1" customWidth="1"/>
    <col min="5382" max="5382" width="10.28515625" style="1" customWidth="1"/>
    <col min="5383" max="5383" width="9.140625" style="1" customWidth="1"/>
    <col min="5384" max="5384" width="9.5703125" style="1" bestFit="1" customWidth="1"/>
    <col min="5385" max="5386" width="10.7109375" style="1" bestFit="1" customWidth="1"/>
    <col min="5387" max="5389" width="11.85546875" style="1" bestFit="1" customWidth="1"/>
    <col min="5390" max="5390" width="13.42578125" style="1" bestFit="1" customWidth="1"/>
    <col min="5391" max="5391" width="9.5703125" style="1" bestFit="1" customWidth="1"/>
    <col min="5392" max="5628" width="9.140625" style="1"/>
    <col min="5629" max="5629" width="55.7109375" style="1" customWidth="1"/>
    <col min="5630" max="5630" width="7.7109375" style="1" bestFit="1" customWidth="1"/>
    <col min="5631" max="5631" width="13.42578125" style="1" bestFit="1" customWidth="1"/>
    <col min="5632" max="5635" width="14.28515625" style="1" bestFit="1" customWidth="1"/>
    <col min="5636" max="5636" width="12" style="1" bestFit="1" customWidth="1"/>
    <col min="5637" max="5637" width="12.28515625" style="1" bestFit="1" customWidth="1"/>
    <col min="5638" max="5638" width="10.28515625" style="1" customWidth="1"/>
    <col min="5639" max="5639" width="9.140625" style="1" customWidth="1"/>
    <col min="5640" max="5640" width="9.5703125" style="1" bestFit="1" customWidth="1"/>
    <col min="5641" max="5642" width="10.7109375" style="1" bestFit="1" customWidth="1"/>
    <col min="5643" max="5645" width="11.85546875" style="1" bestFit="1" customWidth="1"/>
    <col min="5646" max="5646" width="13.42578125" style="1" bestFit="1" customWidth="1"/>
    <col min="5647" max="5647" width="9.5703125" style="1" bestFit="1" customWidth="1"/>
    <col min="5648" max="5884" width="9.140625" style="1"/>
    <col min="5885" max="5885" width="55.7109375" style="1" customWidth="1"/>
    <col min="5886" max="5886" width="7.7109375" style="1" bestFit="1" customWidth="1"/>
    <col min="5887" max="5887" width="13.42578125" style="1" bestFit="1" customWidth="1"/>
    <col min="5888" max="5891" width="14.28515625" style="1" bestFit="1" customWidth="1"/>
    <col min="5892" max="5892" width="12" style="1" bestFit="1" customWidth="1"/>
    <col min="5893" max="5893" width="12.28515625" style="1" bestFit="1" customWidth="1"/>
    <col min="5894" max="5894" width="10.28515625" style="1" customWidth="1"/>
    <col min="5895" max="5895" width="9.140625" style="1" customWidth="1"/>
    <col min="5896" max="5896" width="9.5703125" style="1" bestFit="1" customWidth="1"/>
    <col min="5897" max="5898" width="10.7109375" style="1" bestFit="1" customWidth="1"/>
    <col min="5899" max="5901" width="11.85546875" style="1" bestFit="1" customWidth="1"/>
    <col min="5902" max="5902" width="13.42578125" style="1" bestFit="1" customWidth="1"/>
    <col min="5903" max="5903" width="9.5703125" style="1" bestFit="1" customWidth="1"/>
    <col min="5904" max="6140" width="9.140625" style="1"/>
    <col min="6141" max="6141" width="55.7109375" style="1" customWidth="1"/>
    <col min="6142" max="6142" width="7.7109375" style="1" bestFit="1" customWidth="1"/>
    <col min="6143" max="6143" width="13.42578125" style="1" bestFit="1" customWidth="1"/>
    <col min="6144" max="6147" width="14.28515625" style="1" bestFit="1" customWidth="1"/>
    <col min="6148" max="6148" width="12" style="1" bestFit="1" customWidth="1"/>
    <col min="6149" max="6149" width="12.28515625" style="1" bestFit="1" customWidth="1"/>
    <col min="6150" max="6150" width="10.28515625" style="1" customWidth="1"/>
    <col min="6151" max="6151" width="9.140625" style="1" customWidth="1"/>
    <col min="6152" max="6152" width="9.5703125" style="1" bestFit="1" customWidth="1"/>
    <col min="6153" max="6154" width="10.7109375" style="1" bestFit="1" customWidth="1"/>
    <col min="6155" max="6157" width="11.85546875" style="1" bestFit="1" customWidth="1"/>
    <col min="6158" max="6158" width="13.42578125" style="1" bestFit="1" customWidth="1"/>
    <col min="6159" max="6159" width="9.5703125" style="1" bestFit="1" customWidth="1"/>
    <col min="6160" max="6396" width="9.140625" style="1"/>
    <col min="6397" max="6397" width="55.7109375" style="1" customWidth="1"/>
    <col min="6398" max="6398" width="7.7109375" style="1" bestFit="1" customWidth="1"/>
    <col min="6399" max="6399" width="13.42578125" style="1" bestFit="1" customWidth="1"/>
    <col min="6400" max="6403" width="14.28515625" style="1" bestFit="1" customWidth="1"/>
    <col min="6404" max="6404" width="12" style="1" bestFit="1" customWidth="1"/>
    <col min="6405" max="6405" width="12.28515625" style="1" bestFit="1" customWidth="1"/>
    <col min="6406" max="6406" width="10.28515625" style="1" customWidth="1"/>
    <col min="6407" max="6407" width="9.140625" style="1" customWidth="1"/>
    <col min="6408" max="6408" width="9.5703125" style="1" bestFit="1" customWidth="1"/>
    <col min="6409" max="6410" width="10.7109375" style="1" bestFit="1" customWidth="1"/>
    <col min="6411" max="6413" width="11.85546875" style="1" bestFit="1" customWidth="1"/>
    <col min="6414" max="6414" width="13.42578125" style="1" bestFit="1" customWidth="1"/>
    <col min="6415" max="6415" width="9.5703125" style="1" bestFit="1" customWidth="1"/>
    <col min="6416" max="6652" width="9.140625" style="1"/>
    <col min="6653" max="6653" width="55.7109375" style="1" customWidth="1"/>
    <col min="6654" max="6654" width="7.7109375" style="1" bestFit="1" customWidth="1"/>
    <col min="6655" max="6655" width="13.42578125" style="1" bestFit="1" customWidth="1"/>
    <col min="6656" max="6659" width="14.28515625" style="1" bestFit="1" customWidth="1"/>
    <col min="6660" max="6660" width="12" style="1" bestFit="1" customWidth="1"/>
    <col min="6661" max="6661" width="12.28515625" style="1" bestFit="1" customWidth="1"/>
    <col min="6662" max="6662" width="10.28515625" style="1" customWidth="1"/>
    <col min="6663" max="6663" width="9.140625" style="1" customWidth="1"/>
    <col min="6664" max="6664" width="9.5703125" style="1" bestFit="1" customWidth="1"/>
    <col min="6665" max="6666" width="10.7109375" style="1" bestFit="1" customWidth="1"/>
    <col min="6667" max="6669" width="11.85546875" style="1" bestFit="1" customWidth="1"/>
    <col min="6670" max="6670" width="13.42578125" style="1" bestFit="1" customWidth="1"/>
    <col min="6671" max="6671" width="9.5703125" style="1" bestFit="1" customWidth="1"/>
    <col min="6672" max="6908" width="9.140625" style="1"/>
    <col min="6909" max="6909" width="55.7109375" style="1" customWidth="1"/>
    <col min="6910" max="6910" width="7.7109375" style="1" bestFit="1" customWidth="1"/>
    <col min="6911" max="6911" width="13.42578125" style="1" bestFit="1" customWidth="1"/>
    <col min="6912" max="6915" width="14.28515625" style="1" bestFit="1" customWidth="1"/>
    <col min="6916" max="6916" width="12" style="1" bestFit="1" customWidth="1"/>
    <col min="6917" max="6917" width="12.28515625" style="1" bestFit="1" customWidth="1"/>
    <col min="6918" max="6918" width="10.28515625" style="1" customWidth="1"/>
    <col min="6919" max="6919" width="9.140625" style="1" customWidth="1"/>
    <col min="6920" max="6920" width="9.5703125" style="1" bestFit="1" customWidth="1"/>
    <col min="6921" max="6922" width="10.7109375" style="1" bestFit="1" customWidth="1"/>
    <col min="6923" max="6925" width="11.85546875" style="1" bestFit="1" customWidth="1"/>
    <col min="6926" max="6926" width="13.42578125" style="1" bestFit="1" customWidth="1"/>
    <col min="6927" max="6927" width="9.5703125" style="1" bestFit="1" customWidth="1"/>
    <col min="6928" max="7164" width="9.140625" style="1"/>
    <col min="7165" max="7165" width="55.7109375" style="1" customWidth="1"/>
    <col min="7166" max="7166" width="7.7109375" style="1" bestFit="1" customWidth="1"/>
    <col min="7167" max="7167" width="13.42578125" style="1" bestFit="1" customWidth="1"/>
    <col min="7168" max="7171" width="14.28515625" style="1" bestFit="1" customWidth="1"/>
    <col min="7172" max="7172" width="12" style="1" bestFit="1" customWidth="1"/>
    <col min="7173" max="7173" width="12.28515625" style="1" bestFit="1" customWidth="1"/>
    <col min="7174" max="7174" width="10.28515625" style="1" customWidth="1"/>
    <col min="7175" max="7175" width="9.140625" style="1" customWidth="1"/>
    <col min="7176" max="7176" width="9.5703125" style="1" bestFit="1" customWidth="1"/>
    <col min="7177" max="7178" width="10.7109375" style="1" bestFit="1" customWidth="1"/>
    <col min="7179" max="7181" width="11.85546875" style="1" bestFit="1" customWidth="1"/>
    <col min="7182" max="7182" width="13.42578125" style="1" bestFit="1" customWidth="1"/>
    <col min="7183" max="7183" width="9.5703125" style="1" bestFit="1" customWidth="1"/>
    <col min="7184" max="7420" width="9.140625" style="1"/>
    <col min="7421" max="7421" width="55.7109375" style="1" customWidth="1"/>
    <col min="7422" max="7422" width="7.7109375" style="1" bestFit="1" customWidth="1"/>
    <col min="7423" max="7423" width="13.42578125" style="1" bestFit="1" customWidth="1"/>
    <col min="7424" max="7427" width="14.28515625" style="1" bestFit="1" customWidth="1"/>
    <col min="7428" max="7428" width="12" style="1" bestFit="1" customWidth="1"/>
    <col min="7429" max="7429" width="12.28515625" style="1" bestFit="1" customWidth="1"/>
    <col min="7430" max="7430" width="10.28515625" style="1" customWidth="1"/>
    <col min="7431" max="7431" width="9.140625" style="1" customWidth="1"/>
    <col min="7432" max="7432" width="9.5703125" style="1" bestFit="1" customWidth="1"/>
    <col min="7433" max="7434" width="10.7109375" style="1" bestFit="1" customWidth="1"/>
    <col min="7435" max="7437" width="11.85546875" style="1" bestFit="1" customWidth="1"/>
    <col min="7438" max="7438" width="13.42578125" style="1" bestFit="1" customWidth="1"/>
    <col min="7439" max="7439" width="9.5703125" style="1" bestFit="1" customWidth="1"/>
    <col min="7440" max="7676" width="9.140625" style="1"/>
    <col min="7677" max="7677" width="55.7109375" style="1" customWidth="1"/>
    <col min="7678" max="7678" width="7.7109375" style="1" bestFit="1" customWidth="1"/>
    <col min="7679" max="7679" width="13.42578125" style="1" bestFit="1" customWidth="1"/>
    <col min="7680" max="7683" width="14.28515625" style="1" bestFit="1" customWidth="1"/>
    <col min="7684" max="7684" width="12" style="1" bestFit="1" customWidth="1"/>
    <col min="7685" max="7685" width="12.28515625" style="1" bestFit="1" customWidth="1"/>
    <col min="7686" max="7686" width="10.28515625" style="1" customWidth="1"/>
    <col min="7687" max="7687" width="9.140625" style="1" customWidth="1"/>
    <col min="7688" max="7688" width="9.5703125" style="1" bestFit="1" customWidth="1"/>
    <col min="7689" max="7690" width="10.7109375" style="1" bestFit="1" customWidth="1"/>
    <col min="7691" max="7693" width="11.85546875" style="1" bestFit="1" customWidth="1"/>
    <col min="7694" max="7694" width="13.42578125" style="1" bestFit="1" customWidth="1"/>
    <col min="7695" max="7695" width="9.5703125" style="1" bestFit="1" customWidth="1"/>
    <col min="7696" max="7932" width="9.140625" style="1"/>
    <col min="7933" max="7933" width="55.7109375" style="1" customWidth="1"/>
    <col min="7934" max="7934" width="7.7109375" style="1" bestFit="1" customWidth="1"/>
    <col min="7935" max="7935" width="13.42578125" style="1" bestFit="1" customWidth="1"/>
    <col min="7936" max="7939" width="14.28515625" style="1" bestFit="1" customWidth="1"/>
    <col min="7940" max="7940" width="12" style="1" bestFit="1" customWidth="1"/>
    <col min="7941" max="7941" width="12.28515625" style="1" bestFit="1" customWidth="1"/>
    <col min="7942" max="7942" width="10.28515625" style="1" customWidth="1"/>
    <col min="7943" max="7943" width="9.140625" style="1" customWidth="1"/>
    <col min="7944" max="7944" width="9.5703125" style="1" bestFit="1" customWidth="1"/>
    <col min="7945" max="7946" width="10.7109375" style="1" bestFit="1" customWidth="1"/>
    <col min="7947" max="7949" width="11.85546875" style="1" bestFit="1" customWidth="1"/>
    <col min="7950" max="7950" width="13.42578125" style="1" bestFit="1" customWidth="1"/>
    <col min="7951" max="7951" width="9.5703125" style="1" bestFit="1" customWidth="1"/>
    <col min="7952" max="8188" width="9.140625" style="1"/>
    <col min="8189" max="8189" width="55.7109375" style="1" customWidth="1"/>
    <col min="8190" max="8190" width="7.7109375" style="1" bestFit="1" customWidth="1"/>
    <col min="8191" max="8191" width="13.42578125" style="1" bestFit="1" customWidth="1"/>
    <col min="8192" max="8195" width="14.28515625" style="1" bestFit="1" customWidth="1"/>
    <col min="8196" max="8196" width="12" style="1" bestFit="1" customWidth="1"/>
    <col min="8197" max="8197" width="12.28515625" style="1" bestFit="1" customWidth="1"/>
    <col min="8198" max="8198" width="10.28515625" style="1" customWidth="1"/>
    <col min="8199" max="8199" width="9.140625" style="1" customWidth="1"/>
    <col min="8200" max="8200" width="9.5703125" style="1" bestFit="1" customWidth="1"/>
    <col min="8201" max="8202" width="10.7109375" style="1" bestFit="1" customWidth="1"/>
    <col min="8203" max="8205" width="11.85546875" style="1" bestFit="1" customWidth="1"/>
    <col min="8206" max="8206" width="13.42578125" style="1" bestFit="1" customWidth="1"/>
    <col min="8207" max="8207" width="9.5703125" style="1" bestFit="1" customWidth="1"/>
    <col min="8208" max="8444" width="9.140625" style="1"/>
    <col min="8445" max="8445" width="55.7109375" style="1" customWidth="1"/>
    <col min="8446" max="8446" width="7.7109375" style="1" bestFit="1" customWidth="1"/>
    <col min="8447" max="8447" width="13.42578125" style="1" bestFit="1" customWidth="1"/>
    <col min="8448" max="8451" width="14.28515625" style="1" bestFit="1" customWidth="1"/>
    <col min="8452" max="8452" width="12" style="1" bestFit="1" customWidth="1"/>
    <col min="8453" max="8453" width="12.28515625" style="1" bestFit="1" customWidth="1"/>
    <col min="8454" max="8454" width="10.28515625" style="1" customWidth="1"/>
    <col min="8455" max="8455" width="9.140625" style="1" customWidth="1"/>
    <col min="8456" max="8456" width="9.5703125" style="1" bestFit="1" customWidth="1"/>
    <col min="8457" max="8458" width="10.7109375" style="1" bestFit="1" customWidth="1"/>
    <col min="8459" max="8461" width="11.85546875" style="1" bestFit="1" customWidth="1"/>
    <col min="8462" max="8462" width="13.42578125" style="1" bestFit="1" customWidth="1"/>
    <col min="8463" max="8463" width="9.5703125" style="1" bestFit="1" customWidth="1"/>
    <col min="8464" max="8700" width="9.140625" style="1"/>
    <col min="8701" max="8701" width="55.7109375" style="1" customWidth="1"/>
    <col min="8702" max="8702" width="7.7109375" style="1" bestFit="1" customWidth="1"/>
    <col min="8703" max="8703" width="13.42578125" style="1" bestFit="1" customWidth="1"/>
    <col min="8704" max="8707" width="14.28515625" style="1" bestFit="1" customWidth="1"/>
    <col min="8708" max="8708" width="12" style="1" bestFit="1" customWidth="1"/>
    <col min="8709" max="8709" width="12.28515625" style="1" bestFit="1" customWidth="1"/>
    <col min="8710" max="8710" width="10.28515625" style="1" customWidth="1"/>
    <col min="8711" max="8711" width="9.140625" style="1" customWidth="1"/>
    <col min="8712" max="8712" width="9.5703125" style="1" bestFit="1" customWidth="1"/>
    <col min="8713" max="8714" width="10.7109375" style="1" bestFit="1" customWidth="1"/>
    <col min="8715" max="8717" width="11.85546875" style="1" bestFit="1" customWidth="1"/>
    <col min="8718" max="8718" width="13.42578125" style="1" bestFit="1" customWidth="1"/>
    <col min="8719" max="8719" width="9.5703125" style="1" bestFit="1" customWidth="1"/>
    <col min="8720" max="8956" width="9.140625" style="1"/>
    <col min="8957" max="8957" width="55.7109375" style="1" customWidth="1"/>
    <col min="8958" max="8958" width="7.7109375" style="1" bestFit="1" customWidth="1"/>
    <col min="8959" max="8959" width="13.42578125" style="1" bestFit="1" customWidth="1"/>
    <col min="8960" max="8963" width="14.28515625" style="1" bestFit="1" customWidth="1"/>
    <col min="8964" max="8964" width="12" style="1" bestFit="1" customWidth="1"/>
    <col min="8965" max="8965" width="12.28515625" style="1" bestFit="1" customWidth="1"/>
    <col min="8966" max="8966" width="10.28515625" style="1" customWidth="1"/>
    <col min="8967" max="8967" width="9.140625" style="1" customWidth="1"/>
    <col min="8968" max="8968" width="9.5703125" style="1" bestFit="1" customWidth="1"/>
    <col min="8969" max="8970" width="10.7109375" style="1" bestFit="1" customWidth="1"/>
    <col min="8971" max="8973" width="11.85546875" style="1" bestFit="1" customWidth="1"/>
    <col min="8974" max="8974" width="13.42578125" style="1" bestFit="1" customWidth="1"/>
    <col min="8975" max="8975" width="9.5703125" style="1" bestFit="1" customWidth="1"/>
    <col min="8976" max="9212" width="9.140625" style="1"/>
    <col min="9213" max="9213" width="55.7109375" style="1" customWidth="1"/>
    <col min="9214" max="9214" width="7.7109375" style="1" bestFit="1" customWidth="1"/>
    <col min="9215" max="9215" width="13.42578125" style="1" bestFit="1" customWidth="1"/>
    <col min="9216" max="9219" width="14.28515625" style="1" bestFit="1" customWidth="1"/>
    <col min="9220" max="9220" width="12" style="1" bestFit="1" customWidth="1"/>
    <col min="9221" max="9221" width="12.28515625" style="1" bestFit="1" customWidth="1"/>
    <col min="9222" max="9222" width="10.28515625" style="1" customWidth="1"/>
    <col min="9223" max="9223" width="9.140625" style="1" customWidth="1"/>
    <col min="9224" max="9224" width="9.5703125" style="1" bestFit="1" customWidth="1"/>
    <col min="9225" max="9226" width="10.7109375" style="1" bestFit="1" customWidth="1"/>
    <col min="9227" max="9229" width="11.85546875" style="1" bestFit="1" customWidth="1"/>
    <col min="9230" max="9230" width="13.42578125" style="1" bestFit="1" customWidth="1"/>
    <col min="9231" max="9231" width="9.5703125" style="1" bestFit="1" customWidth="1"/>
    <col min="9232" max="9468" width="9.140625" style="1"/>
    <col min="9469" max="9469" width="55.7109375" style="1" customWidth="1"/>
    <col min="9470" max="9470" width="7.7109375" style="1" bestFit="1" customWidth="1"/>
    <col min="9471" max="9471" width="13.42578125" style="1" bestFit="1" customWidth="1"/>
    <col min="9472" max="9475" width="14.28515625" style="1" bestFit="1" customWidth="1"/>
    <col min="9476" max="9476" width="12" style="1" bestFit="1" customWidth="1"/>
    <col min="9477" max="9477" width="12.28515625" style="1" bestFit="1" customWidth="1"/>
    <col min="9478" max="9478" width="10.28515625" style="1" customWidth="1"/>
    <col min="9479" max="9479" width="9.140625" style="1" customWidth="1"/>
    <col min="9480" max="9480" width="9.5703125" style="1" bestFit="1" customWidth="1"/>
    <col min="9481" max="9482" width="10.7109375" style="1" bestFit="1" customWidth="1"/>
    <col min="9483" max="9485" width="11.85546875" style="1" bestFit="1" customWidth="1"/>
    <col min="9486" max="9486" width="13.42578125" style="1" bestFit="1" customWidth="1"/>
    <col min="9487" max="9487" width="9.5703125" style="1" bestFit="1" customWidth="1"/>
    <col min="9488" max="9724" width="9.140625" style="1"/>
    <col min="9725" max="9725" width="55.7109375" style="1" customWidth="1"/>
    <col min="9726" max="9726" width="7.7109375" style="1" bestFit="1" customWidth="1"/>
    <col min="9727" max="9727" width="13.42578125" style="1" bestFit="1" customWidth="1"/>
    <col min="9728" max="9731" width="14.28515625" style="1" bestFit="1" customWidth="1"/>
    <col min="9732" max="9732" width="12" style="1" bestFit="1" customWidth="1"/>
    <col min="9733" max="9733" width="12.28515625" style="1" bestFit="1" customWidth="1"/>
    <col min="9734" max="9734" width="10.28515625" style="1" customWidth="1"/>
    <col min="9735" max="9735" width="9.140625" style="1" customWidth="1"/>
    <col min="9736" max="9736" width="9.5703125" style="1" bestFit="1" customWidth="1"/>
    <col min="9737" max="9738" width="10.7109375" style="1" bestFit="1" customWidth="1"/>
    <col min="9739" max="9741" width="11.85546875" style="1" bestFit="1" customWidth="1"/>
    <col min="9742" max="9742" width="13.42578125" style="1" bestFit="1" customWidth="1"/>
    <col min="9743" max="9743" width="9.5703125" style="1" bestFit="1" customWidth="1"/>
    <col min="9744" max="9980" width="9.140625" style="1"/>
    <col min="9981" max="9981" width="55.7109375" style="1" customWidth="1"/>
    <col min="9982" max="9982" width="7.7109375" style="1" bestFit="1" customWidth="1"/>
    <col min="9983" max="9983" width="13.42578125" style="1" bestFit="1" customWidth="1"/>
    <col min="9984" max="9987" width="14.28515625" style="1" bestFit="1" customWidth="1"/>
    <col min="9988" max="9988" width="12" style="1" bestFit="1" customWidth="1"/>
    <col min="9989" max="9989" width="12.28515625" style="1" bestFit="1" customWidth="1"/>
    <col min="9990" max="9990" width="10.28515625" style="1" customWidth="1"/>
    <col min="9991" max="9991" width="9.140625" style="1" customWidth="1"/>
    <col min="9992" max="9992" width="9.5703125" style="1" bestFit="1" customWidth="1"/>
    <col min="9993" max="9994" width="10.7109375" style="1" bestFit="1" customWidth="1"/>
    <col min="9995" max="9997" width="11.85546875" style="1" bestFit="1" customWidth="1"/>
    <col min="9998" max="9998" width="13.42578125" style="1" bestFit="1" customWidth="1"/>
    <col min="9999" max="9999" width="9.5703125" style="1" bestFit="1" customWidth="1"/>
    <col min="10000" max="10236" width="9.140625" style="1"/>
    <col min="10237" max="10237" width="55.7109375" style="1" customWidth="1"/>
    <col min="10238" max="10238" width="7.7109375" style="1" bestFit="1" customWidth="1"/>
    <col min="10239" max="10239" width="13.42578125" style="1" bestFit="1" customWidth="1"/>
    <col min="10240" max="10243" width="14.28515625" style="1" bestFit="1" customWidth="1"/>
    <col min="10244" max="10244" width="12" style="1" bestFit="1" customWidth="1"/>
    <col min="10245" max="10245" width="12.28515625" style="1" bestFit="1" customWidth="1"/>
    <col min="10246" max="10246" width="10.28515625" style="1" customWidth="1"/>
    <col min="10247" max="10247" width="9.140625" style="1" customWidth="1"/>
    <col min="10248" max="10248" width="9.5703125" style="1" bestFit="1" customWidth="1"/>
    <col min="10249" max="10250" width="10.7109375" style="1" bestFit="1" customWidth="1"/>
    <col min="10251" max="10253" width="11.85546875" style="1" bestFit="1" customWidth="1"/>
    <col min="10254" max="10254" width="13.42578125" style="1" bestFit="1" customWidth="1"/>
    <col min="10255" max="10255" width="9.5703125" style="1" bestFit="1" customWidth="1"/>
    <col min="10256" max="10492" width="9.140625" style="1"/>
    <col min="10493" max="10493" width="55.7109375" style="1" customWidth="1"/>
    <col min="10494" max="10494" width="7.7109375" style="1" bestFit="1" customWidth="1"/>
    <col min="10495" max="10495" width="13.42578125" style="1" bestFit="1" customWidth="1"/>
    <col min="10496" max="10499" width="14.28515625" style="1" bestFit="1" customWidth="1"/>
    <col min="10500" max="10500" width="12" style="1" bestFit="1" customWidth="1"/>
    <col min="10501" max="10501" width="12.28515625" style="1" bestFit="1" customWidth="1"/>
    <col min="10502" max="10502" width="10.28515625" style="1" customWidth="1"/>
    <col min="10503" max="10503" width="9.140625" style="1" customWidth="1"/>
    <col min="10504" max="10504" width="9.5703125" style="1" bestFit="1" customWidth="1"/>
    <col min="10505" max="10506" width="10.7109375" style="1" bestFit="1" customWidth="1"/>
    <col min="10507" max="10509" width="11.85546875" style="1" bestFit="1" customWidth="1"/>
    <col min="10510" max="10510" width="13.42578125" style="1" bestFit="1" customWidth="1"/>
    <col min="10511" max="10511" width="9.5703125" style="1" bestFit="1" customWidth="1"/>
    <col min="10512" max="10748" width="9.140625" style="1"/>
    <col min="10749" max="10749" width="55.7109375" style="1" customWidth="1"/>
    <col min="10750" max="10750" width="7.7109375" style="1" bestFit="1" customWidth="1"/>
    <col min="10751" max="10751" width="13.42578125" style="1" bestFit="1" customWidth="1"/>
    <col min="10752" max="10755" width="14.28515625" style="1" bestFit="1" customWidth="1"/>
    <col min="10756" max="10756" width="12" style="1" bestFit="1" customWidth="1"/>
    <col min="10757" max="10757" width="12.28515625" style="1" bestFit="1" customWidth="1"/>
    <col min="10758" max="10758" width="10.28515625" style="1" customWidth="1"/>
    <col min="10759" max="10759" width="9.140625" style="1" customWidth="1"/>
    <col min="10760" max="10760" width="9.5703125" style="1" bestFit="1" customWidth="1"/>
    <col min="10761" max="10762" width="10.7109375" style="1" bestFit="1" customWidth="1"/>
    <col min="10763" max="10765" width="11.85546875" style="1" bestFit="1" customWidth="1"/>
    <col min="10766" max="10766" width="13.42578125" style="1" bestFit="1" customWidth="1"/>
    <col min="10767" max="10767" width="9.5703125" style="1" bestFit="1" customWidth="1"/>
    <col min="10768" max="11004" width="9.140625" style="1"/>
    <col min="11005" max="11005" width="55.7109375" style="1" customWidth="1"/>
    <col min="11006" max="11006" width="7.7109375" style="1" bestFit="1" customWidth="1"/>
    <col min="11007" max="11007" width="13.42578125" style="1" bestFit="1" customWidth="1"/>
    <col min="11008" max="11011" width="14.28515625" style="1" bestFit="1" customWidth="1"/>
    <col min="11012" max="11012" width="12" style="1" bestFit="1" customWidth="1"/>
    <col min="11013" max="11013" width="12.28515625" style="1" bestFit="1" customWidth="1"/>
    <col min="11014" max="11014" width="10.28515625" style="1" customWidth="1"/>
    <col min="11015" max="11015" width="9.140625" style="1" customWidth="1"/>
    <col min="11016" max="11016" width="9.5703125" style="1" bestFit="1" customWidth="1"/>
    <col min="11017" max="11018" width="10.7109375" style="1" bestFit="1" customWidth="1"/>
    <col min="11019" max="11021" width="11.85546875" style="1" bestFit="1" customWidth="1"/>
    <col min="11022" max="11022" width="13.42578125" style="1" bestFit="1" customWidth="1"/>
    <col min="11023" max="11023" width="9.5703125" style="1" bestFit="1" customWidth="1"/>
    <col min="11024" max="11260" width="9.140625" style="1"/>
    <col min="11261" max="11261" width="55.7109375" style="1" customWidth="1"/>
    <col min="11262" max="11262" width="7.7109375" style="1" bestFit="1" customWidth="1"/>
    <col min="11263" max="11263" width="13.42578125" style="1" bestFit="1" customWidth="1"/>
    <col min="11264" max="11267" width="14.28515625" style="1" bestFit="1" customWidth="1"/>
    <col min="11268" max="11268" width="12" style="1" bestFit="1" customWidth="1"/>
    <col min="11269" max="11269" width="12.28515625" style="1" bestFit="1" customWidth="1"/>
    <col min="11270" max="11270" width="10.28515625" style="1" customWidth="1"/>
    <col min="11271" max="11271" width="9.140625" style="1" customWidth="1"/>
    <col min="11272" max="11272" width="9.5703125" style="1" bestFit="1" customWidth="1"/>
    <col min="11273" max="11274" width="10.7109375" style="1" bestFit="1" customWidth="1"/>
    <col min="11275" max="11277" width="11.85546875" style="1" bestFit="1" customWidth="1"/>
    <col min="11278" max="11278" width="13.42578125" style="1" bestFit="1" customWidth="1"/>
    <col min="11279" max="11279" width="9.5703125" style="1" bestFit="1" customWidth="1"/>
    <col min="11280" max="11516" width="9.140625" style="1"/>
    <col min="11517" max="11517" width="55.7109375" style="1" customWidth="1"/>
    <col min="11518" max="11518" width="7.7109375" style="1" bestFit="1" customWidth="1"/>
    <col min="11519" max="11519" width="13.42578125" style="1" bestFit="1" customWidth="1"/>
    <col min="11520" max="11523" width="14.28515625" style="1" bestFit="1" customWidth="1"/>
    <col min="11524" max="11524" width="12" style="1" bestFit="1" customWidth="1"/>
    <col min="11525" max="11525" width="12.28515625" style="1" bestFit="1" customWidth="1"/>
    <col min="11526" max="11526" width="10.28515625" style="1" customWidth="1"/>
    <col min="11527" max="11527" width="9.140625" style="1" customWidth="1"/>
    <col min="11528" max="11528" width="9.5703125" style="1" bestFit="1" customWidth="1"/>
    <col min="11529" max="11530" width="10.7109375" style="1" bestFit="1" customWidth="1"/>
    <col min="11531" max="11533" width="11.85546875" style="1" bestFit="1" customWidth="1"/>
    <col min="11534" max="11534" width="13.42578125" style="1" bestFit="1" customWidth="1"/>
    <col min="11535" max="11535" width="9.5703125" style="1" bestFit="1" customWidth="1"/>
    <col min="11536" max="11772" width="9.140625" style="1"/>
    <col min="11773" max="11773" width="55.7109375" style="1" customWidth="1"/>
    <col min="11774" max="11774" width="7.7109375" style="1" bestFit="1" customWidth="1"/>
    <col min="11775" max="11775" width="13.42578125" style="1" bestFit="1" customWidth="1"/>
    <col min="11776" max="11779" width="14.28515625" style="1" bestFit="1" customWidth="1"/>
    <col min="11780" max="11780" width="12" style="1" bestFit="1" customWidth="1"/>
    <col min="11781" max="11781" width="12.28515625" style="1" bestFit="1" customWidth="1"/>
    <col min="11782" max="11782" width="10.28515625" style="1" customWidth="1"/>
    <col min="11783" max="11783" width="9.140625" style="1" customWidth="1"/>
    <col min="11784" max="11784" width="9.5703125" style="1" bestFit="1" customWidth="1"/>
    <col min="11785" max="11786" width="10.7109375" style="1" bestFit="1" customWidth="1"/>
    <col min="11787" max="11789" width="11.85546875" style="1" bestFit="1" customWidth="1"/>
    <col min="11790" max="11790" width="13.42578125" style="1" bestFit="1" customWidth="1"/>
    <col min="11791" max="11791" width="9.5703125" style="1" bestFit="1" customWidth="1"/>
    <col min="11792" max="12028" width="9.140625" style="1"/>
    <col min="12029" max="12029" width="55.7109375" style="1" customWidth="1"/>
    <col min="12030" max="12030" width="7.7109375" style="1" bestFit="1" customWidth="1"/>
    <col min="12031" max="12031" width="13.42578125" style="1" bestFit="1" customWidth="1"/>
    <col min="12032" max="12035" width="14.28515625" style="1" bestFit="1" customWidth="1"/>
    <col min="12036" max="12036" width="12" style="1" bestFit="1" customWidth="1"/>
    <col min="12037" max="12037" width="12.28515625" style="1" bestFit="1" customWidth="1"/>
    <col min="12038" max="12038" width="10.28515625" style="1" customWidth="1"/>
    <col min="12039" max="12039" width="9.140625" style="1" customWidth="1"/>
    <col min="12040" max="12040" width="9.5703125" style="1" bestFit="1" customWidth="1"/>
    <col min="12041" max="12042" width="10.7109375" style="1" bestFit="1" customWidth="1"/>
    <col min="12043" max="12045" width="11.85546875" style="1" bestFit="1" customWidth="1"/>
    <col min="12046" max="12046" width="13.42578125" style="1" bestFit="1" customWidth="1"/>
    <col min="12047" max="12047" width="9.5703125" style="1" bestFit="1" customWidth="1"/>
    <col min="12048" max="12284" width="9.140625" style="1"/>
    <col min="12285" max="12285" width="55.7109375" style="1" customWidth="1"/>
    <col min="12286" max="12286" width="7.7109375" style="1" bestFit="1" customWidth="1"/>
    <col min="12287" max="12287" width="13.42578125" style="1" bestFit="1" customWidth="1"/>
    <col min="12288" max="12291" width="14.28515625" style="1" bestFit="1" customWidth="1"/>
    <col min="12292" max="12292" width="12" style="1" bestFit="1" customWidth="1"/>
    <col min="12293" max="12293" width="12.28515625" style="1" bestFit="1" customWidth="1"/>
    <col min="12294" max="12294" width="10.28515625" style="1" customWidth="1"/>
    <col min="12295" max="12295" width="9.140625" style="1" customWidth="1"/>
    <col min="12296" max="12296" width="9.5703125" style="1" bestFit="1" customWidth="1"/>
    <col min="12297" max="12298" width="10.7109375" style="1" bestFit="1" customWidth="1"/>
    <col min="12299" max="12301" width="11.85546875" style="1" bestFit="1" customWidth="1"/>
    <col min="12302" max="12302" width="13.42578125" style="1" bestFit="1" customWidth="1"/>
    <col min="12303" max="12303" width="9.5703125" style="1" bestFit="1" customWidth="1"/>
    <col min="12304" max="12540" width="9.140625" style="1"/>
    <col min="12541" max="12541" width="55.7109375" style="1" customWidth="1"/>
    <col min="12542" max="12542" width="7.7109375" style="1" bestFit="1" customWidth="1"/>
    <col min="12543" max="12543" width="13.42578125" style="1" bestFit="1" customWidth="1"/>
    <col min="12544" max="12547" width="14.28515625" style="1" bestFit="1" customWidth="1"/>
    <col min="12548" max="12548" width="12" style="1" bestFit="1" customWidth="1"/>
    <col min="12549" max="12549" width="12.28515625" style="1" bestFit="1" customWidth="1"/>
    <col min="12550" max="12550" width="10.28515625" style="1" customWidth="1"/>
    <col min="12551" max="12551" width="9.140625" style="1" customWidth="1"/>
    <col min="12552" max="12552" width="9.5703125" style="1" bestFit="1" customWidth="1"/>
    <col min="12553" max="12554" width="10.7109375" style="1" bestFit="1" customWidth="1"/>
    <col min="12555" max="12557" width="11.85546875" style="1" bestFit="1" customWidth="1"/>
    <col min="12558" max="12558" width="13.42578125" style="1" bestFit="1" customWidth="1"/>
    <col min="12559" max="12559" width="9.5703125" style="1" bestFit="1" customWidth="1"/>
    <col min="12560" max="12796" width="9.140625" style="1"/>
    <col min="12797" max="12797" width="55.7109375" style="1" customWidth="1"/>
    <col min="12798" max="12798" width="7.7109375" style="1" bestFit="1" customWidth="1"/>
    <col min="12799" max="12799" width="13.42578125" style="1" bestFit="1" customWidth="1"/>
    <col min="12800" max="12803" width="14.28515625" style="1" bestFit="1" customWidth="1"/>
    <col min="12804" max="12804" width="12" style="1" bestFit="1" customWidth="1"/>
    <col min="12805" max="12805" width="12.28515625" style="1" bestFit="1" customWidth="1"/>
    <col min="12806" max="12806" width="10.28515625" style="1" customWidth="1"/>
    <col min="12807" max="12807" width="9.140625" style="1" customWidth="1"/>
    <col min="12808" max="12808" width="9.5703125" style="1" bestFit="1" customWidth="1"/>
    <col min="12809" max="12810" width="10.7109375" style="1" bestFit="1" customWidth="1"/>
    <col min="12811" max="12813" width="11.85546875" style="1" bestFit="1" customWidth="1"/>
    <col min="12814" max="12814" width="13.42578125" style="1" bestFit="1" customWidth="1"/>
    <col min="12815" max="12815" width="9.5703125" style="1" bestFit="1" customWidth="1"/>
    <col min="12816" max="13052" width="9.140625" style="1"/>
    <col min="13053" max="13053" width="55.7109375" style="1" customWidth="1"/>
    <col min="13054" max="13054" width="7.7109375" style="1" bestFit="1" customWidth="1"/>
    <col min="13055" max="13055" width="13.42578125" style="1" bestFit="1" customWidth="1"/>
    <col min="13056" max="13059" width="14.28515625" style="1" bestFit="1" customWidth="1"/>
    <col min="13060" max="13060" width="12" style="1" bestFit="1" customWidth="1"/>
    <col min="13061" max="13061" width="12.28515625" style="1" bestFit="1" customWidth="1"/>
    <col min="13062" max="13062" width="10.28515625" style="1" customWidth="1"/>
    <col min="13063" max="13063" width="9.140625" style="1" customWidth="1"/>
    <col min="13064" max="13064" width="9.5703125" style="1" bestFit="1" customWidth="1"/>
    <col min="13065" max="13066" width="10.7109375" style="1" bestFit="1" customWidth="1"/>
    <col min="13067" max="13069" width="11.85546875" style="1" bestFit="1" customWidth="1"/>
    <col min="13070" max="13070" width="13.42578125" style="1" bestFit="1" customWidth="1"/>
    <col min="13071" max="13071" width="9.5703125" style="1" bestFit="1" customWidth="1"/>
    <col min="13072" max="13308" width="9.140625" style="1"/>
    <col min="13309" max="13309" width="55.7109375" style="1" customWidth="1"/>
    <col min="13310" max="13310" width="7.7109375" style="1" bestFit="1" customWidth="1"/>
    <col min="13311" max="13311" width="13.42578125" style="1" bestFit="1" customWidth="1"/>
    <col min="13312" max="13315" width="14.28515625" style="1" bestFit="1" customWidth="1"/>
    <col min="13316" max="13316" width="12" style="1" bestFit="1" customWidth="1"/>
    <col min="13317" max="13317" width="12.28515625" style="1" bestFit="1" customWidth="1"/>
    <col min="13318" max="13318" width="10.28515625" style="1" customWidth="1"/>
    <col min="13319" max="13319" width="9.140625" style="1" customWidth="1"/>
    <col min="13320" max="13320" width="9.5703125" style="1" bestFit="1" customWidth="1"/>
    <col min="13321" max="13322" width="10.7109375" style="1" bestFit="1" customWidth="1"/>
    <col min="13323" max="13325" width="11.85546875" style="1" bestFit="1" customWidth="1"/>
    <col min="13326" max="13326" width="13.42578125" style="1" bestFit="1" customWidth="1"/>
    <col min="13327" max="13327" width="9.5703125" style="1" bestFit="1" customWidth="1"/>
    <col min="13328" max="13564" width="9.140625" style="1"/>
    <col min="13565" max="13565" width="55.7109375" style="1" customWidth="1"/>
    <col min="13566" max="13566" width="7.7109375" style="1" bestFit="1" customWidth="1"/>
    <col min="13567" max="13567" width="13.42578125" style="1" bestFit="1" customWidth="1"/>
    <col min="13568" max="13571" width="14.28515625" style="1" bestFit="1" customWidth="1"/>
    <col min="13572" max="13572" width="12" style="1" bestFit="1" customWidth="1"/>
    <col min="13573" max="13573" width="12.28515625" style="1" bestFit="1" customWidth="1"/>
    <col min="13574" max="13574" width="10.28515625" style="1" customWidth="1"/>
    <col min="13575" max="13575" width="9.140625" style="1" customWidth="1"/>
    <col min="13576" max="13576" width="9.5703125" style="1" bestFit="1" customWidth="1"/>
    <col min="13577" max="13578" width="10.7109375" style="1" bestFit="1" customWidth="1"/>
    <col min="13579" max="13581" width="11.85546875" style="1" bestFit="1" customWidth="1"/>
    <col min="13582" max="13582" width="13.42578125" style="1" bestFit="1" customWidth="1"/>
    <col min="13583" max="13583" width="9.5703125" style="1" bestFit="1" customWidth="1"/>
    <col min="13584" max="13820" width="9.140625" style="1"/>
    <col min="13821" max="13821" width="55.7109375" style="1" customWidth="1"/>
    <col min="13822" max="13822" width="7.7109375" style="1" bestFit="1" customWidth="1"/>
    <col min="13823" max="13823" width="13.42578125" style="1" bestFit="1" customWidth="1"/>
    <col min="13824" max="13827" width="14.28515625" style="1" bestFit="1" customWidth="1"/>
    <col min="13828" max="13828" width="12" style="1" bestFit="1" customWidth="1"/>
    <col min="13829" max="13829" width="12.28515625" style="1" bestFit="1" customWidth="1"/>
    <col min="13830" max="13830" width="10.28515625" style="1" customWidth="1"/>
    <col min="13831" max="13831" width="9.140625" style="1" customWidth="1"/>
    <col min="13832" max="13832" width="9.5703125" style="1" bestFit="1" customWidth="1"/>
    <col min="13833" max="13834" width="10.7109375" style="1" bestFit="1" customWidth="1"/>
    <col min="13835" max="13837" width="11.85546875" style="1" bestFit="1" customWidth="1"/>
    <col min="13838" max="13838" width="13.42578125" style="1" bestFit="1" customWidth="1"/>
    <col min="13839" max="13839" width="9.5703125" style="1" bestFit="1" customWidth="1"/>
    <col min="13840" max="14076" width="9.140625" style="1"/>
    <col min="14077" max="14077" width="55.7109375" style="1" customWidth="1"/>
    <col min="14078" max="14078" width="7.7109375" style="1" bestFit="1" customWidth="1"/>
    <col min="14079" max="14079" width="13.42578125" style="1" bestFit="1" customWidth="1"/>
    <col min="14080" max="14083" width="14.28515625" style="1" bestFit="1" customWidth="1"/>
    <col min="14084" max="14084" width="12" style="1" bestFit="1" customWidth="1"/>
    <col min="14085" max="14085" width="12.28515625" style="1" bestFit="1" customWidth="1"/>
    <col min="14086" max="14086" width="10.28515625" style="1" customWidth="1"/>
    <col min="14087" max="14087" width="9.140625" style="1" customWidth="1"/>
    <col min="14088" max="14088" width="9.5703125" style="1" bestFit="1" customWidth="1"/>
    <col min="14089" max="14090" width="10.7109375" style="1" bestFit="1" customWidth="1"/>
    <col min="14091" max="14093" width="11.85546875" style="1" bestFit="1" customWidth="1"/>
    <col min="14094" max="14094" width="13.42578125" style="1" bestFit="1" customWidth="1"/>
    <col min="14095" max="14095" width="9.5703125" style="1" bestFit="1" customWidth="1"/>
    <col min="14096" max="14332" width="9.140625" style="1"/>
    <col min="14333" max="14333" width="55.7109375" style="1" customWidth="1"/>
    <col min="14334" max="14334" width="7.7109375" style="1" bestFit="1" customWidth="1"/>
    <col min="14335" max="14335" width="13.42578125" style="1" bestFit="1" customWidth="1"/>
    <col min="14336" max="14339" width="14.28515625" style="1" bestFit="1" customWidth="1"/>
    <col min="14340" max="14340" width="12" style="1" bestFit="1" customWidth="1"/>
    <col min="14341" max="14341" width="12.28515625" style="1" bestFit="1" customWidth="1"/>
    <col min="14342" max="14342" width="10.28515625" style="1" customWidth="1"/>
    <col min="14343" max="14343" width="9.140625" style="1" customWidth="1"/>
    <col min="14344" max="14344" width="9.5703125" style="1" bestFit="1" customWidth="1"/>
    <col min="14345" max="14346" width="10.7109375" style="1" bestFit="1" customWidth="1"/>
    <col min="14347" max="14349" width="11.85546875" style="1" bestFit="1" customWidth="1"/>
    <col min="14350" max="14350" width="13.42578125" style="1" bestFit="1" customWidth="1"/>
    <col min="14351" max="14351" width="9.5703125" style="1" bestFit="1" customWidth="1"/>
    <col min="14352" max="14588" width="9.140625" style="1"/>
    <col min="14589" max="14589" width="55.7109375" style="1" customWidth="1"/>
    <col min="14590" max="14590" width="7.7109375" style="1" bestFit="1" customWidth="1"/>
    <col min="14591" max="14591" width="13.42578125" style="1" bestFit="1" customWidth="1"/>
    <col min="14592" max="14595" width="14.28515625" style="1" bestFit="1" customWidth="1"/>
    <col min="14596" max="14596" width="12" style="1" bestFit="1" customWidth="1"/>
    <col min="14597" max="14597" width="12.28515625" style="1" bestFit="1" customWidth="1"/>
    <col min="14598" max="14598" width="10.28515625" style="1" customWidth="1"/>
    <col min="14599" max="14599" width="9.140625" style="1" customWidth="1"/>
    <col min="14600" max="14600" width="9.5703125" style="1" bestFit="1" customWidth="1"/>
    <col min="14601" max="14602" width="10.7109375" style="1" bestFit="1" customWidth="1"/>
    <col min="14603" max="14605" width="11.85546875" style="1" bestFit="1" customWidth="1"/>
    <col min="14606" max="14606" width="13.42578125" style="1" bestFit="1" customWidth="1"/>
    <col min="14607" max="14607" width="9.5703125" style="1" bestFit="1" customWidth="1"/>
    <col min="14608" max="14844" width="9.140625" style="1"/>
    <col min="14845" max="14845" width="55.7109375" style="1" customWidth="1"/>
    <col min="14846" max="14846" width="7.7109375" style="1" bestFit="1" customWidth="1"/>
    <col min="14847" max="14847" width="13.42578125" style="1" bestFit="1" customWidth="1"/>
    <col min="14848" max="14851" width="14.28515625" style="1" bestFit="1" customWidth="1"/>
    <col min="14852" max="14852" width="12" style="1" bestFit="1" customWidth="1"/>
    <col min="14853" max="14853" width="12.28515625" style="1" bestFit="1" customWidth="1"/>
    <col min="14854" max="14854" width="10.28515625" style="1" customWidth="1"/>
    <col min="14855" max="14855" width="9.140625" style="1" customWidth="1"/>
    <col min="14856" max="14856" width="9.5703125" style="1" bestFit="1" customWidth="1"/>
    <col min="14857" max="14858" width="10.7109375" style="1" bestFit="1" customWidth="1"/>
    <col min="14859" max="14861" width="11.85546875" style="1" bestFit="1" customWidth="1"/>
    <col min="14862" max="14862" width="13.42578125" style="1" bestFit="1" customWidth="1"/>
    <col min="14863" max="14863" width="9.5703125" style="1" bestFit="1" customWidth="1"/>
    <col min="14864" max="15100" width="9.140625" style="1"/>
    <col min="15101" max="15101" width="55.7109375" style="1" customWidth="1"/>
    <col min="15102" max="15102" width="7.7109375" style="1" bestFit="1" customWidth="1"/>
    <col min="15103" max="15103" width="13.42578125" style="1" bestFit="1" customWidth="1"/>
    <col min="15104" max="15107" width="14.28515625" style="1" bestFit="1" customWidth="1"/>
    <col min="15108" max="15108" width="12" style="1" bestFit="1" customWidth="1"/>
    <col min="15109" max="15109" width="12.28515625" style="1" bestFit="1" customWidth="1"/>
    <col min="15110" max="15110" width="10.28515625" style="1" customWidth="1"/>
    <col min="15111" max="15111" width="9.140625" style="1" customWidth="1"/>
    <col min="15112" max="15112" width="9.5703125" style="1" bestFit="1" customWidth="1"/>
    <col min="15113" max="15114" width="10.7109375" style="1" bestFit="1" customWidth="1"/>
    <col min="15115" max="15117" width="11.85546875" style="1" bestFit="1" customWidth="1"/>
    <col min="15118" max="15118" width="13.42578125" style="1" bestFit="1" customWidth="1"/>
    <col min="15119" max="15119" width="9.5703125" style="1" bestFit="1" customWidth="1"/>
    <col min="15120" max="15356" width="9.140625" style="1"/>
    <col min="15357" max="15357" width="55.7109375" style="1" customWidth="1"/>
    <col min="15358" max="15358" width="7.7109375" style="1" bestFit="1" customWidth="1"/>
    <col min="15359" max="15359" width="13.42578125" style="1" bestFit="1" customWidth="1"/>
    <col min="15360" max="15363" width="14.28515625" style="1" bestFit="1" customWidth="1"/>
    <col min="15364" max="15364" width="12" style="1" bestFit="1" customWidth="1"/>
    <col min="15365" max="15365" width="12.28515625" style="1" bestFit="1" customWidth="1"/>
    <col min="15366" max="15366" width="10.28515625" style="1" customWidth="1"/>
    <col min="15367" max="15367" width="9.140625" style="1" customWidth="1"/>
    <col min="15368" max="15368" width="9.5703125" style="1" bestFit="1" customWidth="1"/>
    <col min="15369" max="15370" width="10.7109375" style="1" bestFit="1" customWidth="1"/>
    <col min="15371" max="15373" width="11.85546875" style="1" bestFit="1" customWidth="1"/>
    <col min="15374" max="15374" width="13.42578125" style="1" bestFit="1" customWidth="1"/>
    <col min="15375" max="15375" width="9.5703125" style="1" bestFit="1" customWidth="1"/>
    <col min="15376" max="15612" width="9.140625" style="1"/>
    <col min="15613" max="15613" width="55.7109375" style="1" customWidth="1"/>
    <col min="15614" max="15614" width="7.7109375" style="1" bestFit="1" customWidth="1"/>
    <col min="15615" max="15615" width="13.42578125" style="1" bestFit="1" customWidth="1"/>
    <col min="15616" max="15619" width="14.28515625" style="1" bestFit="1" customWidth="1"/>
    <col min="15620" max="15620" width="12" style="1" bestFit="1" customWidth="1"/>
    <col min="15621" max="15621" width="12.28515625" style="1" bestFit="1" customWidth="1"/>
    <col min="15622" max="15622" width="10.28515625" style="1" customWidth="1"/>
    <col min="15623" max="15623" width="9.140625" style="1" customWidth="1"/>
    <col min="15624" max="15624" width="9.5703125" style="1" bestFit="1" customWidth="1"/>
    <col min="15625" max="15626" width="10.7109375" style="1" bestFit="1" customWidth="1"/>
    <col min="15627" max="15629" width="11.85546875" style="1" bestFit="1" customWidth="1"/>
    <col min="15630" max="15630" width="13.42578125" style="1" bestFit="1" customWidth="1"/>
    <col min="15631" max="15631" width="9.5703125" style="1" bestFit="1" customWidth="1"/>
    <col min="15632" max="15868" width="9.140625" style="1"/>
    <col min="15869" max="15869" width="55.7109375" style="1" customWidth="1"/>
    <col min="15870" max="15870" width="7.7109375" style="1" bestFit="1" customWidth="1"/>
    <col min="15871" max="15871" width="13.42578125" style="1" bestFit="1" customWidth="1"/>
    <col min="15872" max="15875" width="14.28515625" style="1" bestFit="1" customWidth="1"/>
    <col min="15876" max="15876" width="12" style="1" bestFit="1" customWidth="1"/>
    <col min="15877" max="15877" width="12.28515625" style="1" bestFit="1" customWidth="1"/>
    <col min="15878" max="15878" width="10.28515625" style="1" customWidth="1"/>
    <col min="15879" max="15879" width="9.140625" style="1" customWidth="1"/>
    <col min="15880" max="15880" width="9.5703125" style="1" bestFit="1" customWidth="1"/>
    <col min="15881" max="15882" width="10.7109375" style="1" bestFit="1" customWidth="1"/>
    <col min="15883" max="15885" width="11.85546875" style="1" bestFit="1" customWidth="1"/>
    <col min="15886" max="15886" width="13.42578125" style="1" bestFit="1" customWidth="1"/>
    <col min="15887" max="15887" width="9.5703125" style="1" bestFit="1" customWidth="1"/>
    <col min="15888" max="16124" width="9.140625" style="1"/>
    <col min="16125" max="16125" width="55.7109375" style="1" customWidth="1"/>
    <col min="16126" max="16126" width="7.7109375" style="1" bestFit="1" customWidth="1"/>
    <col min="16127" max="16127" width="13.42578125" style="1" bestFit="1" customWidth="1"/>
    <col min="16128" max="16131" width="14.28515625" style="1" bestFit="1" customWidth="1"/>
    <col min="16132" max="16132" width="12" style="1" bestFit="1" customWidth="1"/>
    <col min="16133" max="16133" width="12.28515625" style="1" bestFit="1" customWidth="1"/>
    <col min="16134" max="16134" width="10.28515625" style="1" customWidth="1"/>
    <col min="16135" max="16135" width="9.140625" style="1" customWidth="1"/>
    <col min="16136" max="16136" width="9.5703125" style="1" bestFit="1" customWidth="1"/>
    <col min="16137" max="16138" width="10.7109375" style="1" bestFit="1" customWidth="1"/>
    <col min="16139" max="16141" width="11.85546875" style="1" bestFit="1" customWidth="1"/>
    <col min="16142" max="16142" width="13.42578125" style="1" bestFit="1" customWidth="1"/>
    <col min="16143" max="16143" width="9.5703125" style="1" bestFit="1" customWidth="1"/>
    <col min="16144" max="16384" width="9.140625" style="1"/>
  </cols>
  <sheetData>
    <row r="1" spans="1:22" ht="15.75">
      <c r="A1" s="2468" t="str">
        <f>+COVER!A17</f>
        <v>Joliet Twp HSD 204</v>
      </c>
      <c r="B1" s="2468"/>
      <c r="C1" s="2468"/>
      <c r="D1" s="2468"/>
      <c r="E1" s="2468"/>
      <c r="F1" s="2468"/>
      <c r="G1" s="2468"/>
      <c r="H1" s="2468"/>
      <c r="I1" s="2468"/>
      <c r="J1" s="2468"/>
      <c r="K1" s="2468"/>
      <c r="L1" s="2468"/>
    </row>
    <row r="2" spans="1:22" ht="15.75">
      <c r="A2" s="2468">
        <f>+COVER!A13</f>
        <v>56099204017</v>
      </c>
      <c r="B2" s="2468"/>
      <c r="C2" s="2468"/>
      <c r="D2" s="2468"/>
      <c r="E2" s="2468"/>
      <c r="F2" s="2468"/>
      <c r="G2" s="2468"/>
      <c r="H2" s="2468"/>
      <c r="I2" s="2468"/>
      <c r="J2" s="2468"/>
      <c r="K2" s="2468"/>
      <c r="L2" s="2468"/>
      <c r="N2"/>
      <c r="O2"/>
      <c r="P2"/>
    </row>
    <row r="3" spans="1:22" ht="15">
      <c r="A3" s="2469" t="s">
        <v>2050</v>
      </c>
      <c r="B3" s="2469"/>
      <c r="C3" s="2469"/>
      <c r="D3" s="2469"/>
      <c r="E3" s="2469"/>
      <c r="F3" s="2469"/>
      <c r="G3" s="2469"/>
      <c r="H3" s="2469"/>
      <c r="I3" s="2469"/>
      <c r="J3" s="2469"/>
      <c r="K3" s="2469"/>
      <c r="L3" s="2469"/>
      <c r="N3"/>
      <c r="O3"/>
      <c r="P3"/>
    </row>
    <row r="4" spans="1:22" ht="15">
      <c r="A4" s="2469" t="s">
        <v>2084</v>
      </c>
      <c r="B4" s="2469"/>
      <c r="C4" s="2469"/>
      <c r="D4" s="2469"/>
      <c r="E4" s="2469"/>
      <c r="F4" s="2469"/>
      <c r="G4" s="2469"/>
      <c r="H4" s="2469"/>
      <c r="I4" s="2469"/>
      <c r="J4" s="2469"/>
      <c r="K4" s="2469"/>
      <c r="L4" s="2469"/>
      <c r="N4"/>
      <c r="O4"/>
      <c r="P4"/>
    </row>
    <row r="5" spans="1:22">
      <c r="N5"/>
      <c r="O5"/>
      <c r="P5"/>
    </row>
    <row r="6" spans="1:22">
      <c r="A6" s="1871"/>
      <c r="B6" s="1872"/>
      <c r="C6" s="1872"/>
      <c r="D6" s="2470" t="s">
        <v>526</v>
      </c>
      <c r="E6" s="2471"/>
      <c r="F6" s="2470" t="s">
        <v>2051</v>
      </c>
      <c r="G6" s="2472"/>
      <c r="H6" s="2472"/>
      <c r="I6" s="2471"/>
      <c r="J6" s="1873"/>
      <c r="K6" s="1873"/>
      <c r="L6" s="1874"/>
      <c r="N6"/>
      <c r="O6"/>
      <c r="P6"/>
    </row>
    <row r="7" spans="1:22">
      <c r="A7" s="1875" t="s">
        <v>2052</v>
      </c>
      <c r="B7" s="1876" t="s">
        <v>1261</v>
      </c>
      <c r="C7" s="1876" t="s">
        <v>1262</v>
      </c>
      <c r="D7" s="1877"/>
      <c r="E7" s="1878"/>
      <c r="F7" s="1877"/>
      <c r="G7" s="1878" t="s">
        <v>1259</v>
      </c>
      <c r="H7" s="1878"/>
      <c r="I7" s="1878" t="s">
        <v>1259</v>
      </c>
      <c r="J7" s="1879" t="s">
        <v>1258</v>
      </c>
      <c r="K7" s="1879" t="s">
        <v>2053</v>
      </c>
      <c r="L7" s="1880" t="s">
        <v>30</v>
      </c>
      <c r="N7"/>
      <c r="O7"/>
      <c r="P7"/>
    </row>
    <row r="8" spans="1:22">
      <c r="A8" s="1875" t="s">
        <v>1257</v>
      </c>
      <c r="B8" s="1876" t="s">
        <v>2054</v>
      </c>
      <c r="C8" s="1876" t="s">
        <v>1260</v>
      </c>
      <c r="D8" s="1879" t="s">
        <v>1259</v>
      </c>
      <c r="E8" s="1878" t="s">
        <v>1259</v>
      </c>
      <c r="F8" s="1879" t="s">
        <v>1259</v>
      </c>
      <c r="G8" s="1878" t="s">
        <v>1811</v>
      </c>
      <c r="H8" s="1879" t="s">
        <v>1259</v>
      </c>
      <c r="I8" s="1878" t="s">
        <v>1961</v>
      </c>
      <c r="J8" s="1879" t="s">
        <v>1256</v>
      </c>
      <c r="K8" s="1879" t="s">
        <v>1255</v>
      </c>
      <c r="L8" s="1880"/>
      <c r="N8" s="1881"/>
      <c r="O8" s="1881"/>
      <c r="P8" s="1881"/>
      <c r="Q8" s="1881"/>
      <c r="R8" s="1881"/>
      <c r="U8" s="1881"/>
    </row>
    <row r="9" spans="1:22">
      <c r="A9" s="1875" t="s">
        <v>1254</v>
      </c>
      <c r="B9" s="1876"/>
      <c r="C9" s="1876" t="s">
        <v>2055</v>
      </c>
      <c r="D9" s="1879" t="s">
        <v>1811</v>
      </c>
      <c r="E9" s="1878" t="s">
        <v>1961</v>
      </c>
      <c r="F9" s="1879" t="s">
        <v>1811</v>
      </c>
      <c r="G9" s="1879" t="s">
        <v>1578</v>
      </c>
      <c r="H9" s="1879" t="s">
        <v>1961</v>
      </c>
      <c r="I9" s="1879" t="s">
        <v>1578</v>
      </c>
      <c r="J9" s="1879"/>
      <c r="K9" s="1879" t="s">
        <v>1579</v>
      </c>
      <c r="L9" s="1880"/>
      <c r="N9" s="1881"/>
      <c r="O9" s="1881"/>
      <c r="P9" s="1881"/>
      <c r="Q9" s="1881"/>
      <c r="R9" s="1881"/>
      <c r="S9"/>
      <c r="U9" s="1881"/>
    </row>
    <row r="10" spans="1:22">
      <c r="A10" s="1882"/>
      <c r="B10" s="1883" t="s">
        <v>1253</v>
      </c>
      <c r="C10" s="1883" t="s">
        <v>1252</v>
      </c>
      <c r="D10" s="1884" t="s">
        <v>1251</v>
      </c>
      <c r="E10" s="1885" t="s">
        <v>1250</v>
      </c>
      <c r="F10" s="1884" t="s">
        <v>1249</v>
      </c>
      <c r="G10" s="1885" t="s">
        <v>1263</v>
      </c>
      <c r="H10" s="1884" t="s">
        <v>1248</v>
      </c>
      <c r="I10" s="1885" t="s">
        <v>1263</v>
      </c>
      <c r="J10" s="1884" t="s">
        <v>1247</v>
      </c>
      <c r="K10" s="1884" t="s">
        <v>1246</v>
      </c>
      <c r="L10" s="1886" t="s">
        <v>1245</v>
      </c>
      <c r="M10"/>
      <c r="N10" s="1881"/>
      <c r="O10" s="1881"/>
      <c r="P10" s="1881"/>
      <c r="Q10" s="1881"/>
      <c r="R10" s="1881"/>
      <c r="S10"/>
      <c r="U10" s="1881"/>
      <c r="V10"/>
    </row>
    <row r="11" spans="1:22">
      <c r="A11" s="1952" t="s">
        <v>2056</v>
      </c>
      <c r="B11" s="1883"/>
      <c r="C11" s="1883"/>
      <c r="D11" s="1884"/>
      <c r="E11" s="1885"/>
      <c r="F11" s="1884"/>
      <c r="G11" s="1885"/>
      <c r="H11" s="1884"/>
      <c r="I11" s="1885"/>
      <c r="J11" s="1884"/>
      <c r="K11" s="1884"/>
      <c r="L11" s="1886"/>
      <c r="M11"/>
      <c r="N11"/>
      <c r="O11"/>
      <c r="P11"/>
      <c r="Q11"/>
      <c r="R11"/>
      <c r="S11"/>
      <c r="T11"/>
      <c r="U11"/>
      <c r="V11"/>
    </row>
    <row r="12" spans="1:22">
      <c r="A12" s="1953" t="s">
        <v>2057</v>
      </c>
      <c r="B12" s="1883"/>
      <c r="C12" s="1883"/>
      <c r="D12" s="1884"/>
      <c r="E12" s="1885"/>
      <c r="F12" s="1884"/>
      <c r="G12" s="1885"/>
      <c r="H12" s="1884"/>
      <c r="I12" s="1885"/>
      <c r="J12" s="1884"/>
      <c r="K12" s="1884"/>
      <c r="L12" s="1886"/>
      <c r="M12"/>
      <c r="N12"/>
      <c r="O12"/>
      <c r="P12"/>
      <c r="Q12"/>
      <c r="R12"/>
      <c r="S12"/>
      <c r="T12"/>
      <c r="U12"/>
      <c r="V12"/>
    </row>
    <row r="13" spans="1:22" ht="13.15" customHeight="1">
      <c r="A13" s="1954" t="s">
        <v>2058</v>
      </c>
      <c r="B13" s="1883"/>
      <c r="C13" s="1883"/>
      <c r="D13" s="1884"/>
      <c r="E13" s="1885"/>
      <c r="F13" s="1884"/>
      <c r="G13" s="1885"/>
      <c r="H13" s="1884"/>
      <c r="I13" s="1885"/>
      <c r="J13" s="1884"/>
      <c r="K13" s="1884"/>
      <c r="L13" s="1886"/>
      <c r="M13"/>
      <c r="N13"/>
      <c r="O13"/>
      <c r="P13"/>
      <c r="Q13"/>
      <c r="R13"/>
      <c r="S13"/>
      <c r="T13"/>
      <c r="U13"/>
      <c r="V13"/>
    </row>
    <row r="14" spans="1:22">
      <c r="A14" s="1955" t="s">
        <v>1058</v>
      </c>
      <c r="B14" s="1883">
        <v>10.553000000000001</v>
      </c>
      <c r="C14" s="1883" t="s">
        <v>2061</v>
      </c>
      <c r="D14" s="1959">
        <v>145593</v>
      </c>
      <c r="E14" s="1959">
        <v>23241</v>
      </c>
      <c r="F14" s="1959">
        <v>145593</v>
      </c>
      <c r="G14" s="1959">
        <v>0</v>
      </c>
      <c r="H14" s="1959">
        <v>23241</v>
      </c>
      <c r="I14" s="1959">
        <v>0</v>
      </c>
      <c r="J14" s="1959">
        <v>0</v>
      </c>
      <c r="K14" s="1959">
        <f t="shared" ref="K14:K24" si="0">+J14+H14+F14</f>
        <v>168834</v>
      </c>
      <c r="L14" s="1960" t="s">
        <v>2059</v>
      </c>
      <c r="M14"/>
      <c r="N14"/>
      <c r="O14"/>
      <c r="P14"/>
      <c r="Q14"/>
      <c r="R14"/>
      <c r="T14"/>
      <c r="U14"/>
      <c r="V14"/>
    </row>
    <row r="15" spans="1:22">
      <c r="A15" s="1955" t="s">
        <v>1058</v>
      </c>
      <c r="B15" s="1883">
        <v>10.553000000000001</v>
      </c>
      <c r="C15" s="1883" t="s">
        <v>2137</v>
      </c>
      <c r="D15" s="1961">
        <v>0</v>
      </c>
      <c r="E15" s="1961">
        <v>157515</v>
      </c>
      <c r="F15" s="1961">
        <v>0</v>
      </c>
      <c r="G15" s="1961">
        <v>0</v>
      </c>
      <c r="H15" s="1961">
        <v>157515</v>
      </c>
      <c r="I15" s="1961">
        <v>0</v>
      </c>
      <c r="J15" s="1961">
        <v>0</v>
      </c>
      <c r="K15" s="1961">
        <f t="shared" si="0"/>
        <v>157515</v>
      </c>
      <c r="L15" s="1960" t="s">
        <v>2059</v>
      </c>
      <c r="M15"/>
      <c r="N15"/>
      <c r="O15"/>
      <c r="P15"/>
      <c r="Q15"/>
      <c r="R15"/>
      <c r="T15"/>
      <c r="U15"/>
      <c r="V15"/>
    </row>
    <row r="16" spans="1:22" s="1914" customFormat="1">
      <c r="A16" s="1956" t="s">
        <v>2062</v>
      </c>
      <c r="B16" s="1883"/>
      <c r="C16" s="1883"/>
      <c r="D16" s="1961">
        <f t="shared" ref="D16:J16" si="1">SUBTOTAL(109,D14:D15)</f>
        <v>145593</v>
      </c>
      <c r="E16" s="1961">
        <f t="shared" si="1"/>
        <v>180756</v>
      </c>
      <c r="F16" s="1961">
        <f t="shared" si="1"/>
        <v>145593</v>
      </c>
      <c r="G16" s="1961">
        <f t="shared" si="1"/>
        <v>0</v>
      </c>
      <c r="H16" s="1961">
        <f t="shared" si="1"/>
        <v>180756</v>
      </c>
      <c r="I16" s="1961">
        <f t="shared" si="1"/>
        <v>0</v>
      </c>
      <c r="J16" s="1961">
        <f t="shared" si="1"/>
        <v>0</v>
      </c>
      <c r="K16" s="1961">
        <f t="shared" si="0"/>
        <v>326349</v>
      </c>
      <c r="L16" s="1960" t="s">
        <v>2059</v>
      </c>
      <c r="M16" s="1913"/>
      <c r="N16"/>
      <c r="O16"/>
      <c r="P16"/>
      <c r="Q16" s="1913"/>
      <c r="R16" s="1913"/>
      <c r="T16" s="1913"/>
      <c r="U16" s="1913"/>
      <c r="V16" s="1913"/>
    </row>
    <row r="17" spans="1:24" s="1914" customFormat="1">
      <c r="A17" s="1955" t="s">
        <v>1057</v>
      </c>
      <c r="B17" s="1883">
        <v>10.555</v>
      </c>
      <c r="C17" s="1883" t="s">
        <v>2138</v>
      </c>
      <c r="D17" s="1961">
        <v>1074680</v>
      </c>
      <c r="E17" s="1961">
        <v>234600</v>
      </c>
      <c r="F17" s="1961">
        <v>1074680</v>
      </c>
      <c r="G17" s="1961">
        <v>0</v>
      </c>
      <c r="H17" s="1961">
        <v>234600</v>
      </c>
      <c r="I17" s="1961">
        <v>0</v>
      </c>
      <c r="J17" s="1961">
        <v>0</v>
      </c>
      <c r="K17" s="1961">
        <f t="shared" si="0"/>
        <v>1309280</v>
      </c>
      <c r="L17" s="1960" t="s">
        <v>2059</v>
      </c>
      <c r="M17" s="1913"/>
      <c r="N17"/>
      <c r="O17"/>
      <c r="P17"/>
      <c r="Q17" s="1913"/>
      <c r="R17" s="1913"/>
      <c r="T17" s="1913"/>
      <c r="U17" s="1913"/>
      <c r="V17" s="1913"/>
    </row>
    <row r="18" spans="1:24" s="1914" customFormat="1">
      <c r="A18" s="1955" t="s">
        <v>1057</v>
      </c>
      <c r="B18" s="1883">
        <v>10.555</v>
      </c>
      <c r="C18" s="1883" t="s">
        <v>2139</v>
      </c>
      <c r="D18" s="1961">
        <v>0</v>
      </c>
      <c r="E18" s="1961">
        <v>1056610</v>
      </c>
      <c r="F18" s="1961">
        <v>0</v>
      </c>
      <c r="G18" s="1961">
        <v>0</v>
      </c>
      <c r="H18" s="1961">
        <v>1056610</v>
      </c>
      <c r="I18" s="1961">
        <v>0</v>
      </c>
      <c r="J18" s="1961">
        <v>0</v>
      </c>
      <c r="K18" s="1961">
        <f t="shared" si="0"/>
        <v>1056610</v>
      </c>
      <c r="L18" s="1960" t="s">
        <v>2059</v>
      </c>
      <c r="M18" s="1913"/>
      <c r="N18"/>
      <c r="O18"/>
      <c r="P18"/>
      <c r="Q18" s="1913"/>
      <c r="R18" s="1913"/>
      <c r="T18" s="1913"/>
      <c r="U18" s="1913"/>
      <c r="V18" s="1913"/>
    </row>
    <row r="19" spans="1:24">
      <c r="A19" s="1957" t="s">
        <v>2188</v>
      </c>
      <c r="B19" s="1883">
        <v>10.555</v>
      </c>
      <c r="C19" s="1883">
        <v>2018</v>
      </c>
      <c r="D19" s="1961">
        <v>106884</v>
      </c>
      <c r="E19" s="1961">
        <v>0</v>
      </c>
      <c r="F19" s="1961">
        <v>106884</v>
      </c>
      <c r="G19" s="1961">
        <v>0</v>
      </c>
      <c r="H19" s="1961">
        <v>0</v>
      </c>
      <c r="I19" s="1961">
        <v>0</v>
      </c>
      <c r="J19" s="1961">
        <v>0</v>
      </c>
      <c r="K19" s="1961">
        <f t="shared" si="0"/>
        <v>106884</v>
      </c>
      <c r="L19" s="1960" t="s">
        <v>2059</v>
      </c>
      <c r="M19"/>
      <c r="N19"/>
      <c r="O19"/>
      <c r="P19"/>
      <c r="Q19"/>
      <c r="R19"/>
      <c r="T19"/>
      <c r="U19"/>
      <c r="V19"/>
    </row>
    <row r="20" spans="1:24">
      <c r="A20" s="1957" t="s">
        <v>2188</v>
      </c>
      <c r="B20" s="1883">
        <v>10.555</v>
      </c>
      <c r="C20" s="1883">
        <v>2019</v>
      </c>
      <c r="D20" s="1961">
        <v>0</v>
      </c>
      <c r="E20" s="1961">
        <v>105897</v>
      </c>
      <c r="F20" s="1961">
        <v>0</v>
      </c>
      <c r="G20" s="1961">
        <v>0</v>
      </c>
      <c r="H20" s="1961">
        <v>105897</v>
      </c>
      <c r="I20" s="1961">
        <v>0</v>
      </c>
      <c r="J20" s="1961">
        <v>0</v>
      </c>
      <c r="K20" s="1961">
        <f t="shared" si="0"/>
        <v>105897</v>
      </c>
      <c r="L20" s="1960" t="s">
        <v>2059</v>
      </c>
      <c r="M20"/>
      <c r="N20"/>
      <c r="O20"/>
      <c r="P20"/>
      <c r="Q20"/>
      <c r="R20"/>
      <c r="T20"/>
      <c r="U20"/>
      <c r="V20"/>
    </row>
    <row r="21" spans="1:24">
      <c r="A21" s="1957" t="s">
        <v>2189</v>
      </c>
      <c r="B21" s="1883">
        <v>10.555</v>
      </c>
      <c r="C21" s="1883">
        <v>2018</v>
      </c>
      <c r="D21" s="1961">
        <v>78986</v>
      </c>
      <c r="E21" s="1961">
        <v>0</v>
      </c>
      <c r="F21" s="1961">
        <v>78986</v>
      </c>
      <c r="G21" s="1961">
        <v>0</v>
      </c>
      <c r="H21" s="1961">
        <v>0</v>
      </c>
      <c r="I21" s="1961">
        <v>0</v>
      </c>
      <c r="J21" s="1961">
        <v>0</v>
      </c>
      <c r="K21" s="1961">
        <f t="shared" si="0"/>
        <v>78986</v>
      </c>
      <c r="L21" s="1960" t="s">
        <v>2059</v>
      </c>
      <c r="M21"/>
      <c r="N21"/>
      <c r="O21"/>
      <c r="P21"/>
      <c r="Q21"/>
      <c r="R21"/>
      <c r="T21"/>
      <c r="U21"/>
      <c r="V21"/>
    </row>
    <row r="22" spans="1:24">
      <c r="A22" s="1957" t="s">
        <v>2189</v>
      </c>
      <c r="B22" s="1883">
        <v>10.555</v>
      </c>
      <c r="C22" s="1883">
        <v>2019</v>
      </c>
      <c r="D22" s="1961">
        <v>0</v>
      </c>
      <c r="E22" s="1961">
        <v>72773</v>
      </c>
      <c r="F22" s="1961">
        <v>0</v>
      </c>
      <c r="G22" s="1961">
        <v>0</v>
      </c>
      <c r="H22" s="1961">
        <v>72773</v>
      </c>
      <c r="I22" s="1961">
        <v>0</v>
      </c>
      <c r="J22" s="1961">
        <v>0</v>
      </c>
      <c r="K22" s="1961">
        <f t="shared" si="0"/>
        <v>72773</v>
      </c>
      <c r="L22" s="1960" t="s">
        <v>2059</v>
      </c>
      <c r="M22"/>
      <c r="N22"/>
      <c r="O22"/>
      <c r="P22"/>
      <c r="Q22"/>
      <c r="R22"/>
      <c r="T22"/>
      <c r="U22"/>
      <c r="V22"/>
    </row>
    <row r="23" spans="1:24">
      <c r="A23" s="1956" t="s">
        <v>2060</v>
      </c>
      <c r="B23" s="1883"/>
      <c r="C23" s="1883"/>
      <c r="D23" s="1961">
        <f t="shared" ref="D23:J23" si="2">SUBTOTAL(109,D17:D22)</f>
        <v>1260550</v>
      </c>
      <c r="E23" s="1961">
        <f t="shared" si="2"/>
        <v>1469880</v>
      </c>
      <c r="F23" s="1961">
        <f t="shared" si="2"/>
        <v>1260550</v>
      </c>
      <c r="G23" s="1961">
        <f t="shared" si="2"/>
        <v>0</v>
      </c>
      <c r="H23" s="1961">
        <f t="shared" si="2"/>
        <v>1469880</v>
      </c>
      <c r="I23" s="1961">
        <f t="shared" si="2"/>
        <v>0</v>
      </c>
      <c r="J23" s="1961">
        <f t="shared" si="2"/>
        <v>0</v>
      </c>
      <c r="K23" s="1961">
        <f t="shared" si="0"/>
        <v>2730430</v>
      </c>
      <c r="L23" s="1960" t="s">
        <v>2059</v>
      </c>
      <c r="M23"/>
      <c r="N23"/>
      <c r="O23"/>
      <c r="P23"/>
      <c r="Q23"/>
      <c r="R23"/>
      <c r="T23"/>
      <c r="U23"/>
      <c r="V23"/>
    </row>
    <row r="24" spans="1:24">
      <c r="A24" s="1952" t="s">
        <v>2190</v>
      </c>
      <c r="B24" s="1883"/>
      <c r="C24" s="1883"/>
      <c r="D24" s="1961">
        <f t="shared" ref="D24:J24" si="3">SUBTOTAL(109,D14:D23)</f>
        <v>1406143</v>
      </c>
      <c r="E24" s="1961">
        <f t="shared" si="3"/>
        <v>1650636</v>
      </c>
      <c r="F24" s="1961">
        <f t="shared" si="3"/>
        <v>1406143</v>
      </c>
      <c r="G24" s="1961">
        <f t="shared" si="3"/>
        <v>0</v>
      </c>
      <c r="H24" s="1961">
        <f t="shared" si="3"/>
        <v>1650636</v>
      </c>
      <c r="I24" s="1961">
        <f t="shared" si="3"/>
        <v>0</v>
      </c>
      <c r="J24" s="1961">
        <f t="shared" si="3"/>
        <v>0</v>
      </c>
      <c r="K24" s="1961">
        <f t="shared" si="0"/>
        <v>3056779</v>
      </c>
      <c r="L24" s="1960" t="s">
        <v>2059</v>
      </c>
      <c r="M24"/>
      <c r="N24"/>
      <c r="O24"/>
      <c r="P24"/>
      <c r="Q24"/>
      <c r="R24"/>
      <c r="T24"/>
      <c r="U24"/>
      <c r="V24"/>
    </row>
    <row r="25" spans="1:24" ht="8.1" customHeight="1">
      <c r="A25" s="1882"/>
      <c r="B25" s="1883"/>
      <c r="C25" s="1883"/>
      <c r="D25" s="1961"/>
      <c r="E25" s="1961"/>
      <c r="F25" s="1961"/>
      <c r="G25" s="1961"/>
      <c r="H25" s="1961"/>
      <c r="I25" s="1961"/>
      <c r="J25" s="1961"/>
      <c r="K25" s="1961"/>
      <c r="L25" s="1960"/>
      <c r="M25"/>
      <c r="N25"/>
      <c r="O25"/>
      <c r="P25"/>
      <c r="Q25"/>
      <c r="R25"/>
      <c r="T25"/>
      <c r="U25"/>
      <c r="V25"/>
    </row>
    <row r="26" spans="1:24">
      <c r="A26" s="1952" t="s">
        <v>2063</v>
      </c>
      <c r="B26" s="1883"/>
      <c r="C26" s="1883"/>
      <c r="D26" s="1961"/>
      <c r="E26" s="1961"/>
      <c r="F26" s="1961"/>
      <c r="G26" s="1961"/>
      <c r="H26" s="1961"/>
      <c r="I26" s="1961"/>
      <c r="J26" s="1961"/>
      <c r="K26" s="1961"/>
      <c r="L26" s="1960"/>
      <c r="M26"/>
      <c r="N26"/>
      <c r="O26"/>
      <c r="P26"/>
      <c r="Q26"/>
      <c r="R26"/>
      <c r="T26"/>
      <c r="U26"/>
      <c r="V26"/>
      <c r="W26"/>
    </row>
    <row r="27" spans="1:24">
      <c r="A27" s="1953" t="s">
        <v>2057</v>
      </c>
      <c r="B27" s="1883"/>
      <c r="C27" s="1883"/>
      <c r="D27" s="1961"/>
      <c r="E27" s="1961"/>
      <c r="F27" s="1961"/>
      <c r="G27" s="1961"/>
      <c r="H27" s="1961"/>
      <c r="I27" s="1961"/>
      <c r="J27" s="1961"/>
      <c r="K27" s="1961"/>
      <c r="L27" s="1960"/>
      <c r="N27"/>
      <c r="O27"/>
      <c r="P27"/>
      <c r="Q27"/>
      <c r="R27"/>
      <c r="T27"/>
      <c r="U27"/>
      <c r="V27"/>
      <c r="W27"/>
    </row>
    <row r="28" spans="1:24">
      <c r="A28" s="1957" t="s">
        <v>2140</v>
      </c>
      <c r="B28" s="1883" t="s">
        <v>2141</v>
      </c>
      <c r="C28" s="1883" t="s">
        <v>2160</v>
      </c>
      <c r="D28" s="1961">
        <v>28643</v>
      </c>
      <c r="E28" s="1961">
        <v>0</v>
      </c>
      <c r="F28" s="1961">
        <v>28643</v>
      </c>
      <c r="G28" s="1961">
        <v>0</v>
      </c>
      <c r="H28" s="1961">
        <v>0</v>
      </c>
      <c r="I28" s="1961">
        <v>0</v>
      </c>
      <c r="J28" s="1961">
        <v>0</v>
      </c>
      <c r="K28" s="1961">
        <f t="shared" ref="K28:K41" si="4">+J28+H28+F28</f>
        <v>28643</v>
      </c>
      <c r="L28" s="1960">
        <v>34993</v>
      </c>
      <c r="N28"/>
      <c r="O28"/>
      <c r="P28"/>
      <c r="Q28" s="1887"/>
      <c r="R28" s="1887"/>
      <c r="T28" s="1887"/>
      <c r="U28"/>
      <c r="V28"/>
      <c r="W28"/>
    </row>
    <row r="29" spans="1:24">
      <c r="A29" s="1957" t="s">
        <v>2140</v>
      </c>
      <c r="B29" s="1883" t="s">
        <v>2141</v>
      </c>
      <c r="C29" s="1883" t="s">
        <v>2161</v>
      </c>
      <c r="D29" s="1961">
        <v>0</v>
      </c>
      <c r="E29" s="1961">
        <v>61669</v>
      </c>
      <c r="F29" s="1961">
        <v>0</v>
      </c>
      <c r="G29" s="1961">
        <v>0</v>
      </c>
      <c r="H29" s="1961">
        <v>61669</v>
      </c>
      <c r="I29" s="1961">
        <v>0</v>
      </c>
      <c r="J29" s="1961">
        <v>0</v>
      </c>
      <c r="K29" s="1961">
        <f t="shared" si="4"/>
        <v>61669</v>
      </c>
      <c r="L29" s="1960">
        <v>113521</v>
      </c>
      <c r="M29" s="1887"/>
      <c r="N29"/>
      <c r="O29"/>
      <c r="P29"/>
      <c r="Q29" s="1887"/>
      <c r="R29" s="1887"/>
      <c r="T29" s="1887"/>
      <c r="U29"/>
      <c r="V29"/>
      <c r="W29"/>
    </row>
    <row r="30" spans="1:24">
      <c r="A30" s="1956" t="s">
        <v>2142</v>
      </c>
      <c r="B30" s="1883"/>
      <c r="C30" s="1883"/>
      <c r="D30" s="1961">
        <f>SUBTOTAL(109,D28:D29)</f>
        <v>28643</v>
      </c>
      <c r="E30" s="1961">
        <f t="shared" ref="E30:L30" si="5">SUBTOTAL(109,E28:E29)</f>
        <v>61669</v>
      </c>
      <c r="F30" s="1961">
        <f t="shared" si="5"/>
        <v>28643</v>
      </c>
      <c r="G30" s="1961">
        <f t="shared" si="5"/>
        <v>0</v>
      </c>
      <c r="H30" s="1961">
        <f t="shared" si="5"/>
        <v>61669</v>
      </c>
      <c r="I30" s="1961">
        <f t="shared" si="5"/>
        <v>0</v>
      </c>
      <c r="J30" s="1961">
        <f t="shared" si="5"/>
        <v>0</v>
      </c>
      <c r="K30" s="1961">
        <f t="shared" si="4"/>
        <v>90312</v>
      </c>
      <c r="L30" s="1961">
        <f t="shared" si="5"/>
        <v>148514</v>
      </c>
      <c r="M30"/>
      <c r="N30"/>
      <c r="O30"/>
      <c r="P30"/>
      <c r="Q30" s="1887"/>
      <c r="R30" s="1887"/>
      <c r="T30" s="1887"/>
      <c r="U30"/>
      <c r="V30"/>
      <c r="W30"/>
    </row>
    <row r="31" spans="1:24">
      <c r="A31" s="1957" t="s">
        <v>2143</v>
      </c>
      <c r="B31" s="1883" t="s">
        <v>2067</v>
      </c>
      <c r="C31" s="1883" t="s">
        <v>2162</v>
      </c>
      <c r="D31" s="1961">
        <v>0</v>
      </c>
      <c r="E31" s="1961">
        <v>2470</v>
      </c>
      <c r="F31" s="1961">
        <v>0</v>
      </c>
      <c r="G31" s="1961">
        <v>0</v>
      </c>
      <c r="H31" s="1961">
        <v>2470</v>
      </c>
      <c r="I31" s="1961">
        <v>0</v>
      </c>
      <c r="J31" s="1961">
        <v>0</v>
      </c>
      <c r="K31" s="1961">
        <f t="shared" si="4"/>
        <v>2470</v>
      </c>
      <c r="L31" s="1960">
        <v>10350</v>
      </c>
      <c r="M31" s="1887"/>
      <c r="N31"/>
      <c r="O31"/>
      <c r="P31"/>
      <c r="Q31" s="1887"/>
      <c r="R31" s="1887"/>
      <c r="T31" s="1887"/>
      <c r="U31"/>
      <c r="V31"/>
      <c r="W31"/>
      <c r="X31"/>
    </row>
    <row r="32" spans="1:24" s="1914" customFormat="1">
      <c r="A32" s="1957" t="s">
        <v>2144</v>
      </c>
      <c r="B32" s="1883" t="s">
        <v>2067</v>
      </c>
      <c r="C32" s="1883" t="s">
        <v>2068</v>
      </c>
      <c r="D32" s="1961">
        <v>9053</v>
      </c>
      <c r="E32" s="1961">
        <v>4156</v>
      </c>
      <c r="F32" s="1961">
        <v>9053</v>
      </c>
      <c r="G32" s="1961">
        <v>0</v>
      </c>
      <c r="H32" s="1961">
        <v>4156</v>
      </c>
      <c r="I32" s="1961">
        <v>0</v>
      </c>
      <c r="J32" s="1961">
        <v>0</v>
      </c>
      <c r="K32" s="1961">
        <f t="shared" si="4"/>
        <v>13209</v>
      </c>
      <c r="L32" s="1960">
        <v>21499</v>
      </c>
      <c r="M32" s="1887"/>
      <c r="N32"/>
      <c r="O32"/>
      <c r="P32"/>
      <c r="Q32" s="1887"/>
      <c r="R32" s="1887"/>
      <c r="T32" s="1887"/>
      <c r="U32" s="1913"/>
      <c r="V32" s="1913"/>
      <c r="W32" s="1913"/>
      <c r="X32" s="1913"/>
    </row>
    <row r="33" spans="1:24" s="1914" customFormat="1">
      <c r="A33" s="1957" t="s">
        <v>2144</v>
      </c>
      <c r="B33" s="1883" t="s">
        <v>2067</v>
      </c>
      <c r="C33" s="1883" t="s">
        <v>2163</v>
      </c>
      <c r="D33" s="1961">
        <v>0</v>
      </c>
      <c r="E33" s="1961">
        <v>19340</v>
      </c>
      <c r="F33" s="1961">
        <v>0</v>
      </c>
      <c r="G33" s="1961">
        <v>0</v>
      </c>
      <c r="H33" s="1961">
        <v>19340</v>
      </c>
      <c r="I33" s="1961">
        <v>0</v>
      </c>
      <c r="J33" s="1961">
        <v>0</v>
      </c>
      <c r="K33" s="1961">
        <f t="shared" si="4"/>
        <v>19340</v>
      </c>
      <c r="L33" s="1960">
        <v>62289</v>
      </c>
      <c r="M33" s="1887"/>
      <c r="N33"/>
      <c r="O33"/>
      <c r="P33"/>
      <c r="Q33" s="1887"/>
      <c r="R33" s="1887"/>
      <c r="T33" s="1887"/>
      <c r="U33" s="1913"/>
      <c r="V33" s="1913"/>
      <c r="W33" s="1913"/>
      <c r="X33" s="1913"/>
    </row>
    <row r="34" spans="1:24">
      <c r="A34" s="1956" t="s">
        <v>2069</v>
      </c>
      <c r="B34" s="1883"/>
      <c r="C34" s="1883"/>
      <c r="D34" s="1961">
        <f>SUBTOTAL(109,D31:D33)</f>
        <v>9053</v>
      </c>
      <c r="E34" s="1961">
        <f t="shared" ref="E34:L34" si="6">SUBTOTAL(109,E31:E33)</f>
        <v>25966</v>
      </c>
      <c r="F34" s="1961">
        <f t="shared" si="6"/>
        <v>9053</v>
      </c>
      <c r="G34" s="1961">
        <f t="shared" si="6"/>
        <v>0</v>
      </c>
      <c r="H34" s="1961">
        <f t="shared" si="6"/>
        <v>25966</v>
      </c>
      <c r="I34" s="1961">
        <f t="shared" si="6"/>
        <v>0</v>
      </c>
      <c r="J34" s="1961">
        <f t="shared" si="6"/>
        <v>0</v>
      </c>
      <c r="K34" s="1961">
        <f t="shared" si="4"/>
        <v>35019</v>
      </c>
      <c r="L34" s="1961">
        <f t="shared" si="6"/>
        <v>94138</v>
      </c>
      <c r="M34"/>
      <c r="N34"/>
      <c r="O34"/>
      <c r="P34"/>
      <c r="Q34" s="1887"/>
      <c r="R34" s="1887"/>
      <c r="T34" s="1887"/>
      <c r="U34"/>
      <c r="V34"/>
      <c r="W34"/>
      <c r="X34"/>
    </row>
    <row r="35" spans="1:24">
      <c r="A35" s="1957" t="s">
        <v>757</v>
      </c>
      <c r="B35" s="1883" t="s">
        <v>2070</v>
      </c>
      <c r="C35" s="1883" t="s">
        <v>2071</v>
      </c>
      <c r="D35" s="1961">
        <v>247791</v>
      </c>
      <c r="E35" s="1961">
        <v>0</v>
      </c>
      <c r="F35" s="1961">
        <v>247791</v>
      </c>
      <c r="G35" s="1961">
        <v>0</v>
      </c>
      <c r="H35" s="1961">
        <v>0</v>
      </c>
      <c r="I35" s="1961">
        <v>0</v>
      </c>
      <c r="J35" s="1961">
        <v>0</v>
      </c>
      <c r="K35" s="1961">
        <f t="shared" si="4"/>
        <v>247791</v>
      </c>
      <c r="L35" s="1960">
        <v>274893</v>
      </c>
      <c r="M35"/>
      <c r="N35"/>
      <c r="O35"/>
      <c r="P35"/>
      <c r="Q35" s="1887"/>
      <c r="T35" s="1887"/>
      <c r="U35"/>
      <c r="V35"/>
      <c r="W35"/>
      <c r="X35"/>
    </row>
    <row r="36" spans="1:24">
      <c r="A36" s="1957" t="s">
        <v>757</v>
      </c>
      <c r="B36" s="1883" t="s">
        <v>2070</v>
      </c>
      <c r="C36" s="1883" t="s">
        <v>2164</v>
      </c>
      <c r="D36" s="1961">
        <v>0</v>
      </c>
      <c r="E36" s="1961">
        <v>199204</v>
      </c>
      <c r="F36" s="1961">
        <v>0</v>
      </c>
      <c r="G36" s="1961">
        <v>0</v>
      </c>
      <c r="H36" s="1961">
        <v>199204</v>
      </c>
      <c r="I36" s="1961">
        <v>0</v>
      </c>
      <c r="J36" s="1961">
        <v>0</v>
      </c>
      <c r="K36" s="1961">
        <f t="shared" si="4"/>
        <v>199204</v>
      </c>
      <c r="L36" s="1960">
        <v>254443</v>
      </c>
      <c r="M36" s="1887"/>
      <c r="N36"/>
      <c r="O36"/>
      <c r="P36"/>
      <c r="Q36" s="1887"/>
      <c r="T36" s="1887"/>
      <c r="U36"/>
      <c r="V36"/>
      <c r="W36"/>
      <c r="X36"/>
    </row>
    <row r="37" spans="1:24">
      <c r="A37" s="1956" t="s">
        <v>2072</v>
      </c>
      <c r="B37" s="1883"/>
      <c r="C37" s="1883"/>
      <c r="D37" s="1961">
        <f>SUBTOTAL(109,D35:D36)</f>
        <v>247791</v>
      </c>
      <c r="E37" s="1961">
        <f t="shared" ref="E37:L37" si="7">SUBTOTAL(109,E35:E36)</f>
        <v>199204</v>
      </c>
      <c r="F37" s="1961">
        <f t="shared" si="7"/>
        <v>247791</v>
      </c>
      <c r="G37" s="1961">
        <f t="shared" si="7"/>
        <v>0</v>
      </c>
      <c r="H37" s="1961">
        <f t="shared" si="7"/>
        <v>199204</v>
      </c>
      <c r="I37" s="1961">
        <f t="shared" si="7"/>
        <v>0</v>
      </c>
      <c r="J37" s="1961">
        <f t="shared" si="7"/>
        <v>0</v>
      </c>
      <c r="K37" s="1961">
        <f t="shared" si="4"/>
        <v>446995</v>
      </c>
      <c r="L37" s="1961">
        <f t="shared" si="7"/>
        <v>529336</v>
      </c>
      <c r="M37"/>
      <c r="Q37" s="1887"/>
      <c r="S37"/>
      <c r="T37" s="1887"/>
      <c r="U37"/>
      <c r="V37"/>
      <c r="W37"/>
      <c r="X37"/>
    </row>
    <row r="38" spans="1:24" s="1914" customFormat="1">
      <c r="A38" s="1957" t="s">
        <v>917</v>
      </c>
      <c r="B38" s="1883" t="s">
        <v>2064</v>
      </c>
      <c r="C38" s="1883" t="s">
        <v>2065</v>
      </c>
      <c r="D38" s="1961">
        <v>1791550</v>
      </c>
      <c r="E38" s="1961">
        <v>0</v>
      </c>
      <c r="F38" s="1961">
        <v>1791550</v>
      </c>
      <c r="G38" s="1961">
        <v>0</v>
      </c>
      <c r="H38" s="1961">
        <v>0</v>
      </c>
      <c r="I38" s="1961">
        <v>0</v>
      </c>
      <c r="J38" s="1961">
        <v>0</v>
      </c>
      <c r="K38" s="1961">
        <f t="shared" si="4"/>
        <v>1791550</v>
      </c>
      <c r="L38" s="1960">
        <v>2003909</v>
      </c>
      <c r="M38" s="1913"/>
      <c r="Q38" s="1887"/>
      <c r="S38"/>
      <c r="T38" s="1887"/>
      <c r="U38" s="1913"/>
      <c r="V38" s="1913"/>
      <c r="W38" s="1913"/>
      <c r="X38" s="1913"/>
    </row>
    <row r="39" spans="1:24" s="1914" customFormat="1">
      <c r="A39" s="1957" t="s">
        <v>2191</v>
      </c>
      <c r="B39" s="1883" t="s">
        <v>2064</v>
      </c>
      <c r="C39" s="1883" t="s">
        <v>2165</v>
      </c>
      <c r="D39" s="1961">
        <v>0</v>
      </c>
      <c r="E39" s="1961">
        <v>1501329</v>
      </c>
      <c r="F39" s="1961">
        <v>0</v>
      </c>
      <c r="G39" s="1961">
        <v>0</v>
      </c>
      <c r="H39" s="1961">
        <v>1519173</v>
      </c>
      <c r="I39" s="1961">
        <v>0</v>
      </c>
      <c r="J39" s="1961">
        <v>0</v>
      </c>
      <c r="K39" s="1961">
        <f t="shared" si="4"/>
        <v>1519173</v>
      </c>
      <c r="L39" s="1960">
        <v>1848283</v>
      </c>
      <c r="M39" s="1913"/>
      <c r="Q39" s="1887"/>
      <c r="S39" s="1913"/>
      <c r="T39" s="1887"/>
      <c r="U39" s="1913"/>
      <c r="V39" s="1913"/>
      <c r="W39" s="1913"/>
      <c r="X39" s="1913"/>
    </row>
    <row r="40" spans="1:24" s="1914" customFormat="1">
      <c r="A40" s="1957" t="s">
        <v>2167</v>
      </c>
      <c r="B40" s="1883" t="s">
        <v>2064</v>
      </c>
      <c r="C40" s="1883" t="s">
        <v>2166</v>
      </c>
      <c r="D40" s="1961">
        <v>0</v>
      </c>
      <c r="E40" s="1961">
        <v>10604</v>
      </c>
      <c r="F40" s="1961">
        <v>0</v>
      </c>
      <c r="G40" s="1961">
        <v>0</v>
      </c>
      <c r="H40" s="1961">
        <v>10604</v>
      </c>
      <c r="I40" s="1961">
        <v>0</v>
      </c>
      <c r="J40" s="1961">
        <v>0</v>
      </c>
      <c r="K40" s="1961">
        <f t="shared" si="4"/>
        <v>10604</v>
      </c>
      <c r="L40" s="1960">
        <v>18072</v>
      </c>
      <c r="M40" s="1913"/>
      <c r="Q40" s="1887"/>
      <c r="S40"/>
      <c r="T40" s="1887"/>
      <c r="U40" s="1913"/>
      <c r="V40" s="1913"/>
      <c r="W40" s="1913"/>
      <c r="X40" s="1913"/>
    </row>
    <row r="41" spans="1:24" s="1914" customFormat="1">
      <c r="A41" s="1956" t="s">
        <v>2066</v>
      </c>
      <c r="B41" s="1883"/>
      <c r="C41" s="1883"/>
      <c r="D41" s="1961">
        <f t="shared" ref="D41:L41" si="8">SUBTOTAL(109,D38:D40)</f>
        <v>1791550</v>
      </c>
      <c r="E41" s="1961">
        <f t="shared" si="8"/>
        <v>1511933</v>
      </c>
      <c r="F41" s="1961">
        <f t="shared" si="8"/>
        <v>1791550</v>
      </c>
      <c r="G41" s="1961">
        <f t="shared" si="8"/>
        <v>0</v>
      </c>
      <c r="H41" s="1961">
        <f t="shared" si="8"/>
        <v>1529777</v>
      </c>
      <c r="I41" s="1961">
        <f t="shared" si="8"/>
        <v>0</v>
      </c>
      <c r="J41" s="1961">
        <f t="shared" si="8"/>
        <v>0</v>
      </c>
      <c r="K41" s="1961">
        <f t="shared" si="4"/>
        <v>3321327</v>
      </c>
      <c r="L41" s="1961">
        <f t="shared" si="8"/>
        <v>3870264</v>
      </c>
      <c r="M41" s="1913"/>
      <c r="Q41" s="1887"/>
      <c r="S41"/>
      <c r="T41" s="1887"/>
      <c r="U41" s="1913"/>
      <c r="V41" s="1913"/>
      <c r="W41" s="1913"/>
      <c r="X41" s="1913"/>
    </row>
    <row r="42" spans="1:24">
      <c r="A42" s="1958" t="s">
        <v>2073</v>
      </c>
      <c r="B42" s="1883"/>
      <c r="C42" s="1883"/>
      <c r="D42" s="1961"/>
      <c r="E42" s="1961"/>
      <c r="F42" s="1961"/>
      <c r="G42" s="1961"/>
      <c r="H42" s="1961"/>
      <c r="I42" s="1961"/>
      <c r="J42" s="1961"/>
      <c r="K42" s="1961"/>
      <c r="L42" s="1960"/>
      <c r="M42"/>
      <c r="N42"/>
      <c r="O42"/>
      <c r="P42"/>
      <c r="Q42"/>
      <c r="R42"/>
      <c r="S42"/>
      <c r="T42"/>
      <c r="U42"/>
      <c r="V42"/>
      <c r="W42"/>
      <c r="X42"/>
    </row>
    <row r="43" spans="1:24">
      <c r="A43" s="1955" t="s">
        <v>2192</v>
      </c>
      <c r="B43" s="1883" t="s">
        <v>2074</v>
      </c>
      <c r="C43" s="1883" t="s">
        <v>2075</v>
      </c>
      <c r="D43" s="1961">
        <v>1526623</v>
      </c>
      <c r="E43" s="1961">
        <v>0</v>
      </c>
      <c r="F43" s="1961">
        <v>1526623</v>
      </c>
      <c r="G43" s="1961">
        <v>0</v>
      </c>
      <c r="H43" s="1961">
        <v>0</v>
      </c>
      <c r="I43" s="1961">
        <v>0</v>
      </c>
      <c r="J43" s="1961">
        <v>0</v>
      </c>
      <c r="K43" s="1961">
        <f t="shared" ref="K43:K47" si="9">+J43+H43+F43</f>
        <v>1526623</v>
      </c>
      <c r="L43" s="1960">
        <v>1725915</v>
      </c>
      <c r="M43"/>
      <c r="N43"/>
      <c r="O43"/>
      <c r="P43"/>
      <c r="Q43"/>
      <c r="R43"/>
      <c r="S43"/>
      <c r="T43"/>
      <c r="U43"/>
      <c r="V43"/>
      <c r="W43"/>
    </row>
    <row r="44" spans="1:24">
      <c r="A44" s="1955" t="s">
        <v>2157</v>
      </c>
      <c r="B44" s="1883" t="s">
        <v>2074</v>
      </c>
      <c r="C44" s="1883" t="s">
        <v>2168</v>
      </c>
      <c r="D44" s="1961">
        <v>0</v>
      </c>
      <c r="E44" s="1961">
        <v>1468744</v>
      </c>
      <c r="F44" s="1961">
        <v>0</v>
      </c>
      <c r="G44" s="1961">
        <v>0</v>
      </c>
      <c r="H44" s="1961">
        <v>1468744</v>
      </c>
      <c r="I44" s="1961">
        <v>0</v>
      </c>
      <c r="J44" s="1961">
        <v>0</v>
      </c>
      <c r="K44" s="1961">
        <f t="shared" si="9"/>
        <v>1468744</v>
      </c>
      <c r="L44" s="1960">
        <v>1739017</v>
      </c>
      <c r="M44" s="1887"/>
      <c r="N44" s="1887"/>
      <c r="O44" s="1887"/>
      <c r="P44"/>
      <c r="Q44"/>
      <c r="R44"/>
      <c r="S44"/>
      <c r="T44"/>
      <c r="U44"/>
      <c r="V44"/>
      <c r="W44"/>
    </row>
    <row r="45" spans="1:24" s="1914" customFormat="1">
      <c r="A45" s="1955" t="s">
        <v>2158</v>
      </c>
      <c r="B45" s="1883" t="s">
        <v>2074</v>
      </c>
      <c r="C45" s="1883" t="s">
        <v>2195</v>
      </c>
      <c r="D45" s="1961">
        <v>0</v>
      </c>
      <c r="E45" s="1961">
        <v>12452</v>
      </c>
      <c r="F45" s="1961">
        <v>0</v>
      </c>
      <c r="G45" s="1961">
        <v>0</v>
      </c>
      <c r="H45" s="1961">
        <v>12452</v>
      </c>
      <c r="I45" s="1961">
        <v>0</v>
      </c>
      <c r="J45" s="1961">
        <v>0</v>
      </c>
      <c r="K45" s="1961">
        <f t="shared" si="9"/>
        <v>12452</v>
      </c>
      <c r="L45" s="1960" t="s">
        <v>2059</v>
      </c>
      <c r="M45" s="1887"/>
      <c r="N45" s="1887"/>
      <c r="O45" s="1887"/>
      <c r="P45" s="1913"/>
      <c r="Q45" s="1913"/>
      <c r="R45" s="1913"/>
      <c r="S45"/>
      <c r="T45" s="1913"/>
      <c r="U45" s="1913"/>
      <c r="V45" s="1913"/>
      <c r="W45" s="1913"/>
    </row>
    <row r="46" spans="1:24">
      <c r="A46" s="1956" t="s">
        <v>2076</v>
      </c>
      <c r="B46" s="1883"/>
      <c r="C46" s="1883"/>
      <c r="D46" s="1961">
        <f t="shared" ref="D46" si="10">SUBTOTAL(109,D43:D45)</f>
        <v>1526623</v>
      </c>
      <c r="E46" s="1961">
        <f t="shared" ref="E46:J46" si="11">SUBTOTAL(109,E43:E45)</f>
        <v>1481196</v>
      </c>
      <c r="F46" s="1961">
        <f t="shared" si="11"/>
        <v>1526623</v>
      </c>
      <c r="G46" s="1961">
        <f t="shared" si="11"/>
        <v>0</v>
      </c>
      <c r="H46" s="1961">
        <f t="shared" si="11"/>
        <v>1481196</v>
      </c>
      <c r="I46" s="1961">
        <f t="shared" si="11"/>
        <v>0</v>
      </c>
      <c r="J46" s="1961">
        <f t="shared" si="11"/>
        <v>0</v>
      </c>
      <c r="K46" s="1961">
        <f t="shared" si="9"/>
        <v>3007819</v>
      </c>
      <c r="L46" s="1960" t="s">
        <v>2059</v>
      </c>
      <c r="M46"/>
      <c r="N46"/>
      <c r="O46"/>
      <c r="P46"/>
      <c r="Q46"/>
      <c r="R46"/>
      <c r="S46"/>
      <c r="T46"/>
      <c r="U46"/>
      <c r="V46"/>
      <c r="W46"/>
    </row>
    <row r="47" spans="1:24" s="1914" customFormat="1">
      <c r="A47" s="1955" t="s">
        <v>2145</v>
      </c>
      <c r="B47" s="1883"/>
      <c r="C47" s="1883"/>
      <c r="D47" s="1961">
        <f t="shared" ref="D47" si="12">SUBTOTAL(109,D28:D46)</f>
        <v>3603660</v>
      </c>
      <c r="E47" s="1961">
        <f t="shared" ref="E47:J47" si="13">SUBTOTAL(109,E28:E46)</f>
        <v>3279968</v>
      </c>
      <c r="F47" s="1961">
        <f t="shared" si="13"/>
        <v>3603660</v>
      </c>
      <c r="G47" s="1961">
        <f t="shared" si="13"/>
        <v>0</v>
      </c>
      <c r="H47" s="1961">
        <f t="shared" si="13"/>
        <v>3297812</v>
      </c>
      <c r="I47" s="1961">
        <f t="shared" si="13"/>
        <v>0</v>
      </c>
      <c r="J47" s="1961">
        <f t="shared" si="13"/>
        <v>0</v>
      </c>
      <c r="K47" s="1961">
        <f t="shared" si="9"/>
        <v>6901472</v>
      </c>
      <c r="L47" s="1960" t="s">
        <v>2059</v>
      </c>
      <c r="M47" s="1913"/>
      <c r="N47" s="1913"/>
      <c r="O47" s="1913"/>
      <c r="P47" s="1913"/>
      <c r="Q47" s="1913"/>
      <c r="R47" s="1913"/>
      <c r="S47"/>
      <c r="T47" s="1913"/>
      <c r="U47" s="1913"/>
      <c r="V47" s="1913"/>
      <c r="W47" s="1913"/>
    </row>
    <row r="48" spans="1:24" s="1914" customFormat="1">
      <c r="A48" s="1953" t="s">
        <v>2146</v>
      </c>
      <c r="B48" s="1883"/>
      <c r="C48" s="1883"/>
      <c r="D48" s="1961"/>
      <c r="E48" s="1961"/>
      <c r="F48" s="1961"/>
      <c r="G48" s="1961"/>
      <c r="H48" s="1961"/>
      <c r="I48" s="1961"/>
      <c r="J48" s="1961"/>
      <c r="K48" s="1961"/>
      <c r="L48" s="1960"/>
      <c r="M48" s="1913"/>
      <c r="N48" s="1913"/>
      <c r="O48" s="1913"/>
      <c r="P48" s="1913"/>
      <c r="Q48" s="1913"/>
      <c r="R48" s="1913"/>
      <c r="S48"/>
      <c r="T48" s="1913"/>
      <c r="U48" s="1913"/>
      <c r="V48" s="1913"/>
      <c r="W48" s="1913"/>
    </row>
    <row r="49" spans="1:23" s="1914" customFormat="1">
      <c r="A49" s="1957" t="s">
        <v>2147</v>
      </c>
      <c r="B49" s="1883" t="s">
        <v>2159</v>
      </c>
      <c r="C49" s="1883" t="s">
        <v>2169</v>
      </c>
      <c r="D49" s="1961">
        <v>236136</v>
      </c>
      <c r="E49" s="1961">
        <v>0</v>
      </c>
      <c r="F49" s="1961">
        <v>236136</v>
      </c>
      <c r="G49" s="1961">
        <v>0</v>
      </c>
      <c r="H49" s="1961">
        <v>0</v>
      </c>
      <c r="I49" s="1961">
        <v>0</v>
      </c>
      <c r="J49" s="1961">
        <v>0</v>
      </c>
      <c r="K49" s="1961">
        <f t="shared" ref="K49:K51" si="14">+J49+H49+F49</f>
        <v>236136</v>
      </c>
      <c r="L49" s="1960" t="s">
        <v>2059</v>
      </c>
      <c r="M49" s="1913"/>
      <c r="N49" s="1913"/>
      <c r="O49" s="1913"/>
      <c r="P49" s="1913"/>
      <c r="Q49" s="1913"/>
      <c r="R49" s="1913"/>
      <c r="S49"/>
      <c r="T49" s="1913"/>
      <c r="U49" s="1913"/>
      <c r="V49" s="1913"/>
      <c r="W49" s="1913"/>
    </row>
    <row r="50" spans="1:23">
      <c r="A50" s="1957" t="s">
        <v>2147</v>
      </c>
      <c r="B50" s="1883" t="s">
        <v>2159</v>
      </c>
      <c r="C50" s="1883" t="s">
        <v>2170</v>
      </c>
      <c r="D50" s="1961">
        <v>0</v>
      </c>
      <c r="E50" s="1961">
        <v>218070</v>
      </c>
      <c r="F50" s="1961">
        <v>0</v>
      </c>
      <c r="G50" s="1961">
        <v>0</v>
      </c>
      <c r="H50" s="1961">
        <v>218070</v>
      </c>
      <c r="I50" s="1961">
        <v>0</v>
      </c>
      <c r="J50" s="1961">
        <v>0</v>
      </c>
      <c r="K50" s="1961">
        <f t="shared" si="14"/>
        <v>218070</v>
      </c>
      <c r="L50" s="1960" t="s">
        <v>2059</v>
      </c>
      <c r="M50"/>
      <c r="N50"/>
      <c r="O50"/>
      <c r="P50"/>
      <c r="Q50"/>
      <c r="R50"/>
      <c r="S50"/>
      <c r="T50"/>
      <c r="U50"/>
      <c r="V50"/>
      <c r="W50"/>
    </row>
    <row r="51" spans="1:23" s="1914" customFormat="1">
      <c r="A51" s="1955" t="s">
        <v>2148</v>
      </c>
      <c r="B51" s="1883"/>
      <c r="C51" s="1883"/>
      <c r="D51" s="1961">
        <f t="shared" ref="D51:J51" si="15">SUBTOTAL(109,D49:D50)</f>
        <v>236136</v>
      </c>
      <c r="E51" s="1961">
        <f t="shared" si="15"/>
        <v>218070</v>
      </c>
      <c r="F51" s="1961">
        <f t="shared" si="15"/>
        <v>236136</v>
      </c>
      <c r="G51" s="1961">
        <f t="shared" si="15"/>
        <v>0</v>
      </c>
      <c r="H51" s="1961">
        <f t="shared" si="15"/>
        <v>218070</v>
      </c>
      <c r="I51" s="1961">
        <f t="shared" si="15"/>
        <v>0</v>
      </c>
      <c r="J51" s="1961">
        <f t="shared" si="15"/>
        <v>0</v>
      </c>
      <c r="K51" s="1961">
        <f t="shared" si="14"/>
        <v>454206</v>
      </c>
      <c r="L51" s="1960" t="s">
        <v>2059</v>
      </c>
      <c r="M51" s="1913"/>
      <c r="N51" s="1913"/>
      <c r="O51" s="1913"/>
      <c r="P51" s="1913"/>
      <c r="Q51" s="1913"/>
      <c r="R51" s="1913"/>
      <c r="S51"/>
      <c r="T51" s="1913"/>
      <c r="U51" s="1913"/>
      <c r="V51" s="1913"/>
      <c r="W51" s="1913"/>
    </row>
    <row r="52" spans="1:23" s="1914" customFormat="1">
      <c r="A52" s="1953" t="s">
        <v>2149</v>
      </c>
      <c r="B52" s="1883"/>
      <c r="C52" s="1883"/>
      <c r="D52" s="1961"/>
      <c r="E52" s="1961"/>
      <c r="F52" s="1961"/>
      <c r="G52" s="1961"/>
      <c r="H52" s="1961"/>
      <c r="I52" s="1961"/>
      <c r="J52" s="1961"/>
      <c r="K52" s="1961"/>
      <c r="L52" s="1960"/>
      <c r="M52" s="1913"/>
      <c r="N52" s="1913"/>
      <c r="O52" s="1913"/>
      <c r="P52" s="1913"/>
      <c r="Q52" s="1913"/>
      <c r="R52" s="1913"/>
      <c r="S52"/>
      <c r="T52" s="1913"/>
      <c r="U52" s="1913"/>
      <c r="V52" s="1913"/>
      <c r="W52" s="1913"/>
    </row>
    <row r="53" spans="1:23">
      <c r="A53" s="1957" t="s">
        <v>2150</v>
      </c>
      <c r="B53" s="1883">
        <v>84.126000000000005</v>
      </c>
      <c r="C53" s="1883" t="s">
        <v>2194</v>
      </c>
      <c r="D53" s="1961">
        <v>106834</v>
      </c>
      <c r="E53" s="1961">
        <v>0</v>
      </c>
      <c r="F53" s="1961">
        <v>106834</v>
      </c>
      <c r="G53" s="1961">
        <v>0</v>
      </c>
      <c r="H53" s="1961">
        <v>0</v>
      </c>
      <c r="I53" s="1961">
        <v>0</v>
      </c>
      <c r="J53" s="1961">
        <v>0</v>
      </c>
      <c r="K53" s="1961">
        <f t="shared" ref="K53:K56" si="16">+J53+H53+F53</f>
        <v>106834</v>
      </c>
      <c r="L53" s="1960" t="s">
        <v>2059</v>
      </c>
      <c r="M53" s="1887"/>
      <c r="N53" s="1887"/>
      <c r="O53" s="1887"/>
      <c r="P53"/>
      <c r="Q53"/>
      <c r="R53"/>
      <c r="S53"/>
      <c r="T53"/>
      <c r="U53"/>
      <c r="V53"/>
      <c r="W53"/>
    </row>
    <row r="54" spans="1:23">
      <c r="A54" s="1957" t="s">
        <v>2150</v>
      </c>
      <c r="B54" s="1883">
        <v>84.126000000000005</v>
      </c>
      <c r="C54" s="1883" t="s">
        <v>2193</v>
      </c>
      <c r="D54" s="1961">
        <v>0</v>
      </c>
      <c r="E54" s="1961">
        <v>123703</v>
      </c>
      <c r="F54" s="1961">
        <v>0</v>
      </c>
      <c r="G54" s="1961">
        <v>0</v>
      </c>
      <c r="H54" s="1961">
        <v>123703</v>
      </c>
      <c r="I54" s="1961">
        <v>0</v>
      </c>
      <c r="J54" s="1961">
        <v>0</v>
      </c>
      <c r="K54" s="1961">
        <f t="shared" si="16"/>
        <v>123703</v>
      </c>
      <c r="L54" s="1960" t="s">
        <v>2059</v>
      </c>
      <c r="M54"/>
      <c r="N54" s="1887"/>
      <c r="O54"/>
      <c r="P54"/>
      <c r="Q54"/>
      <c r="R54"/>
      <c r="S54"/>
      <c r="T54"/>
      <c r="U54"/>
      <c r="V54"/>
      <c r="W54"/>
    </row>
    <row r="55" spans="1:23">
      <c r="A55" s="1955" t="s">
        <v>2151</v>
      </c>
      <c r="B55" s="1883"/>
      <c r="C55" s="1883"/>
      <c r="D55" s="1961">
        <f>SUBTOTAL(109,D53:D54)</f>
        <v>106834</v>
      </c>
      <c r="E55" s="1961">
        <f t="shared" ref="E55:J55" si="17">SUBTOTAL(109,E53:E54)</f>
        <v>123703</v>
      </c>
      <c r="F55" s="1961">
        <f t="shared" si="17"/>
        <v>106834</v>
      </c>
      <c r="G55" s="1961">
        <f t="shared" si="17"/>
        <v>0</v>
      </c>
      <c r="H55" s="1961">
        <f t="shared" si="17"/>
        <v>123703</v>
      </c>
      <c r="I55" s="1961">
        <f t="shared" si="17"/>
        <v>0</v>
      </c>
      <c r="J55" s="1961">
        <f t="shared" si="17"/>
        <v>0</v>
      </c>
      <c r="K55" s="1961">
        <f t="shared" si="16"/>
        <v>230537</v>
      </c>
      <c r="L55" s="1960" t="s">
        <v>2059</v>
      </c>
      <c r="M55"/>
      <c r="N55"/>
      <c r="O55"/>
      <c r="P55"/>
      <c r="Q55"/>
      <c r="R55"/>
      <c r="S55"/>
      <c r="T55"/>
      <c r="U55"/>
      <c r="V55"/>
      <c r="W55"/>
    </row>
    <row r="56" spans="1:23">
      <c r="A56" s="1952" t="s">
        <v>2077</v>
      </c>
      <c r="B56" s="1883"/>
      <c r="C56" s="1883"/>
      <c r="D56" s="1961">
        <f t="shared" ref="D56" si="18">SUBTOTAL(109,D28:D55)</f>
        <v>3946630</v>
      </c>
      <c r="E56" s="1961">
        <f t="shared" ref="E56:J56" si="19">SUBTOTAL(109,E28:E55)</f>
        <v>3621741</v>
      </c>
      <c r="F56" s="1961">
        <f t="shared" si="19"/>
        <v>3946630</v>
      </c>
      <c r="G56" s="1961">
        <f t="shared" si="19"/>
        <v>0</v>
      </c>
      <c r="H56" s="1961">
        <f t="shared" si="19"/>
        <v>3639585</v>
      </c>
      <c r="I56" s="1961">
        <f t="shared" si="19"/>
        <v>0</v>
      </c>
      <c r="J56" s="1961">
        <f t="shared" si="19"/>
        <v>0</v>
      </c>
      <c r="K56" s="1961">
        <f t="shared" si="16"/>
        <v>7586215</v>
      </c>
      <c r="L56" s="1960" t="s">
        <v>2059</v>
      </c>
      <c r="M56"/>
      <c r="N56"/>
      <c r="O56"/>
      <c r="P56"/>
      <c r="Q56"/>
      <c r="R56"/>
      <c r="S56"/>
      <c r="T56"/>
      <c r="U56"/>
      <c r="V56"/>
      <c r="W56"/>
    </row>
    <row r="57" spans="1:23" ht="8.1" customHeight="1">
      <c r="A57" s="1882"/>
      <c r="B57" s="1883"/>
      <c r="C57" s="1883"/>
      <c r="D57" s="1961"/>
      <c r="E57" s="1961"/>
      <c r="F57" s="1961"/>
      <c r="G57" s="1961"/>
      <c r="H57" s="1961"/>
      <c r="I57" s="1961"/>
      <c r="J57" s="1961"/>
      <c r="K57" s="1961"/>
      <c r="L57" s="1960"/>
      <c r="S57"/>
    </row>
    <row r="58" spans="1:23">
      <c r="A58" s="1952" t="s">
        <v>2078</v>
      </c>
      <c r="B58" s="1883"/>
      <c r="C58" s="1883"/>
      <c r="D58" s="1961"/>
      <c r="E58" s="1961"/>
      <c r="F58" s="1961"/>
      <c r="G58" s="1961"/>
      <c r="H58" s="1961"/>
      <c r="I58" s="1961"/>
      <c r="J58" s="1961"/>
      <c r="K58" s="1961"/>
      <c r="L58" s="1960"/>
      <c r="M58"/>
      <c r="N58"/>
      <c r="O58"/>
      <c r="P58"/>
      <c r="Q58"/>
      <c r="R58"/>
      <c r="S58"/>
      <c r="T58"/>
      <c r="U58"/>
      <c r="V58"/>
    </row>
    <row r="59" spans="1:23">
      <c r="A59" s="1953" t="s">
        <v>2149</v>
      </c>
      <c r="B59" s="1883"/>
      <c r="C59" s="1883"/>
      <c r="D59" s="1961"/>
      <c r="E59" s="1961"/>
      <c r="F59" s="1961"/>
      <c r="G59" s="1961"/>
      <c r="H59" s="1961"/>
      <c r="I59" s="1961"/>
      <c r="J59" s="1961"/>
      <c r="K59" s="1961"/>
      <c r="L59" s="1960"/>
      <c r="M59"/>
      <c r="N59"/>
      <c r="O59"/>
      <c r="P59"/>
      <c r="Q59"/>
      <c r="R59"/>
      <c r="S59"/>
      <c r="T59"/>
      <c r="U59"/>
      <c r="V59"/>
    </row>
    <row r="60" spans="1:23">
      <c r="A60" s="1957" t="s">
        <v>2152</v>
      </c>
      <c r="B60" s="1883">
        <v>93.575000000000003</v>
      </c>
      <c r="C60" s="1883">
        <v>2018</v>
      </c>
      <c r="D60" s="1961">
        <v>55857</v>
      </c>
      <c r="E60" s="1961">
        <v>0</v>
      </c>
      <c r="F60" s="1961">
        <v>55857</v>
      </c>
      <c r="G60" s="1961">
        <v>0</v>
      </c>
      <c r="H60" s="1961">
        <v>0</v>
      </c>
      <c r="I60" s="1961">
        <v>0</v>
      </c>
      <c r="J60" s="1961">
        <v>0</v>
      </c>
      <c r="K60" s="1961">
        <f t="shared" ref="K60:K62" si="20">+J60+H60+F60</f>
        <v>55857</v>
      </c>
      <c r="L60" s="1960" t="s">
        <v>2059</v>
      </c>
      <c r="M60"/>
      <c r="N60"/>
      <c r="O60"/>
      <c r="P60"/>
      <c r="Q60"/>
      <c r="R60"/>
      <c r="S60"/>
      <c r="T60"/>
      <c r="U60"/>
      <c r="V60"/>
    </row>
    <row r="61" spans="1:23">
      <c r="A61" s="1957" t="s">
        <v>2152</v>
      </c>
      <c r="B61" s="1883">
        <v>93.575000000000003</v>
      </c>
      <c r="C61" s="1883">
        <v>2019</v>
      </c>
      <c r="D61" s="1961">
        <v>0</v>
      </c>
      <c r="E61" s="1961">
        <v>106090</v>
      </c>
      <c r="F61" s="1961">
        <v>0</v>
      </c>
      <c r="G61" s="1961">
        <v>0</v>
      </c>
      <c r="H61" s="1961">
        <v>106090</v>
      </c>
      <c r="I61" s="1961">
        <v>0</v>
      </c>
      <c r="J61" s="1961">
        <v>0</v>
      </c>
      <c r="K61" s="1961">
        <f t="shared" si="20"/>
        <v>106090</v>
      </c>
      <c r="L61" s="1960" t="s">
        <v>2059</v>
      </c>
      <c r="M61"/>
      <c r="N61"/>
      <c r="O61"/>
      <c r="P61"/>
      <c r="Q61"/>
      <c r="R61"/>
      <c r="S61"/>
      <c r="T61"/>
      <c r="U61"/>
      <c r="V61"/>
    </row>
    <row r="62" spans="1:23" s="1914" customFormat="1">
      <c r="A62" s="1956" t="s">
        <v>2153</v>
      </c>
      <c r="B62" s="1883"/>
      <c r="C62" s="1883"/>
      <c r="D62" s="1961">
        <f t="shared" ref="D62:J62" si="21">SUBTOTAL(109,D60:D61)</f>
        <v>55857</v>
      </c>
      <c r="E62" s="1961">
        <f t="shared" si="21"/>
        <v>106090</v>
      </c>
      <c r="F62" s="1961">
        <f t="shared" si="21"/>
        <v>55857</v>
      </c>
      <c r="G62" s="1961">
        <f t="shared" si="21"/>
        <v>0</v>
      </c>
      <c r="H62" s="1961">
        <f t="shared" si="21"/>
        <v>106090</v>
      </c>
      <c r="I62" s="1961">
        <f t="shared" si="21"/>
        <v>0</v>
      </c>
      <c r="J62" s="1961">
        <f t="shared" si="21"/>
        <v>0</v>
      </c>
      <c r="K62" s="1961">
        <f t="shared" si="20"/>
        <v>161947</v>
      </c>
      <c r="L62" s="1960" t="s">
        <v>2059</v>
      </c>
      <c r="M62" s="1913"/>
      <c r="N62" s="1913"/>
      <c r="O62" s="1913"/>
      <c r="P62" s="1913"/>
      <c r="Q62" s="1913"/>
      <c r="R62" s="1913"/>
      <c r="S62"/>
      <c r="T62" s="1913"/>
      <c r="U62" s="1913"/>
      <c r="V62" s="1913"/>
    </row>
    <row r="63" spans="1:23" s="1914" customFormat="1">
      <c r="A63" s="1953" t="s">
        <v>2154</v>
      </c>
      <c r="B63" s="1883"/>
      <c r="C63" s="1883"/>
      <c r="D63" s="1961"/>
      <c r="E63" s="1961"/>
      <c r="F63" s="1961"/>
      <c r="G63" s="1961"/>
      <c r="H63" s="1961"/>
      <c r="I63" s="1961"/>
      <c r="J63" s="1961"/>
      <c r="K63" s="1961"/>
      <c r="L63" s="1960"/>
      <c r="M63" s="1913"/>
      <c r="N63" s="1913"/>
      <c r="O63" s="1913"/>
      <c r="P63" s="1913"/>
      <c r="Q63" s="1913"/>
      <c r="R63" s="1913"/>
      <c r="S63"/>
      <c r="T63" s="1913"/>
      <c r="U63" s="1913"/>
      <c r="V63" s="1913"/>
    </row>
    <row r="64" spans="1:23" s="1914" customFormat="1">
      <c r="A64" s="1957" t="s">
        <v>2155</v>
      </c>
      <c r="B64" s="1883">
        <v>93.778000000000006</v>
      </c>
      <c r="C64" s="1883" t="s">
        <v>2079</v>
      </c>
      <c r="D64" s="1959">
        <v>30246</v>
      </c>
      <c r="E64" s="1959">
        <v>0</v>
      </c>
      <c r="F64" s="1959">
        <v>30246</v>
      </c>
      <c r="G64" s="1959">
        <v>0</v>
      </c>
      <c r="H64" s="1959">
        <v>0</v>
      </c>
      <c r="I64" s="1959">
        <v>0</v>
      </c>
      <c r="J64" s="1961">
        <v>0</v>
      </c>
      <c r="K64" s="1961">
        <f t="shared" ref="K64:K66" si="22">+J64+H64+F64</f>
        <v>30246</v>
      </c>
      <c r="L64" s="1960" t="s">
        <v>2059</v>
      </c>
      <c r="M64" s="1913"/>
      <c r="N64" s="1913"/>
      <c r="O64" s="1913"/>
      <c r="P64" s="1913"/>
      <c r="Q64" s="1913"/>
      <c r="R64" s="1913"/>
      <c r="S64"/>
      <c r="T64" s="1913"/>
      <c r="U64" s="1913"/>
      <c r="V64" s="1913"/>
    </row>
    <row r="65" spans="1:22" s="1914" customFormat="1">
      <c r="A65" s="1955" t="s">
        <v>2156</v>
      </c>
      <c r="B65" s="1883"/>
      <c r="C65" s="1883"/>
      <c r="D65" s="1961">
        <f t="shared" ref="D65" si="23">SUBTOTAL(109,D64:D64)</f>
        <v>30246</v>
      </c>
      <c r="E65" s="1961">
        <f t="shared" ref="E65:J65" si="24">SUBTOTAL(109,E64:E64)</f>
        <v>0</v>
      </c>
      <c r="F65" s="1961">
        <f t="shared" si="24"/>
        <v>30246</v>
      </c>
      <c r="G65" s="1961">
        <f t="shared" si="24"/>
        <v>0</v>
      </c>
      <c r="H65" s="1961">
        <f t="shared" si="24"/>
        <v>0</v>
      </c>
      <c r="I65" s="1961">
        <f t="shared" si="24"/>
        <v>0</v>
      </c>
      <c r="J65" s="1961">
        <f t="shared" si="24"/>
        <v>0</v>
      </c>
      <c r="K65" s="1961">
        <f t="shared" si="22"/>
        <v>30246</v>
      </c>
      <c r="L65" s="1960" t="s">
        <v>2059</v>
      </c>
      <c r="M65" s="1913"/>
      <c r="N65" s="1913"/>
      <c r="O65" s="1913"/>
      <c r="P65" s="1913"/>
      <c r="Q65" s="1913"/>
      <c r="R65" s="1913"/>
      <c r="S65"/>
      <c r="T65" s="1913"/>
      <c r="U65" s="1913"/>
      <c r="V65" s="1913"/>
    </row>
    <row r="66" spans="1:22">
      <c r="A66" s="1952" t="s">
        <v>2080</v>
      </c>
      <c r="B66" s="1883"/>
      <c r="C66" s="1883"/>
      <c r="D66" s="1961">
        <f t="shared" ref="D66" si="25">SUBTOTAL(109,D60:D65)</f>
        <v>86103</v>
      </c>
      <c r="E66" s="1961">
        <f t="shared" ref="E66:J66" si="26">SUBTOTAL(109,E60:E65)</f>
        <v>106090</v>
      </c>
      <c r="F66" s="1961">
        <f t="shared" si="26"/>
        <v>86103</v>
      </c>
      <c r="G66" s="1961">
        <f t="shared" si="26"/>
        <v>0</v>
      </c>
      <c r="H66" s="1961">
        <f t="shared" si="26"/>
        <v>106090</v>
      </c>
      <c r="I66" s="1961">
        <f t="shared" si="26"/>
        <v>0</v>
      </c>
      <c r="J66" s="1961">
        <f t="shared" si="26"/>
        <v>0</v>
      </c>
      <c r="K66" s="1961">
        <f t="shared" si="22"/>
        <v>192193</v>
      </c>
      <c r="L66" s="1960" t="s">
        <v>2059</v>
      </c>
      <c r="M66"/>
      <c r="N66"/>
      <c r="O66"/>
      <c r="P66"/>
      <c r="Q66"/>
      <c r="R66"/>
      <c r="S66"/>
      <c r="T66"/>
      <c r="U66"/>
      <c r="V66"/>
    </row>
    <row r="67" spans="1:22" ht="8.1" customHeight="1">
      <c r="A67" s="1888"/>
      <c r="B67" s="1889"/>
      <c r="C67" s="1890"/>
      <c r="D67" s="1961"/>
      <c r="E67" s="1961"/>
      <c r="F67" s="1961"/>
      <c r="G67" s="1961"/>
      <c r="H67" s="1961"/>
      <c r="I67" s="1961"/>
      <c r="J67" s="1961"/>
      <c r="K67" s="1961"/>
      <c r="L67" s="1962"/>
      <c r="S67"/>
    </row>
    <row r="68" spans="1:22">
      <c r="A68" s="1888" t="s">
        <v>2081</v>
      </c>
      <c r="B68" s="1889"/>
      <c r="C68" s="1890"/>
      <c r="D68" s="1959">
        <f t="shared" ref="D68:J68" si="27">SUBTOTAL(109,D14:D67)</f>
        <v>5438876</v>
      </c>
      <c r="E68" s="1959">
        <f t="shared" si="27"/>
        <v>5378467</v>
      </c>
      <c r="F68" s="1959">
        <f t="shared" si="27"/>
        <v>5438876</v>
      </c>
      <c r="G68" s="1959">
        <f t="shared" si="27"/>
        <v>0</v>
      </c>
      <c r="H68" s="1959">
        <f t="shared" si="27"/>
        <v>5396311</v>
      </c>
      <c r="I68" s="1959">
        <f t="shared" si="27"/>
        <v>0</v>
      </c>
      <c r="J68" s="1959">
        <f t="shared" si="27"/>
        <v>0</v>
      </c>
      <c r="K68" s="1959">
        <f t="shared" ref="K68" si="28">+J68+H68+F68</f>
        <v>10835187</v>
      </c>
      <c r="L68" s="1963" t="s">
        <v>2059</v>
      </c>
      <c r="S68"/>
    </row>
    <row r="69" spans="1:22">
      <c r="A69" s="1891"/>
      <c r="B69" s="1892"/>
      <c r="C69" s="1893"/>
      <c r="D69" s="1964"/>
      <c r="E69" s="1964"/>
      <c r="F69" s="1964"/>
      <c r="G69" s="1964"/>
      <c r="H69" s="1964"/>
      <c r="I69" s="1964"/>
      <c r="J69" s="1964"/>
      <c r="K69" s="1964"/>
      <c r="L69" s="1965"/>
      <c r="S69"/>
    </row>
    <row r="70" spans="1:22">
      <c r="A70" s="1" t="s">
        <v>2082</v>
      </c>
      <c r="L70" s="1894" t="s">
        <v>2083</v>
      </c>
      <c r="S70"/>
    </row>
    <row r="71" spans="1:22">
      <c r="S71"/>
    </row>
    <row r="72" spans="1:22">
      <c r="S72"/>
    </row>
  </sheetData>
  <sortState ref="N15:P36">
    <sortCondition ref="N15"/>
  </sortState>
  <mergeCells count="6">
    <mergeCell ref="A1:L1"/>
    <mergeCell ref="A2:L2"/>
    <mergeCell ref="A3:L3"/>
    <mergeCell ref="A4:L4"/>
    <mergeCell ref="D6:E6"/>
    <mergeCell ref="F6:I6"/>
  </mergeCells>
  <printOptions horizontalCentered="1"/>
  <pageMargins left="0.25" right="0.25" top="0.5" bottom="0.25" header="0.5" footer="0.25"/>
  <pageSetup scale="69" firstPageNumber="6" orientation="landscape" useFirstPageNumber="1" r:id="rId1"/>
  <headerFooter scaleWithDoc="0" alignWithMargins="0">
    <oddFooter>&amp;C&amp;P</oddFooter>
  </headerFooter>
  <rowBreaks count="1" manualBreakCount="1">
    <brk id="62"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pageSetUpPr fitToPage="1"/>
  </sheetPr>
  <dimension ref="A1:G52"/>
  <sheetViews>
    <sheetView showGridLines="0" topLeftCell="A28" zoomScale="120" zoomScaleNormal="120" workbookViewId="0">
      <selection activeCell="A33" sqref="A33"/>
    </sheetView>
  </sheetViews>
  <sheetFormatPr defaultColWidth="8" defaultRowHeight="12.75"/>
  <cols>
    <col min="1" max="1" width="1.42578125" style="317" customWidth="1"/>
    <col min="2" max="2" width="53.28515625" style="317" customWidth="1"/>
    <col min="3" max="3" width="14" style="1231" customWidth="1"/>
    <col min="4" max="4" width="16.7109375" style="1231" customWidth="1"/>
    <col min="5" max="5" width="7.5703125" style="317" customWidth="1"/>
    <col min="6" max="6" width="2.7109375" style="317" customWidth="1"/>
    <col min="7" max="7" width="3.28515625" style="317" customWidth="1"/>
    <col min="8" max="16384" width="8" style="317"/>
  </cols>
  <sheetData>
    <row r="1" spans="1:7" ht="13.5" customHeight="1">
      <c r="A1" s="2474" t="str">
        <f>'Single Audit Cover'!A7</f>
        <v>Joliet Twp HSD 204</v>
      </c>
      <c r="B1" s="2474"/>
      <c r="C1" s="2474"/>
      <c r="D1" s="2474"/>
      <c r="E1" s="2474"/>
      <c r="F1" s="2474"/>
    </row>
    <row r="2" spans="1:7" ht="13.5" customHeight="1">
      <c r="A2" s="2475">
        <f>'Single Audit Cover'!E7</f>
        <v>56099204017</v>
      </c>
      <c r="B2" s="2475"/>
      <c r="C2" s="2475"/>
      <c r="D2" s="2475"/>
      <c r="E2" s="2475"/>
      <c r="F2" s="2475"/>
      <c r="G2" s="1248"/>
    </row>
    <row r="3" spans="1:7" ht="15.75" customHeight="1">
      <c r="A3" s="2476" t="s">
        <v>1268</v>
      </c>
      <c r="B3" s="2476"/>
      <c r="C3" s="2476"/>
      <c r="D3" s="2476"/>
      <c r="E3" s="2476"/>
      <c r="F3" s="2476"/>
    </row>
    <row r="4" spans="1:7" ht="13.5" customHeight="1">
      <c r="A4" s="2477" t="str">
        <f>'Single Audit Cover'!A4</f>
        <v>Year Ending June 30, 2019</v>
      </c>
      <c r="B4" s="2477"/>
      <c r="C4" s="2477"/>
      <c r="D4" s="2477"/>
      <c r="E4" s="2477"/>
      <c r="F4" s="2477"/>
    </row>
    <row r="5" spans="1:7" ht="8.25" customHeight="1">
      <c r="C5" s="317"/>
      <c r="D5" s="317"/>
    </row>
    <row r="6" spans="1:7" ht="13.5" customHeight="1">
      <c r="A6" s="1249" t="s">
        <v>1721</v>
      </c>
      <c r="C6" s="317"/>
      <c r="D6" s="317"/>
    </row>
    <row r="7" spans="1:7" ht="60.95" customHeight="1">
      <c r="A7" s="2473" t="s">
        <v>2196</v>
      </c>
      <c r="B7" s="2473"/>
      <c r="C7" s="2473"/>
      <c r="D7" s="2473"/>
      <c r="E7" s="2473"/>
      <c r="F7" s="2473"/>
    </row>
    <row r="8" spans="1:7" ht="12" customHeight="1">
      <c r="A8" s="1249"/>
      <c r="B8" s="1255"/>
      <c r="C8" s="1255"/>
      <c r="D8" s="1255"/>
    </row>
    <row r="9" spans="1:7" ht="15" customHeight="1">
      <c r="A9" s="1250" t="s">
        <v>1722</v>
      </c>
      <c r="B9" s="1253"/>
      <c r="C9" s="1253"/>
      <c r="D9" s="1253"/>
      <c r="E9" s="1251"/>
      <c r="F9" s="1251"/>
      <c r="G9" s="1251"/>
    </row>
    <row r="10" spans="1:7" ht="15" customHeight="1">
      <c r="A10" s="1252" t="s">
        <v>1544</v>
      </c>
      <c r="B10" s="1253"/>
      <c r="C10" s="1254"/>
      <c r="D10" s="1253" t="s">
        <v>1545</v>
      </c>
      <c r="E10" s="1254" t="s">
        <v>2035</v>
      </c>
      <c r="F10" s="1253" t="s">
        <v>99</v>
      </c>
      <c r="G10" s="1251"/>
    </row>
    <row r="11" spans="1:7" ht="12" customHeight="1">
      <c r="A11" s="1252"/>
      <c r="B11" s="1253"/>
      <c r="C11" s="1808"/>
      <c r="D11" s="1253"/>
      <c r="E11" s="1808"/>
      <c r="F11" s="1253"/>
      <c r="G11" s="1251"/>
    </row>
    <row r="12" spans="1:7">
      <c r="A12" s="1249" t="s">
        <v>1580</v>
      </c>
      <c r="C12" s="1233"/>
      <c r="D12" s="1233"/>
    </row>
    <row r="13" spans="1:7" ht="15" customHeight="1">
      <c r="A13" s="2473" t="s">
        <v>2085</v>
      </c>
      <c r="B13" s="2473"/>
      <c r="C13" s="2473"/>
      <c r="D13" s="2473"/>
      <c r="E13" s="2473"/>
      <c r="F13" s="2473"/>
    </row>
    <row r="14" spans="1:7" ht="9.75" customHeight="1">
      <c r="C14" s="1233"/>
      <c r="D14" s="1233"/>
    </row>
    <row r="15" spans="1:7" ht="13.5" customHeight="1">
      <c r="C15" s="1752" t="s">
        <v>1267</v>
      </c>
      <c r="D15" s="2479" t="s">
        <v>1266</v>
      </c>
      <c r="E15" s="2479"/>
      <c r="F15" s="2479"/>
    </row>
    <row r="16" spans="1:7" ht="13.5" customHeight="1">
      <c r="A16" s="1255"/>
      <c r="B16" s="1249" t="s">
        <v>1265</v>
      </c>
      <c r="C16" s="1752" t="s">
        <v>1264</v>
      </c>
      <c r="D16" s="2480" t="s">
        <v>1581</v>
      </c>
      <c r="E16" s="2480"/>
      <c r="F16" s="2480"/>
    </row>
    <row r="17" spans="1:6" ht="20.45" customHeight="1">
      <c r="A17" s="1256"/>
      <c r="B17" s="1257" t="s">
        <v>2187</v>
      </c>
      <c r="C17" s="1258"/>
      <c r="D17" s="2478"/>
      <c r="E17" s="2478"/>
      <c r="F17" s="2478"/>
    </row>
    <row r="18" spans="1:6" ht="20.65" customHeight="1">
      <c r="A18" s="1256"/>
      <c r="B18" s="1257"/>
      <c r="C18" s="1258"/>
      <c r="D18" s="2478"/>
      <c r="E18" s="2478"/>
      <c r="F18" s="2478"/>
    </row>
    <row r="19" spans="1:6" ht="20.65" customHeight="1">
      <c r="A19" s="1256"/>
      <c r="B19" s="1257"/>
      <c r="C19" s="1258"/>
      <c r="D19" s="2478"/>
      <c r="E19" s="2478"/>
      <c r="F19" s="2478"/>
    </row>
    <row r="20" spans="1:6" ht="20.65" customHeight="1">
      <c r="A20" s="1256"/>
      <c r="B20" s="1257"/>
      <c r="C20" s="1258"/>
      <c r="D20" s="2478"/>
      <c r="E20" s="2478"/>
      <c r="F20" s="2478"/>
    </row>
    <row r="21" spans="1:6" ht="20.65" customHeight="1">
      <c r="A21" s="1256"/>
      <c r="B21" s="1257"/>
      <c r="C21" s="1258"/>
      <c r="D21" s="2478"/>
      <c r="E21" s="2478"/>
      <c r="F21" s="2478"/>
    </row>
    <row r="22" spans="1:6" ht="20.65" customHeight="1">
      <c r="A22" s="1256"/>
      <c r="B22" s="1257"/>
      <c r="C22" s="1258"/>
      <c r="D22" s="2478"/>
      <c r="E22" s="2478"/>
      <c r="F22" s="2478"/>
    </row>
    <row r="23" spans="1:6" ht="20.65" customHeight="1">
      <c r="A23" s="1256"/>
      <c r="B23" s="1257"/>
      <c r="C23" s="1258"/>
      <c r="D23" s="2478"/>
      <c r="E23" s="2478"/>
      <c r="F23" s="2478"/>
    </row>
    <row r="24" spans="1:6" ht="20.65" customHeight="1">
      <c r="A24" s="1256"/>
      <c r="B24" s="1257"/>
      <c r="C24" s="1258"/>
      <c r="D24" s="2478"/>
      <c r="E24" s="2478"/>
      <c r="F24" s="2478"/>
    </row>
    <row r="25" spans="1:6" ht="20.65" customHeight="1">
      <c r="A25" s="1256"/>
      <c r="B25" s="1257"/>
      <c r="C25" s="1258"/>
      <c r="D25" s="2478"/>
      <c r="E25" s="2478"/>
      <c r="F25" s="2478"/>
    </row>
    <row r="26" spans="1:6" ht="20.65" customHeight="1">
      <c r="A26" s="1256"/>
      <c r="B26" s="1257"/>
      <c r="C26" s="1258"/>
      <c r="D26" s="2478"/>
      <c r="E26" s="2478"/>
      <c r="F26" s="2478"/>
    </row>
    <row r="27" spans="1:6" ht="20.65" customHeight="1">
      <c r="A27" s="1256"/>
      <c r="B27" s="1257"/>
      <c r="C27" s="1258"/>
      <c r="D27" s="2478"/>
      <c r="E27" s="2478"/>
      <c r="F27" s="2478"/>
    </row>
    <row r="28" spans="1:6" ht="20.65" customHeight="1">
      <c r="A28" s="1256"/>
      <c r="B28" s="1257"/>
      <c r="C28" s="1258"/>
      <c r="D28" s="2478"/>
      <c r="E28" s="2478"/>
      <c r="F28" s="2478"/>
    </row>
    <row r="29" spans="1:6" ht="20.65" customHeight="1">
      <c r="A29" s="1256"/>
      <c r="B29" s="1257"/>
      <c r="C29" s="1258"/>
      <c r="D29" s="2478"/>
      <c r="E29" s="2478"/>
      <c r="F29" s="2478"/>
    </row>
    <row r="30" spans="1:6" ht="12" customHeight="1">
      <c r="A30" s="328"/>
      <c r="B30" s="328"/>
      <c r="C30" s="1371"/>
      <c r="D30" s="1809"/>
      <c r="E30" s="1259"/>
    </row>
    <row r="31" spans="1:6" ht="12" customHeight="1">
      <c r="A31" s="1260" t="s">
        <v>1546</v>
      </c>
      <c r="B31" s="328"/>
      <c r="C31" s="1371"/>
      <c r="D31" s="1809"/>
      <c r="E31" s="1259"/>
    </row>
    <row r="32" spans="1:6" ht="30" customHeight="1">
      <c r="A32" s="2482" t="s">
        <v>2197</v>
      </c>
      <c r="B32" s="2482"/>
      <c r="C32" s="2482"/>
      <c r="D32" s="2482"/>
      <c r="E32" s="2482"/>
      <c r="F32" s="2482"/>
    </row>
    <row r="33" spans="1:6" ht="13.5" customHeight="1">
      <c r="A33" s="328" t="s">
        <v>1431</v>
      </c>
      <c r="B33" s="328"/>
      <c r="C33" s="1261">
        <v>105897</v>
      </c>
      <c r="D33" s="1809"/>
      <c r="E33" s="1259"/>
    </row>
    <row r="34" spans="1:6" ht="13.5" customHeight="1">
      <c r="A34" s="328" t="s">
        <v>1810</v>
      </c>
      <c r="B34" s="328"/>
      <c r="C34" s="1262">
        <v>72773</v>
      </c>
      <c r="D34" s="1809" t="s">
        <v>1582</v>
      </c>
      <c r="E34" s="2483">
        <f>+C33+C34</f>
        <v>178670</v>
      </c>
      <c r="F34" s="2484"/>
    </row>
    <row r="35" spans="1:6" ht="12" customHeight="1">
      <c r="A35" s="328"/>
      <c r="B35" s="328"/>
      <c r="C35" s="1810"/>
      <c r="D35" s="1809"/>
      <c r="E35" s="1263"/>
      <c r="F35" s="1264"/>
    </row>
    <row r="36" spans="1:6" ht="13.5" customHeight="1">
      <c r="A36" s="1260" t="s">
        <v>1547</v>
      </c>
      <c r="B36" s="328"/>
      <c r="C36" s="1371"/>
      <c r="D36" s="1809"/>
      <c r="E36" s="1259"/>
    </row>
    <row r="37" spans="1:6" ht="14.25" customHeight="1">
      <c r="A37" s="328" t="s">
        <v>1481</v>
      </c>
      <c r="B37" s="328"/>
      <c r="C37" s="1811"/>
      <c r="D37" s="1809"/>
      <c r="E37" s="1259"/>
    </row>
    <row r="38" spans="1:6" ht="14.25" customHeight="1">
      <c r="A38" s="328"/>
      <c r="B38" s="328" t="s">
        <v>1432</v>
      </c>
      <c r="C38" s="1265">
        <v>0</v>
      </c>
      <c r="D38" s="1809"/>
      <c r="E38" s="1259"/>
    </row>
    <row r="39" spans="1:6" ht="14.25" customHeight="1">
      <c r="A39" s="328"/>
      <c r="B39" s="328" t="s">
        <v>1433</v>
      </c>
      <c r="C39" s="1265">
        <v>0</v>
      </c>
      <c r="D39" s="1809"/>
      <c r="E39" s="1259"/>
    </row>
    <row r="40" spans="1:6" ht="14.25" customHeight="1">
      <c r="A40" s="328"/>
      <c r="B40" s="328" t="s">
        <v>1434</v>
      </c>
      <c r="C40" s="1265">
        <v>0</v>
      </c>
      <c r="D40" s="1809"/>
      <c r="E40" s="1259"/>
    </row>
    <row r="41" spans="1:6" ht="14.25" customHeight="1">
      <c r="A41" s="328"/>
      <c r="B41" s="328" t="s">
        <v>1435</v>
      </c>
      <c r="C41" s="1265">
        <v>0</v>
      </c>
      <c r="D41" s="1809"/>
      <c r="E41" s="1259"/>
    </row>
    <row r="42" spans="1:6" ht="14.25" customHeight="1">
      <c r="A42" s="328" t="s">
        <v>1436</v>
      </c>
      <c r="B42" s="328"/>
      <c r="C42" s="1807">
        <v>0</v>
      </c>
      <c r="D42" s="1809"/>
      <c r="E42" s="1259"/>
    </row>
    <row r="43" spans="1:6" ht="14.25" customHeight="1">
      <c r="A43" s="328" t="s">
        <v>1437</v>
      </c>
      <c r="B43" s="328"/>
      <c r="C43" s="1266" t="s">
        <v>382</v>
      </c>
      <c r="D43" s="1809"/>
      <c r="E43" s="1259"/>
    </row>
    <row r="44" spans="1:6" ht="14.25" customHeight="1">
      <c r="A44" s="328"/>
      <c r="B44" s="328"/>
      <c r="C44" s="1811" t="s">
        <v>1438</v>
      </c>
      <c r="D44" s="1809"/>
      <c r="E44" s="1259"/>
    </row>
    <row r="45" spans="1:6" ht="13.5" customHeight="1">
      <c r="B45" s="322"/>
      <c r="C45" s="1267"/>
      <c r="D45" s="1267"/>
    </row>
    <row r="46" spans="1:6">
      <c r="A46" s="1268" t="s">
        <v>1723</v>
      </c>
      <c r="C46" s="317"/>
      <c r="D46" s="317"/>
    </row>
    <row r="47" spans="1:6" s="322" customFormat="1" ht="11.25" customHeight="1">
      <c r="A47" s="1269"/>
      <c r="B47" s="1270"/>
      <c r="C47" s="1270"/>
      <c r="D47" s="1270"/>
      <c r="E47" s="1270"/>
      <c r="F47" s="1270"/>
    </row>
    <row r="48" spans="1:6" s="322" customFormat="1" ht="6" customHeight="1">
      <c r="A48" s="1271"/>
    </row>
    <row r="49" spans="1:5" s="1273" customFormat="1" ht="23.25" customHeight="1">
      <c r="A49" s="1272">
        <v>5</v>
      </c>
      <c r="B49" s="2485" t="s">
        <v>1583</v>
      </c>
      <c r="C49" s="2485"/>
      <c r="D49" s="2485"/>
      <c r="E49" s="1305"/>
    </row>
    <row r="50" spans="1:5" s="1273" customFormat="1" ht="3.75" customHeight="1">
      <c r="A50" s="1272"/>
      <c r="B50" s="1751"/>
      <c r="C50" s="1751"/>
      <c r="D50" s="1751"/>
      <c r="E50" s="1305"/>
    </row>
    <row r="51" spans="1:5" s="1273" customFormat="1" ht="20.25" customHeight="1">
      <c r="A51" s="1274">
        <v>6</v>
      </c>
      <c r="B51" s="2481" t="s">
        <v>1548</v>
      </c>
      <c r="C51" s="2481"/>
      <c r="D51" s="2481"/>
    </row>
    <row r="52" spans="1:5" ht="14.25" customHeight="1">
      <c r="A52" s="1274"/>
      <c r="B52" s="2481"/>
      <c r="C52" s="2481"/>
      <c r="D52" s="248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colorId="8" zoomScale="110" zoomScaleNormal="110" workbookViewId="0">
      <selection activeCell="A4" sqref="A4:F4"/>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82" t="s">
        <v>1167</v>
      </c>
      <c r="B2" s="2082"/>
      <c r="C2" s="2082"/>
      <c r="D2" s="2082"/>
      <c r="E2" s="2082"/>
      <c r="F2" s="2082"/>
      <c r="G2" s="2082"/>
      <c r="H2" s="2082"/>
      <c r="I2" s="2082"/>
      <c r="J2" s="2082"/>
    </row>
    <row r="3" spans="1:11" s="181" customFormat="1" ht="17.25" customHeight="1">
      <c r="A3" s="207"/>
      <c r="B3" s="207"/>
      <c r="C3" s="208"/>
      <c r="D3" s="209"/>
      <c r="E3" s="210"/>
    </row>
    <row r="4" spans="1:11">
      <c r="A4" s="344" t="s">
        <v>1630</v>
      </c>
      <c r="B4" s="344"/>
      <c r="C4" s="344"/>
      <c r="D4" s="344"/>
      <c r="E4" s="344"/>
      <c r="F4" s="344"/>
      <c r="G4" s="344"/>
      <c r="H4" s="344"/>
      <c r="I4" s="344"/>
      <c r="J4" s="344"/>
      <c r="K4" s="344"/>
    </row>
    <row r="5" spans="1:11">
      <c r="A5" s="237" t="s">
        <v>1631</v>
      </c>
      <c r="B5" s="344"/>
      <c r="C5" s="344"/>
      <c r="D5" s="344"/>
      <c r="E5" s="344"/>
      <c r="F5" s="344"/>
      <c r="G5" s="344"/>
      <c r="H5" s="344"/>
      <c r="I5" s="344"/>
      <c r="J5" s="344"/>
      <c r="K5" s="344"/>
    </row>
    <row r="6" spans="1:11" ht="16.5" customHeight="1">
      <c r="A6" s="211"/>
      <c r="B6" s="212"/>
      <c r="C6" s="213"/>
      <c r="D6" s="212"/>
    </row>
    <row r="7" spans="1:11" ht="15" customHeight="1">
      <c r="A7" s="214" t="s">
        <v>838</v>
      </c>
      <c r="B7" s="212"/>
      <c r="C7" s="213"/>
      <c r="D7" s="215"/>
    </row>
    <row r="8" spans="1:11">
      <c r="A8" s="216"/>
      <c r="B8" s="217"/>
      <c r="D8" s="218"/>
    </row>
    <row r="9" spans="1:11" s="181" customFormat="1">
      <c r="A9" s="219"/>
      <c r="B9" s="220"/>
      <c r="C9" s="179">
        <v>1</v>
      </c>
      <c r="D9" s="221" t="s">
        <v>1555</v>
      </c>
    </row>
    <row r="10" spans="1:11" s="181" customFormat="1">
      <c r="A10" s="222"/>
      <c r="B10" s="223"/>
      <c r="C10" s="224"/>
      <c r="D10" s="225" t="s">
        <v>1617</v>
      </c>
    </row>
    <row r="11" spans="1:11" s="181" customFormat="1">
      <c r="A11" s="219"/>
      <c r="B11" s="226"/>
      <c r="C11" s="227">
        <v>2</v>
      </c>
      <c r="D11" s="228" t="s">
        <v>1618</v>
      </c>
    </row>
    <row r="12" spans="1:11" s="181" customFormat="1" hidden="1">
      <c r="A12" s="219"/>
      <c r="B12" s="229"/>
      <c r="C12" s="227"/>
      <c r="D12" s="230"/>
    </row>
    <row r="13" spans="1:11" s="181" customFormat="1">
      <c r="A13" s="219"/>
      <c r="B13" s="226"/>
      <c r="C13" s="227">
        <v>3</v>
      </c>
      <c r="D13" s="228" t="s">
        <v>1619</v>
      </c>
    </row>
    <row r="14" spans="1:11" s="181" customFormat="1">
      <c r="A14" s="219"/>
      <c r="B14" s="226"/>
      <c r="C14" s="227">
        <v>4</v>
      </c>
      <c r="D14" s="228" t="s">
        <v>1620</v>
      </c>
    </row>
    <row r="15" spans="1:11" s="181" customFormat="1">
      <c r="A15" s="219"/>
      <c r="B15" s="226"/>
      <c r="C15" s="227">
        <v>5</v>
      </c>
      <c r="D15" s="231" t="s">
        <v>968</v>
      </c>
    </row>
    <row r="16" spans="1:11" s="181" customFormat="1">
      <c r="A16" s="219"/>
      <c r="B16" s="226"/>
      <c r="C16" s="227">
        <v>6</v>
      </c>
      <c r="D16" s="231" t="s">
        <v>1456</v>
      </c>
    </row>
    <row r="17" spans="1:4" s="181" customFormat="1" ht="6" hidden="1" customHeight="1">
      <c r="A17" s="219"/>
      <c r="B17" s="229"/>
      <c r="C17" s="227"/>
      <c r="D17" s="232"/>
    </row>
    <row r="18" spans="1:4" s="181" customFormat="1" ht="12" customHeight="1">
      <c r="A18" s="219"/>
      <c r="B18" s="226"/>
      <c r="C18" s="227">
        <v>7</v>
      </c>
      <c r="D18" s="231" t="s">
        <v>1455</v>
      </c>
    </row>
    <row r="19" spans="1:4" s="181" customFormat="1" hidden="1">
      <c r="A19" s="219"/>
      <c r="B19" s="229"/>
      <c r="C19" s="227"/>
      <c r="D19" s="232"/>
    </row>
    <row r="20" spans="1:4" s="181" customFormat="1">
      <c r="A20" s="219"/>
      <c r="B20" s="226"/>
      <c r="C20" s="227">
        <v>8</v>
      </c>
      <c r="D20" s="231" t="s">
        <v>1621</v>
      </c>
    </row>
    <row r="21" spans="1:4" s="181" customFormat="1">
      <c r="A21" s="219"/>
      <c r="B21" s="229"/>
      <c r="C21" s="227"/>
      <c r="D21" s="233" t="s">
        <v>1552</v>
      </c>
    </row>
    <row r="22" spans="1:4" s="181" customFormat="1">
      <c r="A22" s="219"/>
      <c r="B22" s="226"/>
      <c r="C22" s="227">
        <v>9</v>
      </c>
      <c r="D22" s="231" t="s">
        <v>1622</v>
      </c>
    </row>
    <row r="23" spans="1:4" s="181" customFormat="1">
      <c r="A23" s="219"/>
      <c r="B23" s="234"/>
      <c r="C23" s="227"/>
      <c r="D23" s="235" t="s">
        <v>1553</v>
      </c>
    </row>
    <row r="24" spans="1:4" s="181" customFormat="1">
      <c r="A24" s="219"/>
      <c r="B24" s="226"/>
      <c r="C24" s="227">
        <v>10</v>
      </c>
      <c r="D24" s="231" t="s">
        <v>1623</v>
      </c>
    </row>
    <row r="25" spans="1:4" s="181" customFormat="1">
      <c r="A25" s="219"/>
      <c r="B25" s="226"/>
      <c r="C25" s="227">
        <v>11</v>
      </c>
      <c r="D25" s="231" t="s">
        <v>1624</v>
      </c>
    </row>
    <row r="26" spans="1:4" s="181" customFormat="1">
      <c r="A26" s="219"/>
      <c r="B26" s="234"/>
      <c r="C26" s="227"/>
      <c r="D26" s="235" t="s">
        <v>1554</v>
      </c>
    </row>
    <row r="27" spans="1:4" s="181" customFormat="1">
      <c r="A27" s="219"/>
      <c r="B27" s="226"/>
      <c r="C27" s="227">
        <v>12</v>
      </c>
      <c r="D27" s="231" t="s">
        <v>1556</v>
      </c>
    </row>
    <row r="28" spans="1:4" s="181" customFormat="1">
      <c r="A28" s="219"/>
      <c r="B28" s="229"/>
      <c r="C28" s="227"/>
      <c r="D28" s="225"/>
    </row>
    <row r="29" spans="1:4" s="181" customFormat="1">
      <c r="A29" s="219"/>
      <c r="B29" s="226"/>
      <c r="C29" s="227">
        <v>13</v>
      </c>
      <c r="D29" s="231" t="s">
        <v>524</v>
      </c>
    </row>
    <row r="30" spans="1:4" s="181" customFormat="1">
      <c r="A30" s="219"/>
      <c r="B30" s="229"/>
      <c r="C30" s="227"/>
      <c r="D30" s="225" t="s">
        <v>1625</v>
      </c>
    </row>
    <row r="31" spans="1:4" s="181" customFormat="1">
      <c r="A31" s="219"/>
      <c r="B31" s="226"/>
      <c r="C31" s="227">
        <v>14</v>
      </c>
      <c r="D31" s="231" t="s">
        <v>1917</v>
      </c>
    </row>
    <row r="32" spans="1:4" s="181" customFormat="1">
      <c r="A32" s="219"/>
      <c r="B32" s="236"/>
      <c r="C32" s="227"/>
      <c r="D32" s="237" t="s">
        <v>1765</v>
      </c>
    </row>
    <row r="33" spans="1:9" s="181" customFormat="1" ht="12" customHeight="1">
      <c r="A33" s="219"/>
      <c r="B33" s="236"/>
      <c r="C33" s="227"/>
      <c r="D33" s="238" t="s">
        <v>1168</v>
      </c>
    </row>
    <row r="34" spans="1:9" s="181" customFormat="1" ht="8.25" hidden="1" customHeight="1">
      <c r="A34" s="219"/>
      <c r="B34" s="229"/>
      <c r="C34" s="227"/>
      <c r="D34" s="239"/>
    </row>
    <row r="35" spans="1:9" s="181" customFormat="1">
      <c r="A35" s="2096" t="s">
        <v>1626</v>
      </c>
      <c r="B35" s="2097"/>
      <c r="C35" s="2097"/>
      <c r="D35" s="2097"/>
      <c r="E35" s="2098"/>
      <c r="F35" s="2098"/>
      <c r="G35" s="2098"/>
      <c r="H35" s="2098"/>
      <c r="I35" s="2098"/>
    </row>
    <row r="36" spans="1:9" s="181" customFormat="1">
      <c r="A36" s="219"/>
      <c r="B36" s="229"/>
      <c r="C36" s="227"/>
      <c r="D36" s="239"/>
    </row>
    <row r="37" spans="1:9" s="181" customFormat="1">
      <c r="A37" s="219"/>
      <c r="B37" s="226"/>
      <c r="C37" s="227">
        <v>15</v>
      </c>
      <c r="D37" s="231" t="s">
        <v>361</v>
      </c>
    </row>
    <row r="38" spans="1:9" s="181" customFormat="1">
      <c r="A38" s="219"/>
      <c r="B38" s="229"/>
      <c r="C38" s="227"/>
      <c r="D38" s="240" t="s">
        <v>1627</v>
      </c>
    </row>
    <row r="39" spans="1:9" s="181" customFormat="1" hidden="1">
      <c r="A39" s="219"/>
      <c r="B39" s="229"/>
      <c r="C39" s="227"/>
      <c r="D39" s="241"/>
    </row>
    <row r="40" spans="1:9" s="181" customFormat="1">
      <c r="A40" s="219"/>
      <c r="B40" s="226"/>
      <c r="C40" s="227">
        <v>16</v>
      </c>
      <c r="D40" s="242" t="s">
        <v>363</v>
      </c>
    </row>
    <row r="41" spans="1:9" s="181" customFormat="1">
      <c r="A41" s="219"/>
      <c r="B41" s="229"/>
      <c r="C41" s="227"/>
      <c r="D41" s="240" t="s">
        <v>608</v>
      </c>
    </row>
    <row r="42" spans="1:9" s="181" customFormat="1">
      <c r="A42" s="219"/>
      <c r="B42" s="226"/>
      <c r="C42" s="227">
        <v>17</v>
      </c>
      <c r="D42" s="242" t="s">
        <v>1628</v>
      </c>
    </row>
    <row r="43" spans="1:9" s="181" customFormat="1">
      <c r="A43" s="219"/>
      <c r="B43" s="229"/>
      <c r="C43" s="227"/>
      <c r="D43" s="240" t="s">
        <v>1629</v>
      </c>
    </row>
    <row r="44" spans="1:9" s="181" customFormat="1">
      <c r="A44" s="219"/>
      <c r="B44" s="226"/>
      <c r="C44" s="227">
        <v>18</v>
      </c>
      <c r="D44" s="242" t="s">
        <v>300</v>
      </c>
    </row>
    <row r="45" spans="1:9" s="181" customFormat="1">
      <c r="A45" s="219"/>
      <c r="B45" s="229"/>
      <c r="C45" s="227"/>
      <c r="D45" s="240" t="s">
        <v>188</v>
      </c>
    </row>
    <row r="46" spans="1:9" s="181" customFormat="1" ht="16.5" customHeight="1">
      <c r="A46" s="219"/>
      <c r="B46" s="229"/>
      <c r="C46" s="227"/>
      <c r="D46" s="239"/>
    </row>
    <row r="47" spans="1:9" s="181" customFormat="1">
      <c r="A47" s="2096" t="s">
        <v>312</v>
      </c>
      <c r="B47" s="2099"/>
      <c r="C47" s="2099"/>
      <c r="D47" s="2099"/>
      <c r="E47" s="2100"/>
      <c r="F47" s="2100"/>
      <c r="G47" s="2100"/>
      <c r="H47" s="2100"/>
      <c r="I47" s="2100"/>
    </row>
    <row r="48" spans="1:9" s="181" customFormat="1">
      <c r="A48" s="219"/>
      <c r="B48" s="229"/>
      <c r="C48" s="227"/>
      <c r="D48" s="239"/>
    </row>
    <row r="49" spans="1:10" s="181" customFormat="1">
      <c r="A49" s="219"/>
      <c r="B49" s="226"/>
      <c r="C49" s="227">
        <v>19</v>
      </c>
      <c r="D49" s="243" t="s">
        <v>362</v>
      </c>
    </row>
    <row r="50" spans="1:10" s="181" customFormat="1">
      <c r="A50" s="219"/>
      <c r="B50" s="226" t="s">
        <v>2095</v>
      </c>
      <c r="C50" s="227">
        <v>20</v>
      </c>
      <c r="D50" s="243" t="s">
        <v>1632</v>
      </c>
    </row>
    <row r="51" spans="1:10">
      <c r="B51" s="244"/>
      <c r="C51" s="245">
        <v>21</v>
      </c>
      <c r="D51" s="218" t="s">
        <v>1048</v>
      </c>
    </row>
    <row r="52" spans="1:10">
      <c r="B52" s="246"/>
      <c r="C52" s="245"/>
      <c r="D52" s="240" t="s">
        <v>839</v>
      </c>
    </row>
    <row r="53" spans="1:10" s="181" customFormat="1" ht="15.75" customHeight="1">
      <c r="A53" s="219"/>
      <c r="B53" s="220" t="s">
        <v>2095</v>
      </c>
      <c r="C53" s="179">
        <v>22</v>
      </c>
      <c r="D53" s="247" t="s">
        <v>1459</v>
      </c>
      <c r="E53" s="248"/>
      <c r="F53" s="249"/>
      <c r="G53" s="249" t="s">
        <v>1458</v>
      </c>
      <c r="H53" s="250">
        <v>33420</v>
      </c>
      <c r="I53" s="237" t="s">
        <v>1480</v>
      </c>
    </row>
    <row r="54" spans="1:10" s="181" customFormat="1">
      <c r="A54" s="219"/>
      <c r="B54" s="220"/>
      <c r="C54" s="179">
        <v>23</v>
      </c>
      <c r="D54" s="243" t="s">
        <v>1359</v>
      </c>
      <c r="E54" s="248"/>
      <c r="F54" s="249"/>
    </row>
    <row r="55" spans="1:10" s="181" customFormat="1">
      <c r="A55" s="214"/>
      <c r="B55" s="251"/>
      <c r="C55" s="251"/>
      <c r="D55" s="231" t="s">
        <v>1764</v>
      </c>
      <c r="E55" s="252"/>
      <c r="F55" s="252"/>
      <c r="G55" s="252"/>
      <c r="H55" s="252"/>
      <c r="I55" s="252"/>
    </row>
    <row r="56" spans="1:10" s="181" customFormat="1">
      <c r="A56" s="214"/>
      <c r="B56" s="251"/>
      <c r="E56" s="252"/>
      <c r="F56" s="252"/>
      <c r="G56" s="252"/>
      <c r="H56" s="252"/>
      <c r="I56" s="252"/>
    </row>
    <row r="57" spans="1:10" s="181" customFormat="1" ht="12.75" customHeight="1">
      <c r="A57" s="253"/>
      <c r="B57" s="2103" t="s">
        <v>2044</v>
      </c>
      <c r="C57" s="2104"/>
      <c r="D57" s="2104"/>
      <c r="E57" s="2104"/>
      <c r="F57" s="2104"/>
      <c r="G57" s="2104"/>
      <c r="H57" s="2104"/>
      <c r="I57" s="2104"/>
      <c r="J57" s="2105"/>
    </row>
    <row r="58" spans="1:10" s="181" customFormat="1">
      <c r="A58" s="253"/>
      <c r="B58" s="2106"/>
      <c r="C58" s="2107"/>
      <c r="D58" s="2107"/>
      <c r="E58" s="2107"/>
      <c r="F58" s="2107"/>
      <c r="G58" s="2107"/>
      <c r="H58" s="2107"/>
      <c r="I58" s="2107"/>
      <c r="J58" s="2108"/>
    </row>
    <row r="59" spans="1:10" s="181" customFormat="1">
      <c r="A59" s="253"/>
      <c r="B59" s="2106"/>
      <c r="C59" s="2107"/>
      <c r="D59" s="2107"/>
      <c r="E59" s="2107"/>
      <c r="F59" s="2107"/>
      <c r="G59" s="2107"/>
      <c r="H59" s="2107"/>
      <c r="I59" s="2107"/>
      <c r="J59" s="2108"/>
    </row>
    <row r="60" spans="1:10" s="181" customFormat="1">
      <c r="A60" s="253"/>
      <c r="B60" s="2106"/>
      <c r="C60" s="2107"/>
      <c r="D60" s="2107"/>
      <c r="E60" s="2107"/>
      <c r="F60" s="2107"/>
      <c r="G60" s="2107"/>
      <c r="H60" s="2107"/>
      <c r="I60" s="2107"/>
      <c r="J60" s="2108"/>
    </row>
    <row r="61" spans="1:10" s="181" customFormat="1">
      <c r="A61" s="253"/>
      <c r="B61" s="2106"/>
      <c r="C61" s="2107"/>
      <c r="D61" s="2107"/>
      <c r="E61" s="2107"/>
      <c r="F61" s="2107"/>
      <c r="G61" s="2107"/>
      <c r="H61" s="2107"/>
      <c r="I61" s="2107"/>
      <c r="J61" s="2108"/>
    </row>
    <row r="62" spans="1:10" s="181" customFormat="1">
      <c r="A62" s="253"/>
      <c r="B62" s="2106"/>
      <c r="C62" s="2107"/>
      <c r="D62" s="2107"/>
      <c r="E62" s="2107"/>
      <c r="F62" s="2107"/>
      <c r="G62" s="2107"/>
      <c r="H62" s="2107"/>
      <c r="I62" s="2107"/>
      <c r="J62" s="2108"/>
    </row>
    <row r="63" spans="1:10" s="181" customFormat="1">
      <c r="A63" s="253"/>
      <c r="B63" s="2106"/>
      <c r="C63" s="2107"/>
      <c r="D63" s="2107"/>
      <c r="E63" s="2107"/>
      <c r="F63" s="2107"/>
      <c r="G63" s="2107"/>
      <c r="H63" s="2107"/>
      <c r="I63" s="2107"/>
      <c r="J63" s="2108"/>
    </row>
    <row r="64" spans="1:10" s="181" customFormat="1">
      <c r="A64" s="253"/>
      <c r="B64" s="2106"/>
      <c r="C64" s="2107"/>
      <c r="D64" s="2107"/>
      <c r="E64" s="2107"/>
      <c r="F64" s="2107"/>
      <c r="G64" s="2107"/>
      <c r="H64" s="2107"/>
      <c r="I64" s="2107"/>
      <c r="J64" s="2108"/>
    </row>
    <row r="65" spans="1:10" s="181" customFormat="1">
      <c r="A65" s="253"/>
      <c r="B65" s="2106"/>
      <c r="C65" s="2107"/>
      <c r="D65" s="2107"/>
      <c r="E65" s="2107"/>
      <c r="F65" s="2107"/>
      <c r="G65" s="2107"/>
      <c r="H65" s="2107"/>
      <c r="I65" s="2107"/>
      <c r="J65" s="2108"/>
    </row>
    <row r="66" spans="1:10" s="181" customFormat="1">
      <c r="A66" s="253"/>
      <c r="B66" s="2106"/>
      <c r="C66" s="2107"/>
      <c r="D66" s="2107"/>
      <c r="E66" s="2107"/>
      <c r="F66" s="2107"/>
      <c r="G66" s="2107"/>
      <c r="H66" s="2107"/>
      <c r="I66" s="2107"/>
      <c r="J66" s="2108"/>
    </row>
    <row r="67" spans="1:10" s="181" customFormat="1" ht="9" customHeight="1">
      <c r="A67" s="254"/>
      <c r="B67" s="2109"/>
      <c r="C67" s="2110"/>
      <c r="D67" s="2110"/>
      <c r="E67" s="2110"/>
      <c r="F67" s="2110"/>
      <c r="G67" s="2110"/>
      <c r="H67" s="2110"/>
      <c r="I67" s="2110"/>
      <c r="J67" s="2111"/>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96" t="s">
        <v>1320</v>
      </c>
      <c r="B70" s="2099"/>
      <c r="C70" s="2099"/>
      <c r="D70" s="2099"/>
      <c r="E70" s="2100"/>
      <c r="F70" s="2100"/>
      <c r="G70" s="2100"/>
      <c r="H70" s="2100"/>
      <c r="I70" s="2100"/>
    </row>
    <row r="71" spans="1:10" s="181" customFormat="1">
      <c r="A71" s="219"/>
      <c r="C71" s="257"/>
      <c r="D71" s="258" t="s">
        <v>1319</v>
      </c>
      <c r="E71" s="256"/>
      <c r="F71" s="256"/>
      <c r="G71" s="256"/>
      <c r="H71" s="256"/>
    </row>
    <row r="72" spans="1:10" s="181" customFormat="1" ht="5.25" customHeight="1">
      <c r="B72" s="255"/>
      <c r="C72" s="256"/>
      <c r="D72" s="256"/>
      <c r="E72" s="256"/>
      <c r="F72" s="256"/>
      <c r="G72" s="256"/>
      <c r="H72" s="256"/>
    </row>
    <row r="73" spans="1:10" s="181" customFormat="1">
      <c r="A73" s="259" t="s">
        <v>1901</v>
      </c>
      <c r="B73" s="255"/>
      <c r="C73" s="256"/>
      <c r="D73" s="256"/>
      <c r="E73" s="256"/>
      <c r="F73" s="256"/>
      <c r="G73" s="256"/>
      <c r="H73" s="256"/>
    </row>
    <row r="74" spans="1:10" s="181" customFormat="1">
      <c r="A74" s="259" t="s">
        <v>1422</v>
      </c>
      <c r="B74" s="255"/>
      <c r="C74" s="256"/>
      <c r="D74" s="256"/>
      <c r="E74" s="256"/>
      <c r="F74" s="256"/>
      <c r="G74" s="256"/>
      <c r="H74" s="256"/>
    </row>
    <row r="75" spans="1:10" s="181" customFormat="1">
      <c r="A75" s="259" t="s">
        <v>1918</v>
      </c>
      <c r="B75" s="255"/>
      <c r="C75" s="256"/>
      <c r="D75" s="256"/>
      <c r="E75" s="256"/>
      <c r="F75" s="256"/>
      <c r="G75" s="256"/>
      <c r="H75" s="256"/>
    </row>
    <row r="76" spans="1:10" s="181" customFormat="1" ht="18.75" customHeight="1">
      <c r="A76" s="239" t="s">
        <v>1423</v>
      </c>
      <c r="B76" s="255"/>
      <c r="C76" s="256"/>
      <c r="D76" s="256"/>
      <c r="E76" s="256"/>
      <c r="F76" s="256"/>
      <c r="G76" s="256"/>
      <c r="H76" s="256"/>
    </row>
    <row r="77" spans="1:10" s="181" customFormat="1">
      <c r="C77" s="179">
        <v>24</v>
      </c>
      <c r="D77" s="247" t="s">
        <v>1640</v>
      </c>
      <c r="G77" s="297" t="s">
        <v>1876</v>
      </c>
      <c r="I77" s="1744"/>
      <c r="J77" s="261">
        <v>43708</v>
      </c>
    </row>
    <row r="78" spans="1:10" s="181" customFormat="1" ht="6" customHeight="1">
      <c r="A78" s="219"/>
      <c r="B78" s="262"/>
      <c r="C78" s="179"/>
      <c r="D78" s="247"/>
      <c r="E78" s="248"/>
      <c r="F78" s="249"/>
    </row>
    <row r="79" spans="1:10" s="181" customFormat="1">
      <c r="A79" s="219"/>
      <c r="B79" s="262"/>
      <c r="C79" s="179">
        <v>25</v>
      </c>
      <c r="D79" s="247" t="s">
        <v>1638</v>
      </c>
      <c r="E79" s="248"/>
      <c r="F79" s="249"/>
    </row>
    <row r="80" spans="1:10" s="181" customFormat="1">
      <c r="A80" s="219"/>
      <c r="B80" s="262"/>
      <c r="C80" s="179"/>
      <c r="D80" s="247" t="s">
        <v>1639</v>
      </c>
      <c r="E80" s="248"/>
      <c r="F80" s="249"/>
    </row>
    <row r="81" spans="1:10" s="181" customFormat="1">
      <c r="A81" s="219"/>
      <c r="B81" s="262"/>
    </row>
    <row r="82" spans="1:10" s="181" customFormat="1" ht="12.75" customHeight="1">
      <c r="A82" s="219"/>
      <c r="B82" s="262"/>
      <c r="C82" s="247"/>
    </row>
    <row r="83" spans="1:10" s="181" customFormat="1" ht="12.75" customHeight="1" thickBot="1">
      <c r="A83" s="2101" t="s">
        <v>1317</v>
      </c>
      <c r="B83" s="2101"/>
      <c r="C83" s="2101"/>
      <c r="D83" s="2102"/>
      <c r="E83" s="263" t="s">
        <v>1354</v>
      </c>
      <c r="F83" s="263" t="s">
        <v>1355</v>
      </c>
      <c r="G83" s="263" t="s">
        <v>1356</v>
      </c>
      <c r="H83" s="263" t="s">
        <v>1357</v>
      </c>
      <c r="I83" s="263" t="s">
        <v>1358</v>
      </c>
      <c r="J83" s="264" t="s">
        <v>156</v>
      </c>
    </row>
    <row r="84" spans="1:10" s="181" customFormat="1" ht="13.5" customHeight="1" thickTop="1">
      <c r="A84" s="265" t="s">
        <v>1441</v>
      </c>
      <c r="B84" s="266"/>
      <c r="C84" s="267"/>
      <c r="D84" s="268"/>
      <c r="E84" s="269"/>
      <c r="F84" s="269"/>
      <c r="G84" s="269"/>
      <c r="H84" s="269"/>
      <c r="I84" s="269"/>
      <c r="J84" s="270"/>
    </row>
    <row r="85" spans="1:10" s="181" customFormat="1" ht="13.5" customHeight="1">
      <c r="A85" s="271" t="s">
        <v>1899</v>
      </c>
      <c r="B85" s="272"/>
      <c r="C85" s="273"/>
      <c r="D85" s="274"/>
      <c r="E85" s="275"/>
      <c r="F85" s="276"/>
      <c r="G85" s="276"/>
      <c r="H85" s="276"/>
      <c r="I85" s="276"/>
      <c r="J85" s="277">
        <f>SUM(E85:I85)</f>
        <v>0</v>
      </c>
    </row>
    <row r="86" spans="1:10" s="181" customFormat="1" ht="13.5" customHeight="1">
      <c r="A86" s="278"/>
      <c r="B86" s="279"/>
      <c r="C86" s="280"/>
      <c r="D86" s="281"/>
      <c r="E86" s="269"/>
      <c r="F86" s="269"/>
      <c r="G86" s="269"/>
      <c r="H86" s="269"/>
      <c r="I86" s="269"/>
      <c r="J86" s="270"/>
    </row>
    <row r="87" spans="1:10" s="181" customFormat="1" ht="13.5" customHeight="1">
      <c r="A87" s="282" t="s">
        <v>1318</v>
      </c>
      <c r="B87" s="283"/>
      <c r="C87" s="284"/>
      <c r="D87" s="281"/>
      <c r="E87" s="269"/>
      <c r="F87" s="269"/>
      <c r="G87" s="269"/>
      <c r="H87" s="269"/>
      <c r="I87" s="269"/>
      <c r="J87" s="270"/>
    </row>
    <row r="88" spans="1:10" s="181" customFormat="1" ht="13.5" customHeight="1">
      <c r="A88" s="285" t="s">
        <v>1899</v>
      </c>
      <c r="B88" s="286"/>
      <c r="C88" s="287"/>
      <c r="D88" s="288"/>
      <c r="E88" s="276"/>
      <c r="F88" s="276">
        <v>163483</v>
      </c>
      <c r="G88" s="276">
        <v>631110</v>
      </c>
      <c r="H88" s="276">
        <v>387078</v>
      </c>
      <c r="I88" s="276"/>
      <c r="J88" s="277">
        <f>SUM(E88:I88)</f>
        <v>1181671</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1181671</v>
      </c>
    </row>
    <row r="91" spans="1:10" s="181" customFormat="1">
      <c r="A91" s="219"/>
      <c r="B91" s="262"/>
      <c r="C91" s="179"/>
      <c r="E91" s="260"/>
      <c r="F91" s="296"/>
      <c r="H91" s="297"/>
    </row>
    <row r="92" spans="1:10" s="181" customFormat="1">
      <c r="A92" s="219"/>
      <c r="B92" s="247" t="s">
        <v>1633</v>
      </c>
      <c r="C92" s="179"/>
      <c r="E92" s="260"/>
      <c r="F92" s="296"/>
      <c r="H92" s="297"/>
    </row>
    <row r="93" spans="1:10" s="181" customFormat="1" ht="16.5" customHeight="1">
      <c r="A93" s="219"/>
      <c r="B93" s="298" t="s">
        <v>1900</v>
      </c>
      <c r="C93" s="179"/>
      <c r="E93" s="260"/>
      <c r="F93" s="296"/>
      <c r="H93" s="297"/>
    </row>
    <row r="94" spans="1:10" s="181" customFormat="1">
      <c r="A94" s="299" t="s">
        <v>1328</v>
      </c>
      <c r="B94" s="300"/>
      <c r="C94" s="300"/>
      <c r="D94" s="301"/>
      <c r="E94" s="302"/>
      <c r="F94" s="303"/>
      <c r="G94" s="304"/>
      <c r="H94" s="305"/>
      <c r="I94" s="306"/>
    </row>
    <row r="95" spans="1:10" s="181" customFormat="1">
      <c r="A95" s="307"/>
      <c r="B95" s="308" t="s">
        <v>1634</v>
      </c>
      <c r="C95" s="309"/>
      <c r="D95" s="310"/>
      <c r="E95" s="304"/>
      <c r="F95" s="304"/>
      <c r="G95" s="304"/>
      <c r="H95" s="304"/>
      <c r="I95" s="304"/>
    </row>
    <row r="96" spans="1:10" s="181" customFormat="1">
      <c r="A96" s="307" t="s">
        <v>1168</v>
      </c>
      <c r="B96" s="345" t="s">
        <v>1636</v>
      </c>
      <c r="C96" s="309"/>
      <c r="D96" s="311"/>
      <c r="E96" s="311"/>
      <c r="F96" s="311"/>
      <c r="G96" s="311"/>
      <c r="H96" s="311"/>
      <c r="I96" s="304"/>
    </row>
    <row r="97" spans="1:9" s="181" customFormat="1">
      <c r="A97" s="307"/>
      <c r="B97" s="308" t="s">
        <v>1635</v>
      </c>
      <c r="C97" s="309"/>
      <c r="D97" s="311"/>
      <c r="E97" s="311"/>
      <c r="F97" s="311"/>
      <c r="G97" s="311"/>
      <c r="H97" s="311"/>
      <c r="I97" s="304"/>
    </row>
    <row r="98" spans="1:9" s="181" customFormat="1">
      <c r="A98" s="308"/>
      <c r="B98" s="312" t="s">
        <v>1637</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1165</v>
      </c>
      <c r="C101" s="310"/>
      <c r="D101" s="310"/>
      <c r="E101" s="304"/>
      <c r="F101" s="304"/>
      <c r="G101" s="304"/>
      <c r="H101" s="304"/>
      <c r="I101" s="304"/>
    </row>
    <row r="102" spans="1:9" s="181" customFormat="1">
      <c r="A102" s="316"/>
      <c r="B102" s="2083"/>
      <c r="C102" s="2084"/>
      <c r="D102" s="2084"/>
      <c r="E102" s="2084"/>
      <c r="F102" s="2084"/>
      <c r="G102" s="2084"/>
      <c r="H102" s="2084"/>
      <c r="I102" s="2085"/>
    </row>
    <row r="103" spans="1:9" s="181" customFormat="1" ht="11.25" customHeight="1">
      <c r="A103" s="316"/>
      <c r="B103" s="2086"/>
      <c r="C103" s="2087"/>
      <c r="D103" s="2087"/>
      <c r="E103" s="2087"/>
      <c r="F103" s="2087"/>
      <c r="G103" s="2087"/>
      <c r="H103" s="2087"/>
      <c r="I103" s="2088"/>
    </row>
    <row r="104" spans="1:9" s="181" customFormat="1" ht="11.25" customHeight="1">
      <c r="A104" s="316"/>
      <c r="B104" s="2086"/>
      <c r="C104" s="2087"/>
      <c r="D104" s="2087"/>
      <c r="E104" s="2087"/>
      <c r="F104" s="2087"/>
      <c r="G104" s="2087"/>
      <c r="H104" s="2087"/>
      <c r="I104" s="2088"/>
    </row>
    <row r="105" spans="1:9" s="181" customFormat="1">
      <c r="A105" s="316"/>
      <c r="B105" s="2086"/>
      <c r="C105" s="2087"/>
      <c r="D105" s="2087"/>
      <c r="E105" s="2087"/>
      <c r="F105" s="2087"/>
      <c r="G105" s="2087"/>
      <c r="H105" s="2087"/>
      <c r="I105" s="2088"/>
    </row>
    <row r="106" spans="1:9" s="181" customFormat="1" ht="11.25" customHeight="1">
      <c r="A106" s="316"/>
      <c r="B106" s="2086"/>
      <c r="C106" s="2087"/>
      <c r="D106" s="2087"/>
      <c r="E106" s="2087"/>
      <c r="F106" s="2087"/>
      <c r="G106" s="2087"/>
      <c r="H106" s="2087"/>
      <c r="I106" s="2088"/>
    </row>
    <row r="107" spans="1:9" s="181" customFormat="1" ht="11.25" customHeight="1">
      <c r="A107" s="316"/>
      <c r="B107" s="2086"/>
      <c r="C107" s="2087"/>
      <c r="D107" s="2087"/>
      <c r="E107" s="2087"/>
      <c r="F107" s="2087"/>
      <c r="G107" s="2087"/>
      <c r="H107" s="2087"/>
      <c r="I107" s="2088"/>
    </row>
    <row r="108" spans="1:9" s="181" customFormat="1" ht="11.25" customHeight="1">
      <c r="A108" s="316"/>
      <c r="B108" s="2086"/>
      <c r="C108" s="2087"/>
      <c r="D108" s="2087"/>
      <c r="E108" s="2087"/>
      <c r="F108" s="2087"/>
      <c r="G108" s="2087"/>
      <c r="H108" s="2087"/>
      <c r="I108" s="2088"/>
    </row>
    <row r="109" spans="1:9" s="181" customFormat="1" ht="11.25" customHeight="1">
      <c r="A109" s="316"/>
      <c r="B109" s="2086"/>
      <c r="C109" s="2087"/>
      <c r="D109" s="2087"/>
      <c r="E109" s="2087"/>
      <c r="F109" s="2087"/>
      <c r="G109" s="2087"/>
      <c r="H109" s="2087"/>
      <c r="I109" s="2088"/>
    </row>
    <row r="110" spans="1:9" s="181" customFormat="1" ht="11.25" customHeight="1">
      <c r="A110" s="316"/>
      <c r="B110" s="2086"/>
      <c r="C110" s="2087"/>
      <c r="D110" s="2087"/>
      <c r="E110" s="2087"/>
      <c r="F110" s="2087"/>
      <c r="G110" s="2087"/>
      <c r="H110" s="2087"/>
      <c r="I110" s="2088"/>
    </row>
    <row r="111" spans="1:9" s="181" customFormat="1" ht="11.25" customHeight="1">
      <c r="A111" s="316"/>
      <c r="B111" s="2086"/>
      <c r="C111" s="2087"/>
      <c r="D111" s="2087"/>
      <c r="E111" s="2087"/>
      <c r="F111" s="2087"/>
      <c r="G111" s="2087"/>
      <c r="H111" s="2087"/>
      <c r="I111" s="2088"/>
    </row>
    <row r="112" spans="1:9" s="181" customFormat="1" ht="11.25" customHeight="1">
      <c r="A112" s="316"/>
      <c r="B112" s="2089"/>
      <c r="C112" s="2090"/>
      <c r="D112" s="2090"/>
      <c r="E112" s="2090"/>
      <c r="F112" s="2090"/>
      <c r="G112" s="2090"/>
      <c r="H112" s="2090"/>
      <c r="I112" s="2091"/>
    </row>
    <row r="113" spans="1:9" s="181" customFormat="1" ht="11.25" customHeight="1">
      <c r="A113" s="317"/>
      <c r="B113" s="311"/>
      <c r="C113" s="311"/>
      <c r="D113" s="311"/>
      <c r="E113" s="304"/>
      <c r="F113" s="304"/>
      <c r="G113" s="304"/>
      <c r="H113" s="304"/>
      <c r="I113" s="304"/>
    </row>
    <row r="114" spans="1:9" s="181" customFormat="1" ht="18" customHeight="1">
      <c r="A114" s="316"/>
      <c r="B114" s="317"/>
      <c r="C114" s="2092" t="s">
        <v>2036</v>
      </c>
      <c r="D114" s="2092"/>
      <c r="E114" s="304"/>
      <c r="F114" s="304"/>
      <c r="G114" s="304"/>
      <c r="H114" s="304"/>
      <c r="I114" s="304"/>
    </row>
    <row r="115" spans="1:9" s="181" customFormat="1" ht="11.25" customHeight="1">
      <c r="A115" s="316"/>
      <c r="B115" s="316"/>
      <c r="C115" s="318"/>
      <c r="D115" s="319" t="s">
        <v>1166</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93" t="s">
        <v>1327</v>
      </c>
      <c r="D117" s="2094"/>
      <c r="E117" s="2095"/>
      <c r="F117" s="2095"/>
      <c r="G117" s="2095"/>
      <c r="H117" s="2095"/>
      <c r="I117" s="304"/>
    </row>
    <row r="118" spans="1:9" s="181" customFormat="1" ht="24" customHeight="1">
      <c r="A118" s="316"/>
      <c r="B118" s="316"/>
      <c r="C118" s="316"/>
      <c r="D118" s="323" t="s">
        <v>2200</v>
      </c>
      <c r="E118" s="322"/>
      <c r="F118" s="324"/>
      <c r="G118" s="1746"/>
      <c r="H118" s="322"/>
      <c r="I118" s="304"/>
    </row>
    <row r="119" spans="1:9" s="181" customFormat="1" ht="11.25" customHeight="1">
      <c r="A119" s="325"/>
      <c r="B119" s="325"/>
      <c r="C119" s="326"/>
      <c r="D119" s="327" t="s">
        <v>360</v>
      </c>
      <c r="E119" s="310"/>
      <c r="F119" s="1745" t="s">
        <v>1877</v>
      </c>
      <c r="G119" s="328"/>
      <c r="H119" s="328"/>
      <c r="I119" s="304"/>
    </row>
    <row r="120" spans="1:9">
      <c r="A120" s="329"/>
      <c r="B120" s="180"/>
      <c r="C120" s="330"/>
      <c r="D120" s="256"/>
      <c r="E120" s="256"/>
      <c r="F120" s="256"/>
      <c r="G120" s="256"/>
      <c r="H120" s="256"/>
      <c r="I120" s="304"/>
    </row>
    <row r="121" spans="1:9">
      <c r="A121" s="329"/>
      <c r="B121" s="1397" t="s">
        <v>1594</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pageSetUpPr fitToPage="1"/>
  </sheetPr>
  <dimension ref="A1:J63"/>
  <sheetViews>
    <sheetView showGridLines="0" topLeftCell="A4" zoomScale="110" zoomScaleNormal="110" workbookViewId="0">
      <selection activeCell="G38" sqref="G38:I38"/>
    </sheetView>
  </sheetViews>
  <sheetFormatPr defaultColWidth="9.140625" defaultRowHeight="12.75"/>
  <cols>
    <col min="1" max="1" width="1.42578125" style="1273" customWidth="1"/>
    <col min="2" max="2" width="24.42578125" style="1276" customWidth="1"/>
    <col min="3" max="3" width="29.5703125" style="317" customWidth="1"/>
    <col min="4" max="4" width="9.28515625" style="317" customWidth="1"/>
    <col min="5" max="5" width="5.28515625" style="123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90" t="str">
        <f>'Single Audit Cover'!A7</f>
        <v>Joliet Twp HSD 204</v>
      </c>
      <c r="C1" s="2491"/>
      <c r="D1" s="2491"/>
      <c r="E1" s="2491"/>
      <c r="F1" s="2491"/>
      <c r="G1" s="2491"/>
      <c r="H1" s="2491"/>
      <c r="I1" s="2491"/>
      <c r="J1" s="1315"/>
    </row>
    <row r="2" spans="2:10" s="317" customFormat="1" ht="12.75" customHeight="1">
      <c r="B2" s="2492">
        <f>'Single Audit Cover'!E7</f>
        <v>56099204017</v>
      </c>
      <c r="C2" s="2493"/>
      <c r="D2" s="2493"/>
      <c r="E2" s="2493"/>
      <c r="F2" s="2493"/>
      <c r="G2" s="2493"/>
      <c r="H2" s="2493"/>
      <c r="I2" s="2493"/>
      <c r="J2" s="1315"/>
    </row>
    <row r="3" spans="2:10" s="317" customFormat="1" ht="12.75" customHeight="1">
      <c r="B3" s="2494" t="s">
        <v>1282</v>
      </c>
      <c r="C3" s="2495"/>
      <c r="D3" s="2495"/>
      <c r="E3" s="2495"/>
      <c r="F3" s="2495"/>
      <c r="G3" s="2495"/>
      <c r="H3" s="2495"/>
      <c r="I3" s="2495"/>
      <c r="J3" s="1316"/>
    </row>
    <row r="4" spans="2:10" s="317" customFormat="1" ht="12.75" customHeight="1">
      <c r="B4" s="2494" t="str">
        <f>'Single Audit Cover'!A4</f>
        <v>Year Ending June 30, 2019</v>
      </c>
      <c r="C4" s="2495"/>
      <c r="D4" s="2495"/>
      <c r="E4" s="2495"/>
      <c r="F4" s="2495"/>
      <c r="G4" s="2495"/>
      <c r="H4" s="2495"/>
      <c r="I4" s="2495"/>
    </row>
    <row r="5" spans="2:10" s="317" customFormat="1" ht="6.2" customHeight="1">
      <c r="B5" s="1317" t="s">
        <v>1168</v>
      </c>
      <c r="C5" s="1267"/>
      <c r="D5" s="1267"/>
      <c r="E5" s="1289"/>
      <c r="F5" s="322"/>
      <c r="G5" s="322"/>
      <c r="H5" s="322"/>
      <c r="I5" s="322"/>
    </row>
    <row r="6" spans="2:10" s="317" customFormat="1" ht="6.2" customHeight="1">
      <c r="B6" s="1318"/>
      <c r="C6" s="1285"/>
      <c r="D6" s="1285"/>
      <c r="E6" s="1286"/>
      <c r="F6" s="1285"/>
      <c r="G6" s="1285"/>
      <c r="H6" s="1285"/>
      <c r="I6" s="1285"/>
    </row>
    <row r="7" spans="2:10" s="317" customFormat="1" ht="13.5" customHeight="1">
      <c r="B7" s="2494" t="s">
        <v>1281</v>
      </c>
      <c r="C7" s="2495"/>
      <c r="D7" s="2495"/>
      <c r="E7" s="2495"/>
      <c r="F7" s="2495"/>
      <c r="G7" s="2495"/>
      <c r="H7" s="2495"/>
      <c r="I7" s="2495"/>
    </row>
    <row r="8" spans="2:10" s="317" customFormat="1" ht="6.2" customHeight="1">
      <c r="B8" s="1319" t="s">
        <v>1168</v>
      </c>
      <c r="C8" s="1320"/>
      <c r="D8" s="1320"/>
      <c r="E8" s="1321"/>
      <c r="F8" s="1320"/>
      <c r="G8" s="1320"/>
      <c r="H8" s="1320"/>
      <c r="I8" s="1320"/>
    </row>
    <row r="9" spans="2:10" s="317" customFormat="1" ht="9" customHeight="1">
      <c r="B9" s="1322"/>
      <c r="C9" s="322"/>
      <c r="D9" s="322"/>
      <c r="E9" s="1289"/>
      <c r="F9" s="322"/>
      <c r="G9" s="322"/>
      <c r="H9" s="322"/>
      <c r="I9" s="322"/>
    </row>
    <row r="10" spans="2:10" s="317" customFormat="1" ht="12.75" customHeight="1">
      <c r="B10" s="1323" t="s">
        <v>1280</v>
      </c>
      <c r="C10" s="1324"/>
      <c r="D10" s="1324"/>
      <c r="E10" s="1231"/>
    </row>
    <row r="11" spans="2:10" s="317" customFormat="1" ht="13.5" customHeight="1">
      <c r="B11" s="1275" t="s">
        <v>1279</v>
      </c>
      <c r="C11" s="2496" t="s">
        <v>2185</v>
      </c>
      <c r="D11" s="2496"/>
      <c r="E11" s="1325"/>
      <c r="F11" s="1325"/>
      <c r="G11" s="1325"/>
    </row>
    <row r="12" spans="2:10" s="317" customFormat="1" ht="11.45" customHeight="1">
      <c r="B12" s="1276"/>
      <c r="C12" s="1326" t="s">
        <v>1439</v>
      </c>
      <c r="D12" s="1327"/>
      <c r="E12" s="1231"/>
    </row>
    <row r="13" spans="2:10" s="317" customFormat="1" ht="12.75" customHeight="1">
      <c r="B13" s="1328"/>
      <c r="C13" s="1293"/>
      <c r="D13" s="1293"/>
      <c r="E13" s="1231"/>
    </row>
    <row r="14" spans="2:10" s="317" customFormat="1" ht="12.75" customHeight="1">
      <c r="B14" s="1278" t="s">
        <v>1278</v>
      </c>
      <c r="C14" s="1255"/>
      <c r="E14" s="1231"/>
    </row>
    <row r="15" spans="2:10" s="317" customFormat="1" ht="13.5" customHeight="1">
      <c r="B15" s="1329" t="s">
        <v>1275</v>
      </c>
      <c r="C15" s="1330"/>
      <c r="D15" s="1304"/>
      <c r="E15" s="1331"/>
      <c r="F15" s="1273" t="s">
        <v>884</v>
      </c>
      <c r="G15" s="1331" t="s">
        <v>2095</v>
      </c>
      <c r="H15" s="1273" t="s">
        <v>1273</v>
      </c>
      <c r="I15" s="1273"/>
    </row>
    <row r="16" spans="2:10" s="317" customFormat="1" ht="8.4499999999999993" customHeight="1">
      <c r="B16" s="1278"/>
      <c r="C16" s="1255"/>
      <c r="E16" s="1289"/>
      <c r="F16" s="1273"/>
      <c r="G16" s="322"/>
      <c r="H16" s="1273"/>
      <c r="I16" s="1273"/>
    </row>
    <row r="17" spans="2:9" s="317" customFormat="1" ht="13.5" customHeight="1">
      <c r="B17" s="1329" t="s">
        <v>1274</v>
      </c>
      <c r="C17" s="1330"/>
      <c r="D17" s="1304"/>
      <c r="E17" s="1332"/>
      <c r="F17" s="1230"/>
      <c r="G17" s="1332"/>
      <c r="H17" s="1273"/>
      <c r="I17" s="1273"/>
    </row>
    <row r="18" spans="2:9" s="317" customFormat="1" ht="12.75" customHeight="1">
      <c r="B18" s="1329" t="s">
        <v>1440</v>
      </c>
      <c r="C18" s="1330"/>
      <c r="D18" s="1304"/>
      <c r="E18" s="1331"/>
      <c r="F18" s="1273" t="s">
        <v>884</v>
      </c>
      <c r="G18" s="1331" t="s">
        <v>2095</v>
      </c>
      <c r="H18" s="1273" t="s">
        <v>1273</v>
      </c>
      <c r="I18" s="1273"/>
    </row>
    <row r="19" spans="2:9" s="317" customFormat="1" ht="8.4499999999999993" customHeight="1">
      <c r="B19" s="1278"/>
      <c r="C19" s="1255"/>
      <c r="E19" s="1289"/>
      <c r="F19" s="1273"/>
      <c r="G19" s="322"/>
      <c r="H19" s="1273"/>
      <c r="I19" s="1273"/>
    </row>
    <row r="20" spans="2:9" s="317" customFormat="1" ht="13.5" customHeight="1">
      <c r="B20" s="1329" t="s">
        <v>1584</v>
      </c>
      <c r="C20" s="1330"/>
      <c r="D20" s="1304"/>
      <c r="E20" s="1331"/>
      <c r="F20" s="1273" t="s">
        <v>884</v>
      </c>
      <c r="G20" s="1331" t="s">
        <v>2095</v>
      </c>
      <c r="H20" s="1273" t="s">
        <v>99</v>
      </c>
      <c r="I20" s="1273"/>
    </row>
    <row r="21" spans="2:9" s="317" customFormat="1" ht="12.75" customHeight="1">
      <c r="B21" s="1278"/>
      <c r="C21" s="1255"/>
      <c r="E21" s="1289"/>
      <c r="F21" s="1273"/>
      <c r="G21" s="322"/>
      <c r="H21" s="1273"/>
      <c r="I21" s="1273"/>
    </row>
    <row r="22" spans="2:9" s="317" customFormat="1" ht="12.75" customHeight="1">
      <c r="B22" s="1323" t="s">
        <v>1277</v>
      </c>
      <c r="C22" s="1333"/>
      <c r="D22" s="1324"/>
      <c r="E22" s="1289"/>
      <c r="F22" s="1273"/>
      <c r="G22" s="322"/>
      <c r="H22" s="1273"/>
      <c r="I22" s="1273"/>
    </row>
    <row r="23" spans="2:9" s="317" customFormat="1" ht="12.75" customHeight="1">
      <c r="B23" s="1278" t="s">
        <v>1276</v>
      </c>
      <c r="C23" s="1255"/>
      <c r="E23" s="1289"/>
      <c r="F23" s="1273"/>
      <c r="G23" s="322"/>
      <c r="H23" s="1273"/>
      <c r="I23" s="1273"/>
    </row>
    <row r="24" spans="2:9" s="317" customFormat="1" ht="13.5" customHeight="1">
      <c r="B24" s="1329" t="s">
        <v>1275</v>
      </c>
      <c r="C24" s="1330"/>
      <c r="D24" s="1304"/>
      <c r="E24" s="1331"/>
      <c r="F24" s="1273" t="s">
        <v>884</v>
      </c>
      <c r="G24" s="1331" t="s">
        <v>2095</v>
      </c>
      <c r="H24" s="1273" t="s">
        <v>1273</v>
      </c>
      <c r="I24" s="1273"/>
    </row>
    <row r="25" spans="2:9" s="317" customFormat="1" ht="8.4499999999999993" customHeight="1">
      <c r="B25" s="1278"/>
      <c r="C25" s="1255"/>
      <c r="E25" s="1289"/>
      <c r="F25" s="1273"/>
      <c r="G25" s="322"/>
      <c r="H25" s="1273"/>
      <c r="I25" s="1273"/>
    </row>
    <row r="26" spans="2:9" s="317" customFormat="1" ht="13.5" customHeight="1">
      <c r="B26" s="1329" t="s">
        <v>1274</v>
      </c>
      <c r="C26" s="1330"/>
      <c r="D26" s="1304"/>
      <c r="E26" s="1332"/>
      <c r="F26" s="1230"/>
      <c r="G26" s="1332"/>
      <c r="H26" s="1273"/>
      <c r="I26" s="1273"/>
    </row>
    <row r="27" spans="2:9" s="317" customFormat="1" ht="12.75" customHeight="1">
      <c r="B27" s="1329" t="s">
        <v>1440</v>
      </c>
      <c r="C27" s="1330"/>
      <c r="D27" s="1304"/>
      <c r="E27" s="1331"/>
      <c r="F27" s="1273" t="s">
        <v>884</v>
      </c>
      <c r="G27" s="1331" t="s">
        <v>2095</v>
      </c>
      <c r="H27" s="1273" t="s">
        <v>1273</v>
      </c>
      <c r="I27" s="1273"/>
    </row>
    <row r="28" spans="2:9" s="317" customFormat="1" ht="12.75" customHeight="1">
      <c r="B28" s="1278"/>
      <c r="C28" s="1255"/>
      <c r="E28" s="1231"/>
    </row>
    <row r="29" spans="2:9" s="317" customFormat="1" ht="12.75" customHeight="1">
      <c r="B29" s="1278" t="s">
        <v>1272</v>
      </c>
      <c r="C29" s="1255"/>
      <c r="D29" s="2503" t="s">
        <v>2185</v>
      </c>
      <c r="E29" s="2503"/>
      <c r="F29" s="2503"/>
      <c r="G29" s="2503"/>
      <c r="H29" s="2503"/>
      <c r="I29" s="2503"/>
    </row>
    <row r="30" spans="2:9" s="317" customFormat="1">
      <c r="B30" s="1278"/>
      <c r="C30" s="322"/>
      <c r="D30" s="1326" t="s">
        <v>1727</v>
      </c>
      <c r="E30" s="1327"/>
      <c r="F30" s="1327"/>
      <c r="G30" s="1327"/>
      <c r="H30" s="1327"/>
      <c r="I30" s="1327"/>
    </row>
    <row r="31" spans="2:9" s="317" customFormat="1" ht="9.9499999999999993" customHeight="1">
      <c r="B31" s="1278"/>
      <c r="E31" s="1231"/>
    </row>
    <row r="32" spans="2:9" s="317" customFormat="1">
      <c r="B32" s="1278" t="s">
        <v>1271</v>
      </c>
      <c r="C32" s="1255"/>
      <c r="E32" s="1231"/>
    </row>
    <row r="33" spans="2:9" ht="13.5" customHeight="1">
      <c r="B33" s="1278" t="s">
        <v>1549</v>
      </c>
      <c r="C33" s="1255"/>
      <c r="E33" s="1331"/>
      <c r="F33" s="1273" t="s">
        <v>884</v>
      </c>
      <c r="G33" s="1331" t="s">
        <v>2095</v>
      </c>
      <c r="H33" s="1273" t="s">
        <v>99</v>
      </c>
    </row>
    <row r="35" spans="2:9">
      <c r="B35" s="1334" t="s">
        <v>1728</v>
      </c>
      <c r="C35" s="1335"/>
      <c r="D35" s="1240"/>
    </row>
    <row r="36" spans="2:9" ht="6" customHeight="1">
      <c r="B36" s="1334"/>
      <c r="C36" s="1335"/>
      <c r="D36" s="1240"/>
    </row>
    <row r="37" spans="2:9" ht="17.25" customHeight="1">
      <c r="B37" s="1336" t="s">
        <v>1729</v>
      </c>
      <c r="C37" s="2497" t="s">
        <v>1730</v>
      </c>
      <c r="D37" s="2498"/>
      <c r="E37" s="2498"/>
      <c r="F37" s="2499"/>
      <c r="G37" s="2497" t="s">
        <v>1585</v>
      </c>
      <c r="H37" s="2498"/>
      <c r="I37" s="2499"/>
    </row>
    <row r="38" spans="2:9" ht="16.5" customHeight="1">
      <c r="B38" s="1337" t="s">
        <v>2074</v>
      </c>
      <c r="C38" s="2486" t="s">
        <v>2186</v>
      </c>
      <c r="D38" s="2487"/>
      <c r="E38" s="2487"/>
      <c r="F38" s="2488"/>
      <c r="G38" s="2500">
        <v>1481196</v>
      </c>
      <c r="H38" s="2501"/>
      <c r="I38" s="2502"/>
    </row>
    <row r="39" spans="2:9" ht="16.5" customHeight="1">
      <c r="B39" s="1337"/>
      <c r="C39" s="2486"/>
      <c r="D39" s="2487"/>
      <c r="E39" s="2487"/>
      <c r="F39" s="2488"/>
      <c r="G39" s="2489"/>
      <c r="H39" s="2489"/>
      <c r="I39" s="2489"/>
    </row>
    <row r="40" spans="2:9" ht="16.5" customHeight="1">
      <c r="B40" s="1337"/>
      <c r="C40" s="2486"/>
      <c r="D40" s="2487"/>
      <c r="E40" s="2487"/>
      <c r="F40" s="2488"/>
      <c r="G40" s="2489"/>
      <c r="H40" s="2489"/>
      <c r="I40" s="2489"/>
    </row>
    <row r="41" spans="2:9" ht="16.5" customHeight="1">
      <c r="B41" s="1337"/>
      <c r="C41" s="2486"/>
      <c r="D41" s="2487"/>
      <c r="E41" s="2487"/>
      <c r="F41" s="2488"/>
      <c r="G41" s="2489"/>
      <c r="H41" s="2489"/>
      <c r="I41" s="2489"/>
    </row>
    <row r="42" spans="2:9" ht="16.5" customHeight="1">
      <c r="B42" s="1337"/>
      <c r="C42" s="2486"/>
      <c r="D42" s="2487"/>
      <c r="E42" s="2487"/>
      <c r="F42" s="2488"/>
      <c r="G42" s="2489"/>
      <c r="H42" s="2489"/>
      <c r="I42" s="2489"/>
    </row>
    <row r="43" spans="2:9" ht="16.5" customHeight="1">
      <c r="B43" s="1337"/>
      <c r="C43" s="2504" t="s">
        <v>1586</v>
      </c>
      <c r="D43" s="2505"/>
      <c r="E43" s="2505"/>
      <c r="F43" s="2506"/>
      <c r="G43" s="2507">
        <f>SUM(G38:I42)</f>
        <v>1481196</v>
      </c>
      <c r="H43" s="2507"/>
      <c r="I43" s="2507"/>
    </row>
    <row r="44" spans="2:9" ht="12.75" customHeight="1"/>
    <row r="45" spans="2:9" ht="12.75" customHeight="1">
      <c r="B45" s="1328" t="s">
        <v>1812</v>
      </c>
      <c r="D45" s="2508">
        <v>5396311</v>
      </c>
      <c r="E45" s="2509"/>
    </row>
    <row r="46" spans="2:9" ht="5.25" customHeight="1">
      <c r="B46" s="1338"/>
      <c r="D46" s="1339"/>
      <c r="E46" s="1340"/>
    </row>
    <row r="47" spans="2:9" ht="12.75" customHeight="1">
      <c r="B47" s="1273" t="s">
        <v>1587</v>
      </c>
      <c r="C47" s="1273"/>
      <c r="D47" s="1341">
        <f>+G43/D45</f>
        <v>0.27448306815526385</v>
      </c>
      <c r="E47" s="1342"/>
      <c r="F47" s="1343"/>
      <c r="I47" s="1344"/>
    </row>
    <row r="48" spans="2:9" ht="9.9499999999999993" customHeight="1"/>
    <row r="49" spans="1:9">
      <c r="B49" s="1278" t="s">
        <v>1270</v>
      </c>
      <c r="C49" s="1255"/>
      <c r="D49" s="1255"/>
      <c r="E49" s="2510">
        <v>750000</v>
      </c>
      <c r="F49" s="2510"/>
      <c r="G49" s="2510"/>
      <c r="H49" s="322"/>
    </row>
    <row r="51" spans="1:9" ht="13.5" customHeight="1">
      <c r="B51" s="1278" t="s">
        <v>1269</v>
      </c>
      <c r="C51" s="1255"/>
      <c r="E51" s="1331" t="s">
        <v>2095</v>
      </c>
      <c r="F51" s="1273" t="s">
        <v>884</v>
      </c>
      <c r="G51" s="1331"/>
      <c r="H51" s="1273" t="s">
        <v>99</v>
      </c>
    </row>
    <row r="52" spans="1:9">
      <c r="B52" s="1277"/>
      <c r="C52" s="1270"/>
      <c r="D52" s="1345"/>
      <c r="E52" s="1346"/>
      <c r="F52" s="1347"/>
      <c r="G52" s="1347"/>
      <c r="H52" s="1347"/>
      <c r="I52" s="1347"/>
    </row>
    <row r="53" spans="1:9" ht="6" customHeight="1">
      <c r="B53" s="1322"/>
      <c r="C53" s="322"/>
      <c r="D53" s="1348"/>
      <c r="E53" s="1349"/>
      <c r="F53" s="1350"/>
      <c r="G53" s="1350"/>
      <c r="H53" s="1350"/>
      <c r="I53" s="1350"/>
    </row>
    <row r="54" spans="1:9" s="1354" customFormat="1" ht="14.25">
      <c r="A54" s="1351"/>
      <c r="B54" s="1352" t="s">
        <v>1731</v>
      </c>
      <c r="C54" s="1353"/>
      <c r="D54" s="1353"/>
    </row>
    <row r="55" spans="1:9" s="1354" customFormat="1" ht="12.75" customHeight="1">
      <c r="A55" s="1351"/>
      <c r="B55" s="1355" t="s">
        <v>1588</v>
      </c>
      <c r="C55" s="1351"/>
      <c r="D55" s="1351"/>
    </row>
    <row r="56" spans="1:9" s="1354" customFormat="1" ht="12.75" customHeight="1">
      <c r="A56" s="1351"/>
      <c r="B56" s="1355" t="s">
        <v>1589</v>
      </c>
      <c r="C56" s="1351"/>
      <c r="D56" s="1351"/>
    </row>
    <row r="57" spans="1:9" s="1354" customFormat="1" ht="3.95" customHeight="1">
      <c r="A57" s="1351"/>
      <c r="B57" s="1355"/>
      <c r="C57" s="1351"/>
      <c r="D57" s="1351"/>
    </row>
    <row r="58" spans="1:9" s="1354" customFormat="1" ht="13.5" customHeight="1">
      <c r="A58" s="1351"/>
      <c r="B58" s="1356" t="s">
        <v>1732</v>
      </c>
      <c r="C58" s="1357"/>
      <c r="D58" s="1357"/>
    </row>
    <row r="59" spans="1:9" s="1354" customFormat="1" ht="3.95" customHeight="1">
      <c r="A59" s="1351"/>
      <c r="B59" s="1356"/>
      <c r="C59" s="1357"/>
      <c r="D59" s="1357"/>
    </row>
    <row r="60" spans="1:9" s="1354" customFormat="1" ht="13.5" customHeight="1">
      <c r="A60" s="1351"/>
      <c r="B60" s="1356" t="s">
        <v>1733</v>
      </c>
      <c r="C60" s="1357"/>
      <c r="D60" s="1357"/>
    </row>
    <row r="61" spans="1:9" s="1354" customFormat="1" ht="3.95" customHeight="1">
      <c r="A61" s="1351"/>
      <c r="B61" s="1356"/>
      <c r="C61" s="1357"/>
      <c r="D61" s="1357"/>
    </row>
    <row r="62" spans="1:9" s="1354" customFormat="1" ht="12.75" customHeight="1">
      <c r="A62" s="1351"/>
      <c r="B62" s="1356" t="s">
        <v>1734</v>
      </c>
      <c r="C62" s="1357"/>
      <c r="D62" s="1357"/>
    </row>
    <row r="63" spans="1:9" s="1354" customFormat="1" ht="13.5" customHeight="1">
      <c r="A63" s="1351"/>
      <c r="B63" s="1355" t="s">
        <v>1590</v>
      </c>
      <c r="C63" s="1351"/>
      <c r="D63" s="135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C37:F37"/>
    <mergeCell ref="G37:I37"/>
    <mergeCell ref="C38:F38"/>
    <mergeCell ref="G38:I38"/>
    <mergeCell ref="D29:I29"/>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pageSetUpPr fitToPage="1"/>
  </sheetPr>
  <dimension ref="A1:M41"/>
  <sheetViews>
    <sheetView showGridLines="0" zoomScale="110" zoomScaleNormal="110" workbookViewId="0">
      <selection activeCell="D11" sqref="D11"/>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31" customWidth="1"/>
    <col min="8" max="8" width="10.5703125" style="317" customWidth="1"/>
    <col min="9" max="9" width="3.42578125" style="123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90" t="str">
        <f>'Single Audit Cover'!A7</f>
        <v>Joliet Twp HSD 204</v>
      </c>
      <c r="C1" s="2490"/>
      <c r="D1" s="2490"/>
      <c r="E1" s="2490"/>
      <c r="F1" s="2490"/>
      <c r="G1" s="2490"/>
      <c r="H1" s="2490"/>
      <c r="I1" s="2490"/>
      <c r="J1" s="2490"/>
      <c r="K1" s="2490"/>
      <c r="L1" s="1280"/>
      <c r="M1" s="1280"/>
    </row>
    <row r="2" spans="1:13" ht="12" customHeight="1">
      <c r="B2" s="2492">
        <f>'Single Audit Cover'!E7</f>
        <v>56099204017</v>
      </c>
      <c r="C2" s="2492"/>
      <c r="D2" s="2492"/>
      <c r="E2" s="2492"/>
      <c r="F2" s="2492"/>
      <c r="G2" s="2492"/>
      <c r="H2" s="2492"/>
      <c r="I2" s="2492"/>
      <c r="J2" s="2492"/>
      <c r="K2" s="2492"/>
      <c r="L2" s="1281"/>
      <c r="M2" s="1282"/>
    </row>
    <row r="3" spans="1:13" ht="10.35" customHeight="1">
      <c r="B3" s="2513" t="s">
        <v>1282</v>
      </c>
      <c r="C3" s="2513"/>
      <c r="D3" s="2513"/>
      <c r="E3" s="2513"/>
      <c r="F3" s="2513"/>
      <c r="G3" s="2513"/>
      <c r="H3" s="2513"/>
      <c r="I3" s="2513"/>
      <c r="J3" s="2513"/>
      <c r="K3" s="2513"/>
      <c r="L3" s="1283"/>
      <c r="M3" s="1283"/>
    </row>
    <row r="4" spans="1:13" ht="14.25" customHeight="1">
      <c r="B4" s="2514" t="str">
        <f>'Single Audit Cover'!A4</f>
        <v>Year Ending June 30, 2019</v>
      </c>
      <c r="C4" s="2514"/>
      <c r="D4" s="2514"/>
      <c r="E4" s="2514"/>
      <c r="F4" s="2514"/>
      <c r="G4" s="2514"/>
      <c r="H4" s="2514"/>
      <c r="I4" s="2514"/>
      <c r="J4" s="2514"/>
      <c r="K4" s="2514"/>
      <c r="L4" s="313"/>
      <c r="M4" s="313"/>
    </row>
    <row r="5" spans="1:13" ht="7.5" customHeight="1">
      <c r="B5" s="1233" t="s">
        <v>1168</v>
      </c>
      <c r="C5" s="1233"/>
    </row>
    <row r="6" spans="1:13" ht="7.5" customHeight="1">
      <c r="B6" s="1284"/>
      <c r="C6" s="1284"/>
      <c r="D6" s="1285"/>
      <c r="E6" s="1285"/>
      <c r="F6" s="1285"/>
      <c r="G6" s="1286"/>
      <c r="H6" s="1285"/>
      <c r="I6" s="1286"/>
      <c r="J6" s="1285"/>
      <c r="K6" s="1285"/>
      <c r="L6" s="1287"/>
    </row>
    <row r="7" spans="1:13" ht="12.75" customHeight="1">
      <c r="A7" s="1255"/>
      <c r="B7" s="2514" t="s">
        <v>1293</v>
      </c>
      <c r="C7" s="2514"/>
      <c r="D7" s="2515"/>
      <c r="E7" s="2515"/>
      <c r="F7" s="2515"/>
      <c r="G7" s="2515"/>
      <c r="H7" s="2515"/>
      <c r="I7" s="2515"/>
      <c r="J7" s="2515"/>
      <c r="K7" s="2515"/>
      <c r="L7" s="1288"/>
    </row>
    <row r="8" spans="1:13" ht="7.5" customHeight="1">
      <c r="B8" s="322"/>
      <c r="C8" s="322"/>
      <c r="D8" s="322"/>
      <c r="E8" s="322"/>
      <c r="F8" s="322"/>
      <c r="G8" s="1289"/>
      <c r="H8" s="322"/>
      <c r="I8" s="1289"/>
      <c r="J8" s="322"/>
      <c r="K8" s="322"/>
      <c r="L8" s="1287"/>
    </row>
    <row r="9" spans="1:13" ht="9.6" customHeight="1">
      <c r="B9" s="1285"/>
      <c r="C9" s="1285"/>
      <c r="D9" s="1285"/>
      <c r="E9" s="1285"/>
      <c r="F9" s="1285"/>
      <c r="G9" s="1286"/>
      <c r="H9" s="1285"/>
      <c r="I9" s="1286"/>
      <c r="J9" s="1285"/>
      <c r="K9" s="1285"/>
      <c r="L9" s="1287"/>
    </row>
    <row r="10" spans="1:13" ht="16.5" customHeight="1">
      <c r="B10" s="1290" t="s">
        <v>2086</v>
      </c>
      <c r="C10" s="1291" t="s">
        <v>1962</v>
      </c>
      <c r="D10" s="1292" t="s">
        <v>2187</v>
      </c>
      <c r="E10" s="322"/>
      <c r="F10" s="1293" t="s">
        <v>1292</v>
      </c>
      <c r="G10" s="1294"/>
      <c r="H10" s="1295" t="s">
        <v>1291</v>
      </c>
      <c r="I10" s="1294"/>
      <c r="J10" s="1296" t="s">
        <v>1290</v>
      </c>
      <c r="K10" s="322"/>
      <c r="L10" s="1287"/>
    </row>
    <row r="11" spans="1:13" ht="13.5" customHeight="1">
      <c r="B11" s="322"/>
      <c r="C11" s="322"/>
      <c r="D11" s="322"/>
      <c r="E11" s="322"/>
      <c r="F11" s="322"/>
      <c r="G11" s="1289"/>
      <c r="H11" s="322"/>
      <c r="I11" s="1297" t="s">
        <v>1289</v>
      </c>
      <c r="J11" s="322"/>
      <c r="K11" s="1298"/>
      <c r="L11" s="1287"/>
    </row>
    <row r="12" spans="1:13" ht="13.5" customHeight="1">
      <c r="B12" s="1267"/>
      <c r="C12" s="1267"/>
      <c r="D12" s="322"/>
      <c r="E12" s="322"/>
      <c r="F12" s="322"/>
      <c r="G12" s="1289"/>
      <c r="H12" s="322"/>
      <c r="I12" s="1289"/>
      <c r="J12" s="322"/>
      <c r="L12" s="1287"/>
    </row>
    <row r="13" spans="1:13" s="1255" customFormat="1" ht="13.5" customHeight="1">
      <c r="B13" s="1299" t="s">
        <v>1288</v>
      </c>
      <c r="C13" s="1299"/>
      <c r="D13" s="1300"/>
      <c r="E13" s="1300"/>
      <c r="F13" s="1300"/>
      <c r="G13" s="1301"/>
      <c r="H13" s="1300"/>
      <c r="I13" s="1301"/>
      <c r="J13" s="1300"/>
      <c r="K13" s="1300"/>
      <c r="L13" s="1302"/>
    </row>
    <row r="14" spans="1:13" ht="45.75" customHeight="1">
      <c r="B14" s="2512"/>
      <c r="C14" s="2512"/>
      <c r="D14" s="2512"/>
      <c r="E14" s="2512"/>
      <c r="F14" s="2512"/>
      <c r="G14" s="2512"/>
      <c r="H14" s="2512"/>
      <c r="I14" s="2512"/>
      <c r="J14" s="2512"/>
      <c r="K14" s="2512"/>
      <c r="L14" s="1303"/>
    </row>
    <row r="15" spans="1:13" ht="4.5" customHeight="1">
      <c r="B15" s="1304"/>
      <c r="C15" s="1304"/>
      <c r="D15" s="1305"/>
      <c r="E15" s="1305"/>
      <c r="F15" s="1305"/>
      <c r="H15" s="1305"/>
      <c r="J15" s="1305"/>
      <c r="K15" s="1305"/>
      <c r="L15" s="1303"/>
    </row>
    <row r="16" spans="1:13" s="1255" customFormat="1" ht="13.5" customHeight="1">
      <c r="B16" s="1299" t="s">
        <v>1287</v>
      </c>
      <c r="C16" s="1299"/>
      <c r="D16" s="1300"/>
      <c r="E16" s="1300"/>
      <c r="F16" s="1300"/>
      <c r="G16" s="1301"/>
      <c r="H16" s="1300"/>
      <c r="I16" s="1301"/>
      <c r="J16" s="1300"/>
      <c r="K16" s="1300"/>
      <c r="L16" s="1302"/>
    </row>
    <row r="17" spans="2:12" ht="45.75" customHeight="1">
      <c r="B17" s="2512"/>
      <c r="C17" s="2512"/>
      <c r="D17" s="2512"/>
      <c r="E17" s="2512"/>
      <c r="F17" s="2512"/>
      <c r="G17" s="2512"/>
      <c r="H17" s="2512"/>
      <c r="I17" s="2512"/>
      <c r="J17" s="2512"/>
      <c r="K17" s="2512"/>
      <c r="L17" s="1287"/>
    </row>
    <row r="18" spans="2:12" ht="4.5" customHeight="1">
      <c r="B18" s="1304"/>
      <c r="C18" s="1304"/>
      <c r="L18" s="1287"/>
    </row>
    <row r="19" spans="2:12" s="1255" customFormat="1" ht="13.5" customHeight="1">
      <c r="B19" s="1299" t="s">
        <v>2087</v>
      </c>
      <c r="C19" s="1299"/>
      <c r="D19" s="1300"/>
      <c r="E19" s="1300"/>
      <c r="F19" s="1300"/>
      <c r="G19" s="1301"/>
      <c r="H19" s="1300"/>
      <c r="I19" s="1301"/>
      <c r="J19" s="1300"/>
      <c r="K19" s="1300"/>
      <c r="L19" s="1302"/>
    </row>
    <row r="20" spans="2:12" ht="45.75" customHeight="1">
      <c r="B20" s="2516"/>
      <c r="C20" s="2516"/>
      <c r="D20" s="2512"/>
      <c r="E20" s="2512"/>
      <c r="F20" s="2512"/>
      <c r="G20" s="2512"/>
      <c r="H20" s="2512"/>
      <c r="I20" s="2512"/>
      <c r="J20" s="2512"/>
      <c r="K20" s="2512"/>
      <c r="L20" s="1287"/>
    </row>
    <row r="21" spans="2:12" ht="4.5" customHeight="1">
      <c r="B21" s="1306"/>
      <c r="C21" s="1306"/>
      <c r="L21" s="1287"/>
    </row>
    <row r="22" spans="2:12" ht="13.5" customHeight="1">
      <c r="B22" s="1299" t="s">
        <v>1286</v>
      </c>
      <c r="C22" s="1299"/>
      <c r="D22" s="1285"/>
      <c r="E22" s="1285"/>
      <c r="F22" s="1285"/>
      <c r="G22" s="1286"/>
      <c r="H22" s="1285"/>
      <c r="I22" s="1286"/>
      <c r="J22" s="1285"/>
      <c r="K22" s="1285"/>
      <c r="L22" s="1287"/>
    </row>
    <row r="23" spans="2:12" ht="45" customHeight="1">
      <c r="B23" s="2512"/>
      <c r="C23" s="2512"/>
      <c r="D23" s="2512"/>
      <c r="E23" s="2512"/>
      <c r="F23" s="2512"/>
      <c r="G23" s="2512"/>
      <c r="H23" s="2512"/>
      <c r="I23" s="2512"/>
      <c r="J23" s="2512"/>
      <c r="K23" s="2512"/>
      <c r="L23" s="1287"/>
    </row>
    <row r="24" spans="2:12" ht="4.5" customHeight="1">
      <c r="B24" s="1304"/>
      <c r="C24" s="1304"/>
      <c r="L24" s="1287"/>
    </row>
    <row r="25" spans="2:12" ht="13.5" customHeight="1">
      <c r="B25" s="1299" t="s">
        <v>1285</v>
      </c>
      <c r="C25" s="1299"/>
      <c r="D25" s="1285"/>
      <c r="E25" s="1285"/>
      <c r="F25" s="1285"/>
      <c r="G25" s="1286"/>
      <c r="H25" s="1285"/>
      <c r="I25" s="1286"/>
      <c r="J25" s="1285"/>
      <c r="K25" s="1285"/>
      <c r="L25" s="1287"/>
    </row>
    <row r="26" spans="2:12" ht="45.75" customHeight="1">
      <c r="B26" s="2512"/>
      <c r="C26" s="2512"/>
      <c r="D26" s="2512"/>
      <c r="E26" s="2512"/>
      <c r="F26" s="2512"/>
      <c r="G26" s="2512"/>
      <c r="H26" s="2512"/>
      <c r="I26" s="2512"/>
      <c r="J26" s="2512"/>
      <c r="K26" s="2512"/>
      <c r="L26" s="1287"/>
    </row>
    <row r="27" spans="2:12" ht="4.5" customHeight="1">
      <c r="B27" s="1304"/>
      <c r="C27" s="1304"/>
      <c r="L27" s="1287"/>
    </row>
    <row r="28" spans="2:12" ht="13.5" customHeight="1">
      <c r="B28" s="1307" t="s">
        <v>1284</v>
      </c>
      <c r="C28" s="1307"/>
      <c r="D28" s="1285"/>
      <c r="E28" s="1285"/>
      <c r="F28" s="1285"/>
      <c r="G28" s="1286"/>
      <c r="H28" s="1285"/>
      <c r="I28" s="1286"/>
      <c r="J28" s="1285"/>
      <c r="K28" s="1285"/>
      <c r="L28" s="1287"/>
    </row>
    <row r="29" spans="2:12" ht="45.75" customHeight="1">
      <c r="B29" s="2511"/>
      <c r="C29" s="2511"/>
      <c r="D29" s="2512"/>
      <c r="E29" s="2512"/>
      <c r="F29" s="2512"/>
      <c r="G29" s="2512"/>
      <c r="H29" s="2512"/>
      <c r="I29" s="2512"/>
      <c r="J29" s="2512"/>
      <c r="K29" s="2512"/>
      <c r="L29" s="1287"/>
    </row>
    <row r="30" spans="2:12" ht="4.5" customHeight="1">
      <c r="B30" s="1308"/>
      <c r="C30" s="1308"/>
      <c r="D30" s="322"/>
      <c r="E30" s="322"/>
      <c r="F30" s="322"/>
      <c r="G30" s="1289"/>
      <c r="H30" s="322"/>
      <c r="I30" s="1289"/>
      <c r="J30" s="322"/>
      <c r="K30" s="322"/>
      <c r="L30" s="1287"/>
    </row>
    <row r="31" spans="2:12" s="322" customFormat="1" ht="13.5" customHeight="1">
      <c r="B31" s="1309" t="s">
        <v>2088</v>
      </c>
      <c r="C31" s="1309"/>
      <c r="D31" s="1284"/>
      <c r="E31" s="1285"/>
      <c r="F31" s="1285"/>
      <c r="G31" s="1286"/>
      <c r="H31" s="1285"/>
      <c r="I31" s="1286"/>
      <c r="J31" s="1285"/>
      <c r="K31" s="1285"/>
      <c r="L31" s="1287"/>
    </row>
    <row r="32" spans="2:12" s="322" customFormat="1" ht="44.25" customHeight="1">
      <c r="B32" s="2511"/>
      <c r="C32" s="2511"/>
      <c r="D32" s="2512"/>
      <c r="E32" s="2512"/>
      <c r="F32" s="2512"/>
      <c r="G32" s="2512"/>
      <c r="H32" s="2512"/>
      <c r="I32" s="2512"/>
      <c r="J32" s="2512"/>
      <c r="K32" s="2512"/>
      <c r="L32" s="1287"/>
    </row>
    <row r="33" spans="1:13" s="322" customFormat="1" ht="4.5" customHeight="1">
      <c r="B33" s="1308"/>
      <c r="C33" s="1308"/>
      <c r="G33" s="1289"/>
      <c r="I33" s="1289"/>
      <c r="L33" s="1287"/>
    </row>
    <row r="34" spans="1:13" s="322" customFormat="1">
      <c r="A34" s="1270"/>
      <c r="B34" s="1310"/>
      <c r="C34" s="1310"/>
      <c r="D34" s="1310"/>
      <c r="E34" s="1310"/>
      <c r="F34" s="1310"/>
      <c r="G34" s="1311"/>
      <c r="H34" s="1310"/>
      <c r="I34" s="1311"/>
      <c r="J34" s="1310"/>
      <c r="K34" s="1310"/>
      <c r="L34" s="1287"/>
    </row>
    <row r="35" spans="1:13" ht="11.85" customHeight="1">
      <c r="B35" s="1312" t="s">
        <v>1724</v>
      </c>
      <c r="C35" s="1312"/>
      <c r="D35" s="322"/>
      <c r="E35" s="322"/>
      <c r="F35" s="322"/>
      <c r="L35" s="1287"/>
    </row>
    <row r="36" spans="1:13" ht="9.6" customHeight="1">
      <c r="B36" s="1273" t="s">
        <v>1813</v>
      </c>
      <c r="C36" s="1273"/>
      <c r="L36" s="1287"/>
    </row>
    <row r="37" spans="1:13" ht="9.6" customHeight="1">
      <c r="B37" s="1273" t="s">
        <v>1814</v>
      </c>
      <c r="C37" s="1273"/>
    </row>
    <row r="38" spans="1:13" ht="11.85" customHeight="1">
      <c r="B38" s="1313" t="s">
        <v>1725</v>
      </c>
      <c r="C38" s="1313"/>
    </row>
    <row r="39" spans="1:13" ht="9.6" customHeight="1">
      <c r="B39" s="1273" t="s">
        <v>1283</v>
      </c>
      <c r="C39" s="1273"/>
      <c r="M39" s="1314"/>
    </row>
    <row r="40" spans="1:13" ht="12.6" customHeight="1">
      <c r="B40" s="1313" t="s">
        <v>1726</v>
      </c>
      <c r="C40" s="1313"/>
      <c r="M40" s="1314"/>
    </row>
    <row r="41" spans="1:13" ht="9.6" customHeight="1">
      <c r="B41" s="1273"/>
      <c r="C41" s="1273"/>
      <c r="M41" s="131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5" top="0.68" bottom="0.47" header="0.26" footer="0.31"/>
  <pageSetup scale="98" firstPageNumber="12"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pageSetUpPr fitToPage="1"/>
  </sheetPr>
  <dimension ref="A1:L48"/>
  <sheetViews>
    <sheetView showGridLines="0" zoomScale="110" zoomScaleNormal="110" workbookViewId="0">
      <selection activeCell="D9" sqref="D9"/>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31" customWidth="1"/>
    <col min="8" max="8" width="10.5703125" style="317" customWidth="1"/>
    <col min="9" max="9" width="3.42578125" style="123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517" t="str">
        <f>'Single Audit Cover'!A7</f>
        <v>Joliet Twp HSD 204</v>
      </c>
      <c r="C1" s="2517"/>
      <c r="D1" s="2517"/>
      <c r="E1" s="2517"/>
      <c r="F1" s="2517"/>
      <c r="G1" s="2517"/>
      <c r="H1" s="2517"/>
      <c r="I1" s="2517"/>
      <c r="J1" s="2517"/>
      <c r="K1" s="2517"/>
      <c r="L1" s="1358"/>
    </row>
    <row r="2" spans="1:12" ht="12.75" customHeight="1">
      <c r="B2" s="2518">
        <f>'Single Audit Cover'!E7</f>
        <v>56099204017</v>
      </c>
      <c r="C2" s="2518"/>
      <c r="D2" s="2518"/>
      <c r="E2" s="2518"/>
      <c r="F2" s="2518"/>
      <c r="G2" s="2518"/>
      <c r="H2" s="2518"/>
      <c r="I2" s="2518"/>
      <c r="J2" s="2518"/>
      <c r="K2" s="2518"/>
      <c r="L2" s="1359"/>
    </row>
    <row r="3" spans="1:12" ht="12.75" customHeight="1">
      <c r="B3" s="2513" t="s">
        <v>1282</v>
      </c>
      <c r="C3" s="2513"/>
      <c r="D3" s="2513"/>
      <c r="E3" s="2513"/>
      <c r="F3" s="2513"/>
      <c r="G3" s="2513"/>
      <c r="H3" s="2513"/>
      <c r="I3" s="2513"/>
      <c r="J3" s="2513"/>
      <c r="K3" s="2513"/>
      <c r="L3" s="1283"/>
    </row>
    <row r="4" spans="1:12" ht="12.75" customHeight="1">
      <c r="B4" s="2513" t="str">
        <f>'Single Audit Cover'!A4</f>
        <v>Year Ending June 30, 2019</v>
      </c>
      <c r="C4" s="2513"/>
      <c r="D4" s="2513"/>
      <c r="E4" s="2513"/>
      <c r="F4" s="2513"/>
      <c r="G4" s="2513"/>
      <c r="H4" s="2513"/>
      <c r="I4" s="2513"/>
      <c r="J4" s="2513"/>
      <c r="K4" s="2513"/>
      <c r="L4" s="1283"/>
    </row>
    <row r="5" spans="1:12" ht="5.25" customHeight="1">
      <c r="B5" s="1233" t="s">
        <v>1168</v>
      </c>
      <c r="C5" s="1233"/>
      <c r="L5" s="322"/>
    </row>
    <row r="6" spans="1:12" ht="30.75" customHeight="1">
      <c r="A6" s="322"/>
      <c r="B6" s="2519" t="s">
        <v>1305</v>
      </c>
      <c r="C6" s="2519"/>
      <c r="D6" s="2519"/>
      <c r="E6" s="2519"/>
      <c r="F6" s="2519"/>
      <c r="G6" s="2519"/>
      <c r="H6" s="2519"/>
      <c r="I6" s="2519"/>
      <c r="J6" s="2519"/>
      <c r="K6" s="2519"/>
      <c r="L6" s="322"/>
    </row>
    <row r="7" spans="1:12" ht="4.5" customHeight="1">
      <c r="B7" s="1285"/>
      <c r="C7" s="1285"/>
      <c r="D7" s="1285"/>
      <c r="E7" s="1285"/>
      <c r="F7" s="1285"/>
      <c r="G7" s="1286"/>
      <c r="H7" s="1285"/>
      <c r="I7" s="1286"/>
      <c r="J7" s="1285"/>
      <c r="K7" s="1285"/>
      <c r="L7" s="322"/>
    </row>
    <row r="8" spans="1:12" ht="13.5" customHeight="1">
      <c r="B8" s="1293" t="s">
        <v>2089</v>
      </c>
      <c r="C8" s="1360" t="s">
        <v>1962</v>
      </c>
      <c r="D8" s="1361" t="s">
        <v>2187</v>
      </c>
      <c r="E8" s="322"/>
      <c r="F8" s="1290" t="s">
        <v>1292</v>
      </c>
      <c r="G8" s="1362"/>
      <c r="H8" s="1363" t="s">
        <v>1304</v>
      </c>
      <c r="I8" s="1362"/>
      <c r="J8" s="1364" t="s">
        <v>1303</v>
      </c>
      <c r="L8" s="322"/>
    </row>
    <row r="9" spans="1:12" ht="13.5" customHeight="1">
      <c r="D9" s="322"/>
      <c r="E9" s="322"/>
      <c r="F9" s="322"/>
      <c r="G9" s="1289"/>
      <c r="H9" s="322"/>
      <c r="I9" s="1365" t="s">
        <v>1289</v>
      </c>
      <c r="J9" s="322"/>
      <c r="K9" s="1366"/>
      <c r="L9" s="322"/>
    </row>
    <row r="10" spans="1:12" ht="4.5" customHeight="1">
      <c r="B10" s="1367"/>
      <c r="C10" s="1367"/>
      <c r="D10" s="1320"/>
      <c r="E10" s="1320"/>
      <c r="F10" s="1320"/>
      <c r="G10" s="1321"/>
      <c r="H10" s="1320"/>
      <c r="I10" s="1321"/>
      <c r="J10" s="1320"/>
      <c r="K10" s="1320"/>
      <c r="L10" s="322"/>
    </row>
    <row r="11" spans="1:12" ht="5.25" customHeight="1">
      <c r="B11" s="322"/>
      <c r="C11" s="322"/>
      <c r="D11" s="304"/>
      <c r="E11" s="322"/>
      <c r="F11" s="322"/>
      <c r="G11" s="1289"/>
      <c r="H11" s="322"/>
      <c r="I11" s="1289"/>
      <c r="J11" s="322"/>
      <c r="K11" s="1325"/>
      <c r="L11" s="322"/>
    </row>
    <row r="12" spans="1:12" ht="13.5" customHeight="1">
      <c r="B12" s="1290" t="s">
        <v>1302</v>
      </c>
      <c r="C12" s="1290"/>
      <c r="D12" s="304"/>
      <c r="E12" s="322"/>
      <c r="F12" s="2503"/>
      <c r="G12" s="2503"/>
      <c r="H12" s="2503"/>
      <c r="I12" s="2503"/>
      <c r="J12" s="2503"/>
      <c r="K12" s="2503"/>
      <c r="L12" s="322"/>
    </row>
    <row r="13" spans="1:12" ht="9.6" customHeight="1">
      <c r="B13" s="1230"/>
      <c r="C13" s="1230"/>
      <c r="D13" s="304"/>
      <c r="E13" s="322"/>
      <c r="F13" s="322"/>
      <c r="G13" s="1289"/>
      <c r="H13" s="322"/>
      <c r="I13" s="1289"/>
      <c r="J13" s="322"/>
      <c r="K13" s="1325"/>
      <c r="L13" s="322"/>
    </row>
    <row r="14" spans="1:12" ht="13.5" customHeight="1">
      <c r="B14" s="1293" t="s">
        <v>1301</v>
      </c>
      <c r="C14" s="1293"/>
      <c r="D14" s="2520"/>
      <c r="E14" s="2520"/>
      <c r="F14" s="2520"/>
      <c r="H14" s="1368" t="s">
        <v>1300</v>
      </c>
      <c r="I14" s="2521"/>
      <c r="J14" s="2521"/>
      <c r="K14" s="2521"/>
      <c r="L14" s="322"/>
    </row>
    <row r="15" spans="1:12" ht="9.4" customHeight="1">
      <c r="B15" s="1293"/>
      <c r="C15" s="1293"/>
      <c r="D15" s="1279"/>
      <c r="E15" s="1233"/>
      <c r="F15" s="1233"/>
      <c r="G15" s="1259"/>
      <c r="H15" s="1233"/>
      <c r="I15" s="1369"/>
      <c r="J15" s="1267"/>
      <c r="K15" s="1264"/>
      <c r="L15" s="322"/>
    </row>
    <row r="16" spans="1:12" ht="13.5" customHeight="1">
      <c r="B16" s="1293" t="s">
        <v>1299</v>
      </c>
      <c r="C16" s="1293"/>
      <c r="D16" s="2521"/>
      <c r="E16" s="2521"/>
      <c r="F16" s="2521"/>
      <c r="G16" s="2521"/>
      <c r="H16" s="2521"/>
      <c r="I16" s="2521"/>
      <c r="J16" s="2521"/>
      <c r="K16" s="2521"/>
      <c r="L16" s="322"/>
    </row>
    <row r="17" spans="2:12" ht="13.5" customHeight="1">
      <c r="B17" s="1293" t="s">
        <v>1298</v>
      </c>
      <c r="C17" s="1293"/>
      <c r="D17" s="2522"/>
      <c r="E17" s="2522"/>
      <c r="F17" s="2522"/>
      <c r="G17" s="2522"/>
      <c r="H17" s="2522"/>
      <c r="I17" s="2522"/>
      <c r="J17" s="2522"/>
      <c r="K17" s="2522"/>
      <c r="L17" s="322"/>
    </row>
    <row r="18" spans="2:12" ht="9.4" customHeight="1">
      <c r="B18" s="1320"/>
      <c r="C18" s="1320"/>
      <c r="D18" s="1320"/>
      <c r="E18" s="1320"/>
      <c r="F18" s="1320"/>
      <c r="G18" s="1321"/>
      <c r="H18" s="1320"/>
      <c r="I18" s="1321"/>
      <c r="J18" s="1320"/>
      <c r="K18" s="1320"/>
      <c r="L18" s="322"/>
    </row>
    <row r="19" spans="2:12" ht="13.5" customHeight="1">
      <c r="B19" s="1370" t="s">
        <v>1297</v>
      </c>
      <c r="C19" s="1370"/>
      <c r="D19" s="328"/>
      <c r="E19" s="328"/>
      <c r="F19" s="328"/>
      <c r="G19" s="1371"/>
      <c r="H19" s="328"/>
      <c r="I19" s="1371"/>
      <c r="J19" s="322"/>
      <c r="K19" s="322"/>
      <c r="L19" s="322"/>
    </row>
    <row r="20" spans="2:12" ht="35.25" customHeight="1">
      <c r="B20" s="2512"/>
      <c r="C20" s="2512"/>
      <c r="D20" s="2512"/>
      <c r="E20" s="2512"/>
      <c r="F20" s="2512"/>
      <c r="G20" s="2512"/>
      <c r="H20" s="2512"/>
      <c r="I20" s="2512"/>
      <c r="J20" s="2512"/>
      <c r="K20" s="2512"/>
      <c r="L20" s="1325"/>
    </row>
    <row r="21" spans="2:12" ht="4.5" customHeight="1">
      <c r="B21" s="1372"/>
      <c r="C21" s="1372"/>
      <c r="D21" s="1373"/>
      <c r="E21" s="1373"/>
      <c r="F21" s="1373"/>
      <c r="G21" s="1321"/>
      <c r="H21" s="1373"/>
      <c r="I21" s="1321"/>
      <c r="J21" s="1373"/>
      <c r="K21" s="1373"/>
      <c r="L21" s="1325"/>
    </row>
    <row r="22" spans="2:12" ht="13.35" customHeight="1">
      <c r="B22" s="1370" t="s">
        <v>2090</v>
      </c>
      <c r="C22" s="1370"/>
      <c r="D22" s="322"/>
      <c r="E22" s="322"/>
      <c r="F22" s="322"/>
      <c r="G22" s="1289"/>
      <c r="H22" s="322"/>
      <c r="I22" s="1289"/>
      <c r="J22" s="322"/>
      <c r="K22" s="322"/>
      <c r="L22" s="322"/>
    </row>
    <row r="23" spans="2:12" ht="37.5" customHeight="1">
      <c r="B23" s="2512"/>
      <c r="C23" s="2512"/>
      <c r="D23" s="2512"/>
      <c r="E23" s="2512"/>
      <c r="F23" s="2512"/>
      <c r="G23" s="2512"/>
      <c r="H23" s="2512"/>
      <c r="I23" s="2512"/>
      <c r="J23" s="2512"/>
      <c r="K23" s="2512"/>
      <c r="L23" s="322"/>
    </row>
    <row r="24" spans="2:12" ht="4.5" customHeight="1">
      <c r="B24" s="1372"/>
      <c r="C24" s="1372"/>
      <c r="D24" s="1320"/>
      <c r="E24" s="1320"/>
      <c r="F24" s="1320"/>
      <c r="G24" s="1321"/>
      <c r="H24" s="1320"/>
      <c r="I24" s="1321"/>
      <c r="J24" s="1320"/>
      <c r="K24" s="1320"/>
      <c r="L24" s="322"/>
    </row>
    <row r="25" spans="2:12" ht="13.5" customHeight="1">
      <c r="B25" s="1370" t="s">
        <v>2091</v>
      </c>
      <c r="C25" s="1370"/>
      <c r="D25" s="322"/>
      <c r="E25" s="322"/>
      <c r="F25" s="322"/>
      <c r="G25" s="1289"/>
      <c r="H25" s="322"/>
      <c r="I25" s="1289"/>
      <c r="J25" s="322"/>
      <c r="K25" s="322"/>
      <c r="L25" s="322"/>
    </row>
    <row r="26" spans="2:12" ht="37.5" customHeight="1">
      <c r="B26" s="2512"/>
      <c r="C26" s="2512"/>
      <c r="D26" s="2512"/>
      <c r="E26" s="2512"/>
      <c r="F26" s="2512"/>
      <c r="G26" s="2512"/>
      <c r="H26" s="2512"/>
      <c r="I26" s="2512"/>
      <c r="J26" s="2512"/>
      <c r="K26" s="2512"/>
      <c r="L26" s="322"/>
    </row>
    <row r="27" spans="2:12" ht="4.5" customHeight="1">
      <c r="B27" s="1374"/>
      <c r="C27" s="1374"/>
      <c r="D27" s="1374"/>
      <c r="E27" s="1320"/>
      <c r="F27" s="1320"/>
      <c r="G27" s="1321"/>
      <c r="H27" s="1320"/>
      <c r="I27" s="1321"/>
      <c r="J27" s="1320"/>
      <c r="K27" s="1320"/>
      <c r="L27" s="322"/>
    </row>
    <row r="28" spans="2:12" ht="13.5" customHeight="1">
      <c r="B28" s="1370" t="s">
        <v>2092</v>
      </c>
      <c r="C28" s="1370"/>
      <c r="D28" s="322"/>
      <c r="E28" s="322"/>
      <c r="F28" s="322"/>
      <c r="G28" s="1289"/>
      <c r="H28" s="322"/>
      <c r="I28" s="1289"/>
      <c r="J28" s="322"/>
      <c r="K28" s="322"/>
      <c r="L28" s="322"/>
    </row>
    <row r="29" spans="2:12" ht="37.5" customHeight="1">
      <c r="B29" s="2512"/>
      <c r="C29" s="2512"/>
      <c r="D29" s="2512"/>
      <c r="E29" s="2512"/>
      <c r="F29" s="2512"/>
      <c r="G29" s="2512"/>
      <c r="H29" s="2512"/>
      <c r="I29" s="2512"/>
      <c r="J29" s="2512"/>
      <c r="K29" s="2512"/>
      <c r="L29" s="322"/>
    </row>
    <row r="30" spans="2:12" ht="4.5" customHeight="1">
      <c r="B30" s="1372"/>
      <c r="C30" s="1372"/>
      <c r="D30" s="1320"/>
      <c r="E30" s="1320"/>
      <c r="F30" s="1320"/>
      <c r="G30" s="1321"/>
      <c r="H30" s="1320"/>
      <c r="I30" s="1321"/>
      <c r="J30" s="1320"/>
      <c r="K30" s="1320"/>
      <c r="L30" s="322"/>
    </row>
    <row r="31" spans="2:12" ht="13.5" customHeight="1">
      <c r="B31" s="1370" t="s">
        <v>1296</v>
      </c>
      <c r="C31" s="1370"/>
      <c r="D31" s="322"/>
      <c r="E31" s="322"/>
      <c r="F31" s="322"/>
      <c r="G31" s="1289"/>
      <c r="H31" s="322"/>
      <c r="I31" s="1289"/>
      <c r="J31" s="322"/>
      <c r="K31" s="322"/>
      <c r="L31" s="322"/>
    </row>
    <row r="32" spans="2:12" ht="37.5" customHeight="1">
      <c r="B32" s="2512"/>
      <c r="C32" s="2512"/>
      <c r="D32" s="2512"/>
      <c r="E32" s="2512"/>
      <c r="F32" s="2512"/>
      <c r="G32" s="2512"/>
      <c r="H32" s="2512"/>
      <c r="I32" s="2512"/>
      <c r="J32" s="2512"/>
      <c r="K32" s="2512"/>
      <c r="L32" s="322"/>
    </row>
    <row r="33" spans="2:12" ht="4.5" customHeight="1">
      <c r="B33" s="1372"/>
      <c r="C33" s="1372"/>
      <c r="D33" s="1320"/>
      <c r="E33" s="1320"/>
      <c r="F33" s="1320"/>
      <c r="G33" s="1321"/>
      <c r="H33" s="1320"/>
      <c r="I33" s="1321"/>
      <c r="J33" s="1320"/>
      <c r="K33" s="1320"/>
      <c r="L33" s="322"/>
    </row>
    <row r="34" spans="2:12" ht="13.5" customHeight="1">
      <c r="B34" s="1290" t="s">
        <v>1295</v>
      </c>
      <c r="C34" s="1290"/>
      <c r="D34" s="322"/>
      <c r="E34" s="322"/>
      <c r="F34" s="322"/>
      <c r="G34" s="1289"/>
      <c r="H34" s="322"/>
      <c r="I34" s="1289"/>
      <c r="J34" s="322"/>
      <c r="K34" s="322"/>
      <c r="L34" s="322"/>
    </row>
    <row r="35" spans="2:12" ht="37.5" customHeight="1">
      <c r="B35" s="2512"/>
      <c r="C35" s="2512"/>
      <c r="D35" s="2512"/>
      <c r="E35" s="2512"/>
      <c r="F35" s="2512"/>
      <c r="G35" s="2512"/>
      <c r="H35" s="2512"/>
      <c r="I35" s="2512"/>
      <c r="J35" s="2512"/>
      <c r="K35" s="2512"/>
      <c r="L35" s="322"/>
    </row>
    <row r="36" spans="2:12" ht="4.5" customHeight="1">
      <c r="B36" s="1372"/>
      <c r="C36" s="1372"/>
      <c r="D36" s="1320"/>
      <c r="E36" s="1320"/>
      <c r="F36" s="1320"/>
      <c r="G36" s="1321"/>
      <c r="H36" s="1320"/>
      <c r="I36" s="1321"/>
      <c r="J36" s="1320"/>
      <c r="K36" s="1320"/>
      <c r="L36" s="322"/>
    </row>
    <row r="37" spans="2:12" ht="13.5" customHeight="1">
      <c r="B37" s="1290" t="s">
        <v>1294</v>
      </c>
      <c r="C37" s="1290"/>
      <c r="D37" s="322"/>
      <c r="E37" s="322"/>
      <c r="F37" s="322"/>
      <c r="G37" s="1289"/>
      <c r="H37" s="322"/>
      <c r="I37" s="1289"/>
      <c r="J37" s="322"/>
      <c r="K37" s="322"/>
      <c r="L37" s="322"/>
    </row>
    <row r="38" spans="2:12" ht="35.25" customHeight="1">
      <c r="B38" s="2512"/>
      <c r="C38" s="2512"/>
      <c r="D38" s="2512"/>
      <c r="E38" s="2512"/>
      <c r="F38" s="2512"/>
      <c r="G38" s="2512"/>
      <c r="H38" s="2512"/>
      <c r="I38" s="2512"/>
      <c r="J38" s="2512"/>
      <c r="K38" s="2512"/>
      <c r="L38" s="322"/>
    </row>
    <row r="39" spans="2:12" ht="4.5" customHeight="1">
      <c r="B39" s="1308"/>
      <c r="C39" s="1308"/>
      <c r="D39" s="322"/>
      <c r="E39" s="322"/>
      <c r="F39" s="322"/>
      <c r="G39" s="1289"/>
      <c r="H39" s="322"/>
      <c r="I39" s="1289"/>
      <c r="J39" s="322"/>
      <c r="K39" s="322"/>
      <c r="L39" s="322"/>
    </row>
    <row r="40" spans="2:12" s="322" customFormat="1" ht="13.5" customHeight="1">
      <c r="B40" s="1309" t="s">
        <v>1735</v>
      </c>
      <c r="C40" s="1309"/>
      <c r="D40" s="1284"/>
      <c r="E40" s="1285"/>
      <c r="F40" s="1285"/>
      <c r="G40" s="1286"/>
      <c r="H40" s="1285"/>
      <c r="I40" s="1286"/>
      <c r="J40" s="1285"/>
      <c r="K40" s="1285"/>
    </row>
    <row r="41" spans="2:12" s="322" customFormat="1" ht="33.75" customHeight="1">
      <c r="B41" s="2512"/>
      <c r="C41" s="2512"/>
      <c r="D41" s="2512"/>
      <c r="E41" s="2512"/>
      <c r="F41" s="2512"/>
      <c r="G41" s="2512"/>
      <c r="H41" s="2512"/>
      <c r="I41" s="2512"/>
      <c r="J41" s="2512"/>
      <c r="K41" s="2512"/>
    </row>
    <row r="42" spans="2:12" s="322" customFormat="1" ht="4.5" customHeight="1">
      <c r="B42" s="1308"/>
      <c r="C42" s="1308"/>
      <c r="G42" s="1289"/>
      <c r="I42" s="1289"/>
    </row>
    <row r="43" spans="2:12" ht="7.5" customHeight="1">
      <c r="B43" s="1375"/>
      <c r="C43" s="1375"/>
      <c r="D43" s="1376"/>
      <c r="E43" s="1376"/>
      <c r="F43" s="1376"/>
      <c r="G43" s="1377"/>
      <c r="H43" s="1376"/>
      <c r="I43" s="1377"/>
      <c r="J43" s="1376"/>
      <c r="K43" s="1376"/>
    </row>
    <row r="44" spans="2:12" ht="13.5" customHeight="1">
      <c r="B44" s="1312" t="s">
        <v>1736</v>
      </c>
      <c r="C44" s="1312"/>
      <c r="D44" s="322"/>
      <c r="E44" s="322"/>
      <c r="F44" s="322"/>
    </row>
    <row r="45" spans="2:12" ht="10.5" customHeight="1">
      <c r="B45" s="1313" t="s">
        <v>1737</v>
      </c>
      <c r="C45" s="1313"/>
      <c r="G45" s="317"/>
      <c r="I45" s="317"/>
    </row>
    <row r="46" spans="2:12" ht="11.1" customHeight="1">
      <c r="B46" s="1313" t="s">
        <v>1738</v>
      </c>
      <c r="C46" s="1313"/>
      <c r="G46" s="317"/>
      <c r="I46" s="317"/>
    </row>
    <row r="47" spans="2:12" ht="11.1" customHeight="1">
      <c r="B47" s="1313" t="s">
        <v>1739</v>
      </c>
      <c r="C47" s="1313"/>
      <c r="G47" s="317"/>
      <c r="I47" s="317"/>
    </row>
    <row r="48" spans="2:12" ht="11.1" customHeight="1">
      <c r="B48" s="1313" t="s">
        <v>1740</v>
      </c>
      <c r="C48" s="1313"/>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5" right="0.5" top="0.68" bottom="0.47" header="0.26" footer="0.31"/>
  <pageSetup scale="98" firstPageNumber="13"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pageSetUpPr fitToPage="1"/>
  </sheetPr>
  <dimension ref="B1:E73"/>
  <sheetViews>
    <sheetView showGridLines="0" zoomScale="110" zoomScaleNormal="110" workbookViewId="0">
      <selection activeCell="C8" sqref="C8"/>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5" customFormat="1" ht="12.75" customHeight="1">
      <c r="B1" s="2490" t="str">
        <f>'Single Audit Cover'!A7</f>
        <v>Joliet Twp HSD 204</v>
      </c>
      <c r="C1" s="2490"/>
      <c r="D1" s="2490"/>
      <c r="E1" s="1378"/>
    </row>
    <row r="2" spans="2:5" s="1255" customFormat="1" ht="12.75" customHeight="1">
      <c r="B2" s="2492">
        <f>'Single Audit Cover'!E7</f>
        <v>56099204017</v>
      </c>
      <c r="C2" s="2492"/>
      <c r="D2" s="2492"/>
      <c r="E2" s="1379"/>
    </row>
    <row r="3" spans="2:5" ht="12.75" customHeight="1">
      <c r="B3" s="2513" t="s">
        <v>2093</v>
      </c>
      <c r="C3" s="2513"/>
      <c r="D3" s="2513"/>
      <c r="E3" s="1247"/>
    </row>
    <row r="4" spans="2:5" s="1255" customFormat="1" ht="12.75" customHeight="1">
      <c r="B4" s="2523" t="str">
        <f>'Single Audit Cover'!A4</f>
        <v>Year Ending June 30, 2019</v>
      </c>
      <c r="C4" s="2523"/>
      <c r="D4" s="2523"/>
      <c r="E4" s="1380"/>
    </row>
    <row r="5" spans="2:5" s="1255" customFormat="1" ht="40.15" customHeight="1">
      <c r="B5" s="1381"/>
      <c r="C5" s="328"/>
      <c r="D5" s="328"/>
      <c r="E5" s="328"/>
    </row>
    <row r="6" spans="2:5" s="1255" customFormat="1" ht="13.5" customHeight="1">
      <c r="B6" s="1382" t="s">
        <v>1312</v>
      </c>
      <c r="C6" s="1382" t="s">
        <v>1311</v>
      </c>
      <c r="D6" s="1382" t="s">
        <v>2094</v>
      </c>
    </row>
    <row r="7" spans="2:5" ht="13.5" customHeight="1">
      <c r="B7" s="1383" t="s">
        <v>2187</v>
      </c>
      <c r="C7" s="324"/>
      <c r="D7" s="324"/>
      <c r="E7" s="324"/>
    </row>
    <row r="8" spans="2:5" ht="13.5" customHeight="1">
      <c r="B8" s="1383"/>
      <c r="C8" s="324"/>
      <c r="D8" s="324"/>
      <c r="E8" s="324"/>
    </row>
    <row r="9" spans="2:5" ht="13.5" customHeight="1">
      <c r="B9" s="1384"/>
      <c r="C9" s="323"/>
      <c r="D9" s="323"/>
      <c r="E9" s="323"/>
    </row>
    <row r="10" spans="2:5" ht="13.5" customHeight="1">
      <c r="B10" s="1383"/>
      <c r="C10" s="323"/>
      <c r="D10" s="323"/>
      <c r="E10" s="323"/>
    </row>
    <row r="11" spans="2:5" ht="13.5" customHeight="1">
      <c r="B11" s="1383"/>
      <c r="C11" s="323"/>
      <c r="D11" s="323"/>
      <c r="E11" s="323"/>
    </row>
    <row r="12" spans="2:5" ht="13.5" customHeight="1">
      <c r="B12" s="1383"/>
      <c r="C12" s="323"/>
      <c r="D12" s="323"/>
      <c r="E12" s="323"/>
    </row>
    <row r="13" spans="2:5" ht="13.5" customHeight="1">
      <c r="B13" s="1383"/>
      <c r="C13" s="323"/>
      <c r="D13" s="323"/>
      <c r="E13" s="323"/>
    </row>
    <row r="14" spans="2:5" ht="13.5" customHeight="1">
      <c r="B14" s="1383"/>
      <c r="C14" s="323"/>
      <c r="D14" s="323"/>
      <c r="E14" s="323"/>
    </row>
    <row r="15" spans="2:5" ht="13.5" customHeight="1">
      <c r="B15" s="1383"/>
      <c r="C15" s="323"/>
      <c r="D15" s="323"/>
      <c r="E15" s="323"/>
    </row>
    <row r="16" spans="2:5" ht="13.5" customHeight="1">
      <c r="B16" s="1383"/>
      <c r="C16" s="323"/>
      <c r="D16" s="323"/>
      <c r="E16" s="323"/>
    </row>
    <row r="17" spans="2:5" ht="13.5" customHeight="1">
      <c r="B17" s="1383"/>
      <c r="C17" s="323"/>
      <c r="D17" s="323"/>
      <c r="E17" s="323"/>
    </row>
    <row r="18" spans="2:5" ht="13.5" customHeight="1">
      <c r="B18" s="1383"/>
      <c r="C18" s="323"/>
      <c r="D18" s="323"/>
      <c r="E18" s="323"/>
    </row>
    <row r="19" spans="2:5" ht="13.5" customHeight="1">
      <c r="B19" s="1383"/>
      <c r="C19" s="323"/>
      <c r="D19" s="323"/>
      <c r="E19" s="323"/>
    </row>
    <row r="20" spans="2:5" ht="13.5" customHeight="1">
      <c r="B20" s="1383"/>
      <c r="C20" s="323"/>
      <c r="D20" s="323"/>
      <c r="E20" s="323"/>
    </row>
    <row r="21" spans="2:5" ht="13.5" customHeight="1">
      <c r="B21" s="1383"/>
      <c r="C21" s="323"/>
      <c r="D21" s="323"/>
      <c r="E21" s="323"/>
    </row>
    <row r="22" spans="2:5" ht="13.5" customHeight="1">
      <c r="B22" s="1383"/>
      <c r="C22" s="323"/>
      <c r="D22" s="323"/>
      <c r="E22" s="323"/>
    </row>
    <row r="23" spans="2:5" ht="13.5" customHeight="1">
      <c r="B23" s="1383"/>
      <c r="C23" s="323"/>
      <c r="D23" s="323"/>
      <c r="E23" s="323"/>
    </row>
    <row r="24" spans="2:5" ht="13.5" customHeight="1">
      <c r="B24" s="1383"/>
      <c r="C24" s="323"/>
      <c r="D24" s="323"/>
      <c r="E24" s="323"/>
    </row>
    <row r="25" spans="2:5" ht="13.5" customHeight="1">
      <c r="B25" s="1383"/>
      <c r="C25" s="323"/>
      <c r="D25" s="323"/>
      <c r="E25" s="323"/>
    </row>
    <row r="26" spans="2:5" ht="13.5" customHeight="1">
      <c r="B26" s="1383"/>
      <c r="C26" s="323"/>
      <c r="D26" s="323"/>
      <c r="E26" s="323"/>
    </row>
    <row r="27" spans="2:5" ht="13.5" customHeight="1">
      <c r="B27" s="1383"/>
      <c r="C27" s="323"/>
      <c r="D27" s="323"/>
      <c r="E27" s="323"/>
    </row>
    <row r="28" spans="2:5" ht="13.5" customHeight="1">
      <c r="B28" s="1383"/>
      <c r="C28" s="323"/>
      <c r="D28" s="323"/>
      <c r="E28" s="323"/>
    </row>
    <row r="29" spans="2:5" ht="13.5" customHeight="1">
      <c r="B29" s="1383"/>
      <c r="C29" s="323"/>
      <c r="D29" s="323"/>
      <c r="E29" s="323"/>
    </row>
    <row r="30" spans="2:5" ht="13.5" customHeight="1">
      <c r="B30" s="1383"/>
      <c r="C30" s="323"/>
      <c r="D30" s="323"/>
      <c r="E30" s="323"/>
    </row>
    <row r="31" spans="2:5" ht="13.5" customHeight="1">
      <c r="B31" s="1383"/>
      <c r="C31" s="323"/>
      <c r="D31" s="323"/>
      <c r="E31" s="323"/>
    </row>
    <row r="32" spans="2:5" ht="13.5" customHeight="1">
      <c r="B32" s="1385"/>
      <c r="C32" s="323"/>
      <c r="D32" s="323"/>
      <c r="E32" s="323"/>
    </row>
    <row r="33" spans="2:5" ht="13.5" customHeight="1">
      <c r="B33" s="1386"/>
      <c r="C33" s="323"/>
      <c r="D33" s="323"/>
      <c r="E33" s="323"/>
    </row>
    <row r="34" spans="2:5" ht="13.5" customHeight="1">
      <c r="B34" s="1387"/>
      <c r="C34" s="323"/>
      <c r="D34" s="323"/>
      <c r="E34" s="323"/>
    </row>
    <row r="35" spans="2:5" ht="13.5" customHeight="1">
      <c r="B35" s="1386"/>
      <c r="C35" s="323"/>
      <c r="D35" s="323"/>
      <c r="E35" s="323"/>
    </row>
    <row r="36" spans="2:5" ht="13.5" customHeight="1">
      <c r="B36" s="1387"/>
      <c r="C36" s="323"/>
      <c r="D36" s="323"/>
      <c r="E36" s="323"/>
    </row>
    <row r="37" spans="2:5" ht="13.5" customHeight="1">
      <c r="B37" s="1387"/>
      <c r="C37" s="323"/>
      <c r="D37" s="323"/>
      <c r="E37" s="323"/>
    </row>
    <row r="38" spans="2:5" ht="13.5" customHeight="1">
      <c r="B38" s="1386"/>
      <c r="C38" s="323"/>
      <c r="D38" s="323"/>
      <c r="E38" s="323"/>
    </row>
    <row r="39" spans="2:5" ht="13.5" customHeight="1">
      <c r="B39" s="1387"/>
      <c r="C39" s="323"/>
      <c r="D39" s="323"/>
      <c r="E39" s="323"/>
    </row>
    <row r="40" spans="2:5" ht="13.5" customHeight="1">
      <c r="B40" s="1386"/>
      <c r="C40" s="323"/>
      <c r="D40" s="323"/>
      <c r="E40" s="323"/>
    </row>
    <row r="41" spans="2:5" ht="13.5" customHeight="1">
      <c r="B41" s="1388"/>
      <c r="C41" s="323"/>
      <c r="D41" s="323"/>
      <c r="E41" s="323"/>
    </row>
    <row r="42" spans="2:5" ht="13.5" customHeight="1">
      <c r="B42" s="1389"/>
      <c r="C42" s="323"/>
      <c r="D42" s="323"/>
      <c r="E42" s="323"/>
    </row>
    <row r="43" spans="2:5" ht="12.75" customHeight="1">
      <c r="B43" s="1390"/>
      <c r="C43" s="1391"/>
      <c r="D43" s="1391"/>
      <c r="E43" s="323"/>
    </row>
    <row r="44" spans="2:5" ht="12.2" customHeight="1">
      <c r="B44" s="1230" t="s">
        <v>1310</v>
      </c>
      <c r="C44" s="322"/>
    </row>
    <row r="45" spans="2:5" ht="12.2" customHeight="1">
      <c r="B45" s="1392" t="s">
        <v>1741</v>
      </c>
    </row>
    <row r="46" spans="2:5" ht="12.2" customHeight="1">
      <c r="B46" s="1392" t="s">
        <v>1742</v>
      </c>
    </row>
    <row r="47" spans="2:5" ht="12.2" customHeight="1">
      <c r="B47" s="1393" t="s">
        <v>1309</v>
      </c>
    </row>
    <row r="48" spans="2:5" ht="12.2" customHeight="1">
      <c r="B48" s="1393" t="s">
        <v>1308</v>
      </c>
    </row>
    <row r="49" spans="2:5" ht="12.2" customHeight="1">
      <c r="B49" s="1393" t="s">
        <v>1307</v>
      </c>
    </row>
    <row r="50" spans="2:5" ht="12.2" customHeight="1">
      <c r="B50" s="1393" t="s">
        <v>1306</v>
      </c>
    </row>
    <row r="53" spans="2:5" ht="12.75" customHeight="1"/>
    <row r="54" spans="2:5" ht="12.75" customHeight="1">
      <c r="B54" s="1240"/>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12"/>
    </row>
    <row r="68" spans="2:2">
      <c r="B68" s="1273"/>
    </row>
    <row r="69" spans="2:2">
      <c r="B69" s="1273"/>
    </row>
    <row r="70" spans="2:2">
      <c r="B70" s="1313"/>
    </row>
    <row r="71" spans="2:2">
      <c r="B71" s="1313"/>
    </row>
    <row r="72" spans="2:2">
      <c r="B72" s="1313"/>
    </row>
    <row r="73" spans="2:2">
      <c r="B73" s="1273"/>
    </row>
  </sheetData>
  <mergeCells count="4">
    <mergeCell ref="B1:D1"/>
    <mergeCell ref="B2:D2"/>
    <mergeCell ref="B3:D3"/>
    <mergeCell ref="B4:D4"/>
  </mergeCells>
  <pageMargins left="0.5" right="0.5" top="0.68" bottom="0.47" header="0.26" footer="0.31"/>
  <pageSetup scale="98" firstPageNumber="14"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topLeftCell="A31" colorId="8" zoomScale="110" zoomScaleNormal="110" workbookViewId="0">
      <selection activeCell="A4" sqref="A4:F4"/>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112" t="s">
        <v>385</v>
      </c>
      <c r="B1" s="2112"/>
      <c r="C1" s="2112"/>
      <c r="D1" s="2112"/>
      <c r="E1" s="2112"/>
      <c r="F1" s="2112"/>
      <c r="G1" s="2112"/>
      <c r="H1" s="2112"/>
      <c r="I1" s="2112"/>
      <c r="J1" s="2112"/>
      <c r="K1" s="2112"/>
      <c r="L1" s="2112"/>
      <c r="M1" s="2112"/>
      <c r="N1" s="346"/>
    </row>
    <row r="2" spans="1:14" ht="10.9" customHeight="1">
      <c r="A2" s="346"/>
      <c r="B2" s="346"/>
      <c r="C2" s="346"/>
      <c r="D2" s="346"/>
      <c r="E2" s="346"/>
      <c r="F2" s="346"/>
      <c r="G2" s="346"/>
      <c r="H2" s="346"/>
      <c r="I2" s="346"/>
      <c r="J2" s="346"/>
      <c r="K2" s="346"/>
      <c r="L2" s="346"/>
      <c r="M2" s="346"/>
      <c r="N2" s="346"/>
    </row>
    <row r="3" spans="1:14">
      <c r="A3" s="348" t="s">
        <v>845</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457</v>
      </c>
      <c r="B5" s="349" t="s">
        <v>1641</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1919</v>
      </c>
      <c r="E7" s="222"/>
      <c r="F7" s="351" t="s">
        <v>271</v>
      </c>
      <c r="G7" s="222"/>
      <c r="H7" s="222"/>
      <c r="I7" s="222"/>
      <c r="J7" s="352">
        <v>3014850269</v>
      </c>
      <c r="K7" s="222"/>
      <c r="L7" s="222"/>
      <c r="M7" s="222"/>
    </row>
    <row r="8" spans="1:14" ht="10.9" customHeight="1">
      <c r="C8" s="222"/>
      <c r="D8" s="222"/>
      <c r="E8" s="222"/>
      <c r="F8" s="222"/>
      <c r="G8" s="222"/>
      <c r="H8" s="222"/>
      <c r="I8" s="222"/>
      <c r="J8" s="222"/>
      <c r="K8" s="222"/>
      <c r="L8" s="222"/>
      <c r="M8" s="222"/>
    </row>
    <row r="9" spans="1:14" ht="22.5">
      <c r="B9" s="222"/>
      <c r="C9" s="222"/>
      <c r="D9" s="353" t="s">
        <v>1154</v>
      </c>
      <c r="E9" s="349"/>
      <c r="F9" s="354" t="s">
        <v>869</v>
      </c>
      <c r="G9" s="349"/>
      <c r="H9" s="353" t="s">
        <v>155</v>
      </c>
      <c r="I9" s="349"/>
      <c r="J9" s="354" t="s">
        <v>1001</v>
      </c>
      <c r="K9" s="349"/>
      <c r="L9" s="353" t="s">
        <v>406</v>
      </c>
      <c r="M9" s="222"/>
    </row>
    <row r="10" spans="1:14" ht="13.35" customHeight="1">
      <c r="A10" s="344" t="s">
        <v>928</v>
      </c>
      <c r="C10" s="222"/>
      <c r="D10" s="355">
        <v>1.6243E-2</v>
      </c>
      <c r="E10" s="356" t="s">
        <v>1004</v>
      </c>
      <c r="F10" s="355">
        <v>3.0620000000000001E-3</v>
      </c>
      <c r="G10" s="356" t="s">
        <v>1004</v>
      </c>
      <c r="H10" s="355">
        <v>1.256E-3</v>
      </c>
      <c r="I10" s="356" t="s">
        <v>1005</v>
      </c>
      <c r="J10" s="1639">
        <f>ROUND(D10+F10+H10,5)</f>
        <v>2.0559999999999998E-2</v>
      </c>
      <c r="K10" s="222"/>
      <c r="L10" s="355">
        <v>3.28E-4</v>
      </c>
      <c r="M10" s="222"/>
    </row>
    <row r="11" spans="1:14" ht="7.5" customHeight="1">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1642</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526</v>
      </c>
      <c r="E15" s="222"/>
      <c r="F15" s="354" t="s">
        <v>1002</v>
      </c>
      <c r="G15" s="222"/>
      <c r="H15" s="354" t="s">
        <v>1003</v>
      </c>
      <c r="I15" s="222"/>
      <c r="J15" s="353" t="s">
        <v>391</v>
      </c>
      <c r="K15" s="222"/>
      <c r="L15" s="222"/>
      <c r="M15" s="222"/>
    </row>
    <row r="16" spans="1:14" ht="13.35" customHeight="1">
      <c r="A16" s="349"/>
      <c r="B16" s="222"/>
      <c r="C16" s="222"/>
      <c r="D16" s="1640">
        <f>SUM('Acct Summary 7-8'!C8,'Acct Summary 7-8'!D8,'Acct Summary 7-8'!F8,'Acct Summary 7-8'!I8)</f>
        <v>101496922</v>
      </c>
      <c r="E16" s="356"/>
      <c r="F16" s="1640">
        <f>SUM('Acct Summary 7-8'!C17,'Acct Summary 7-8'!D17,'Acct Summary 7-8'!F17)</f>
        <v>85842086</v>
      </c>
      <c r="G16" s="356"/>
      <c r="H16" s="1640">
        <f>SUM(D16-F16)</f>
        <v>15654836</v>
      </c>
      <c r="I16" s="222"/>
      <c r="J16" s="1640">
        <f>SUM('Acct Summary 7-8'!C81,'Acct Summary 7-8'!D81,'Acct Summary 7-8'!F81,'Acct Summary 7-8'!I81)</f>
        <v>75121289</v>
      </c>
      <c r="K16" s="222"/>
      <c r="L16" s="222"/>
      <c r="M16" s="222"/>
    </row>
    <row r="17" spans="1:13" ht="12.2" customHeight="1">
      <c r="A17" s="349"/>
      <c r="B17" s="260" t="s">
        <v>8</v>
      </c>
      <c r="C17" s="237" t="s">
        <v>1393</v>
      </c>
      <c r="D17" s="222"/>
      <c r="E17" s="222"/>
      <c r="F17" s="222"/>
      <c r="G17" s="222"/>
      <c r="H17" s="222"/>
      <c r="I17" s="222"/>
      <c r="J17" s="222"/>
      <c r="K17" s="222"/>
      <c r="L17" s="222"/>
      <c r="M17" s="222"/>
    </row>
    <row r="18" spans="1:13" ht="12.2" customHeight="1">
      <c r="A18" s="349"/>
      <c r="B18" s="222"/>
      <c r="C18" s="237" t="s">
        <v>505</v>
      </c>
      <c r="D18" s="222"/>
      <c r="E18" s="222"/>
      <c r="F18" s="222"/>
      <c r="G18" s="222"/>
      <c r="H18" s="222"/>
      <c r="I18" s="222"/>
      <c r="J18" s="222"/>
      <c r="K18" s="222"/>
      <c r="L18" s="222"/>
      <c r="M18" s="222"/>
    </row>
    <row r="19" spans="1:13" s="329" customFormat="1" ht="10.5" customHeight="1"/>
    <row r="20" spans="1:13" ht="12.75" customHeight="1">
      <c r="A20" s="349" t="s">
        <v>811</v>
      </c>
      <c r="B20" s="349" t="s">
        <v>1643</v>
      </c>
      <c r="C20" s="222"/>
      <c r="D20" s="222"/>
      <c r="E20" s="222"/>
      <c r="F20" s="222"/>
      <c r="G20" s="222"/>
      <c r="H20" s="222"/>
      <c r="I20" s="222"/>
      <c r="J20" s="222"/>
      <c r="K20" s="222"/>
      <c r="L20" s="222"/>
      <c r="M20" s="222"/>
    </row>
    <row r="21" spans="1:13">
      <c r="A21" s="349"/>
      <c r="B21" s="222"/>
      <c r="C21" s="222"/>
      <c r="D21" s="360" t="s">
        <v>393</v>
      </c>
      <c r="E21" s="361"/>
      <c r="F21" s="360" t="s">
        <v>392</v>
      </c>
      <c r="G21" s="361"/>
      <c r="H21" s="360" t="s">
        <v>394</v>
      </c>
      <c r="I21" s="361"/>
      <c r="J21" s="360" t="s">
        <v>41</v>
      </c>
      <c r="K21" s="361"/>
      <c r="L21" s="362" t="s">
        <v>544</v>
      </c>
      <c r="M21" s="222"/>
    </row>
    <row r="22" spans="1:13" ht="13.35" customHeight="1">
      <c r="A22" s="349"/>
      <c r="B22" s="222"/>
      <c r="C22" s="222"/>
      <c r="D22" s="1640">
        <f>'Short-Term Long-Term Debt 24'!F4</f>
        <v>0</v>
      </c>
      <c r="E22" s="356" t="s">
        <v>1004</v>
      </c>
      <c r="F22" s="1640">
        <f>'Short-Term Long-Term Debt 24'!F15</f>
        <v>0</v>
      </c>
      <c r="G22" s="356" t="s">
        <v>1004</v>
      </c>
      <c r="H22" s="1640">
        <f>'Short-Term Long-Term Debt 24'!F21</f>
        <v>0</v>
      </c>
      <c r="I22" s="356" t="s">
        <v>1004</v>
      </c>
      <c r="J22" s="1640">
        <f>'Short-Term Long-Term Debt 24'!F23</f>
        <v>0</v>
      </c>
      <c r="K22" s="356" t="s">
        <v>1004</v>
      </c>
      <c r="L22" s="1640">
        <f>'Short-Term Long-Term Debt 24'!F25</f>
        <v>0</v>
      </c>
      <c r="M22" s="356" t="s">
        <v>1004</v>
      </c>
    </row>
    <row r="23" spans="1:13" ht="15" customHeight="1">
      <c r="A23" s="349"/>
      <c r="B23" s="222"/>
      <c r="C23" s="222"/>
      <c r="D23" s="360" t="s">
        <v>1062</v>
      </c>
      <c r="E23" s="361"/>
      <c r="F23" s="360" t="s">
        <v>156</v>
      </c>
      <c r="G23" s="222"/>
      <c r="H23" s="222"/>
      <c r="I23" s="222"/>
      <c r="J23" s="222"/>
      <c r="K23" s="222"/>
      <c r="L23" s="222"/>
      <c r="M23" s="222"/>
    </row>
    <row r="24" spans="1:13" ht="13.35" customHeight="1">
      <c r="A24" s="349"/>
      <c r="B24" s="222"/>
      <c r="C24" s="356"/>
      <c r="D24" s="1640">
        <f>'Short-Term Long-Term Debt 24'!F27</f>
        <v>0</v>
      </c>
      <c r="E24" s="356" t="s">
        <v>1005</v>
      </c>
      <c r="F24" s="1641">
        <f>SUM(D22,F22,H22,J22,L22, D24)</f>
        <v>0</v>
      </c>
      <c r="G24" s="222"/>
      <c r="H24" s="222"/>
      <c r="I24" s="222"/>
      <c r="J24" s="222"/>
      <c r="K24" s="222"/>
      <c r="L24" s="222"/>
      <c r="M24" s="222"/>
    </row>
    <row r="25" spans="1:13" ht="11.25" customHeight="1">
      <c r="A25" s="349"/>
      <c r="B25" s="181" t="s">
        <v>9</v>
      </c>
      <c r="C25" s="237" t="s">
        <v>2034</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384</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2095</v>
      </c>
      <c r="C31" s="367" t="s">
        <v>585</v>
      </c>
      <c r="D31" s="237" t="s">
        <v>1071</v>
      </c>
      <c r="E31" s="222"/>
      <c r="F31" s="222"/>
      <c r="G31" s="363"/>
      <c r="H31" s="1642">
        <f>IF(B31="X",(J7*0.069),IF(B32="X",(J7*0.138),"Enter x in a.or b."))</f>
        <v>208024668.56100002</v>
      </c>
      <c r="I31" s="368"/>
      <c r="J31" s="222"/>
      <c r="K31" s="222"/>
      <c r="L31" s="222"/>
      <c r="M31" s="222"/>
    </row>
    <row r="32" spans="1:13" ht="13.35" customHeight="1">
      <c r="B32" s="369"/>
      <c r="C32" s="370" t="s">
        <v>586</v>
      </c>
      <c r="D32" s="237" t="s">
        <v>422</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388</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587</v>
      </c>
      <c r="D36" s="247" t="s">
        <v>0</v>
      </c>
      <c r="E36" s="222"/>
      <c r="F36" s="222"/>
      <c r="G36" s="375" t="s">
        <v>389</v>
      </c>
      <c r="H36" s="376"/>
      <c r="I36" s="222"/>
      <c r="J36" s="222"/>
      <c r="K36" s="222"/>
      <c r="L36" s="222"/>
      <c r="M36" s="222"/>
    </row>
    <row r="37" spans="1:13" ht="13.5" customHeight="1">
      <c r="B37" s="222"/>
      <c r="C37" s="374"/>
      <c r="D37" s="247" t="s">
        <v>1134</v>
      </c>
      <c r="E37" s="222"/>
      <c r="F37" s="222"/>
      <c r="G37" s="377">
        <v>511</v>
      </c>
      <c r="H37" s="1641">
        <f>'Assets-Liab 5-6'!N36</f>
        <v>86011139</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545</v>
      </c>
      <c r="B40" s="349" t="s">
        <v>195</v>
      </c>
      <c r="C40" s="349"/>
      <c r="D40" s="349"/>
      <c r="E40" s="349"/>
      <c r="F40" s="349"/>
      <c r="G40" s="222"/>
      <c r="H40" s="222"/>
      <c r="I40" s="222"/>
      <c r="J40" s="222"/>
      <c r="K40" s="222"/>
      <c r="L40" s="222"/>
      <c r="M40" s="222"/>
    </row>
    <row r="41" spans="1:13" ht="12.2" customHeight="1">
      <c r="B41" s="237" t="s">
        <v>1153</v>
      </c>
      <c r="C41" s="222"/>
      <c r="D41" s="222"/>
      <c r="E41" s="222"/>
      <c r="F41" s="222"/>
      <c r="G41" s="222"/>
      <c r="H41" s="222"/>
      <c r="I41" s="222"/>
      <c r="J41" s="222"/>
      <c r="K41" s="222"/>
      <c r="L41" s="222"/>
      <c r="M41" s="222"/>
    </row>
    <row r="42" spans="1:13">
      <c r="B42" s="237" t="s">
        <v>401</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301</v>
      </c>
      <c r="E44" s="222"/>
      <c r="F44" s="222"/>
      <c r="G44" s="222"/>
      <c r="H44" s="222"/>
      <c r="I44" s="222"/>
      <c r="J44" s="222"/>
      <c r="K44" s="222"/>
      <c r="L44" s="222"/>
      <c r="M44" s="222"/>
    </row>
    <row r="45" spans="1:13" ht="13.5" customHeight="1">
      <c r="B45" s="378"/>
      <c r="C45" s="225" t="s">
        <v>380</v>
      </c>
      <c r="E45" s="222"/>
      <c r="F45" s="222"/>
      <c r="G45" s="222"/>
      <c r="H45" s="222"/>
      <c r="I45" s="222"/>
      <c r="J45" s="222"/>
      <c r="K45" s="222"/>
      <c r="L45" s="222"/>
      <c r="M45" s="222"/>
    </row>
    <row r="46" spans="1:13" ht="13.5" customHeight="1">
      <c r="B46" s="378"/>
      <c r="C46" s="225" t="s">
        <v>862</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338</v>
      </c>
      <c r="E49" s="222"/>
      <c r="F49" s="222"/>
      <c r="G49" s="222"/>
      <c r="H49" s="222"/>
      <c r="I49" s="222"/>
      <c r="J49" s="222"/>
      <c r="K49" s="222"/>
      <c r="L49" s="222"/>
      <c r="M49" s="222"/>
    </row>
    <row r="50" spans="1:13" ht="13.5" customHeight="1">
      <c r="B50" s="378"/>
      <c r="C50" s="225" t="s">
        <v>339</v>
      </c>
      <c r="E50" s="222"/>
      <c r="F50" s="222"/>
      <c r="G50" s="222"/>
      <c r="H50" s="222"/>
      <c r="I50" s="222"/>
      <c r="J50" s="222"/>
      <c r="K50" s="222"/>
      <c r="L50" s="222"/>
      <c r="M50" s="222"/>
    </row>
    <row r="51" spans="1:13" ht="13.5" customHeight="1">
      <c r="B51" s="378"/>
      <c r="C51" s="225" t="s">
        <v>543</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386</v>
      </c>
      <c r="C53" s="222"/>
      <c r="D53" s="222"/>
      <c r="E53" s="222"/>
      <c r="F53" s="222"/>
      <c r="G53" s="222"/>
      <c r="H53" s="222"/>
      <c r="I53" s="222"/>
      <c r="J53" s="222"/>
      <c r="K53" s="222"/>
      <c r="L53" s="222"/>
      <c r="M53" s="222"/>
    </row>
    <row r="54" spans="1:13" ht="12.75">
      <c r="B54" s="2113"/>
      <c r="C54" s="2114"/>
      <c r="D54" s="2114"/>
      <c r="E54" s="2114"/>
      <c r="F54" s="2114"/>
      <c r="G54" s="2114"/>
      <c r="H54" s="2114"/>
      <c r="I54" s="2114"/>
      <c r="J54" s="2114"/>
      <c r="K54" s="2114"/>
      <c r="L54" s="2115"/>
      <c r="M54" s="380"/>
    </row>
    <row r="55" spans="1:13" ht="12.75" customHeight="1">
      <c r="B55" s="2116"/>
      <c r="C55" s="2117"/>
      <c r="D55" s="2117"/>
      <c r="E55" s="2117"/>
      <c r="F55" s="2117"/>
      <c r="G55" s="2117"/>
      <c r="H55" s="2117"/>
      <c r="I55" s="2117"/>
      <c r="J55" s="2117"/>
      <c r="K55" s="2117"/>
      <c r="L55" s="2118"/>
      <c r="M55" s="380"/>
    </row>
    <row r="56" spans="1:13" ht="12.75" customHeight="1">
      <c r="B56" s="2116"/>
      <c r="C56" s="2117"/>
      <c r="D56" s="2117"/>
      <c r="E56" s="2117"/>
      <c r="F56" s="2117"/>
      <c r="G56" s="2117"/>
      <c r="H56" s="2117"/>
      <c r="I56" s="2117"/>
      <c r="J56" s="2117"/>
      <c r="K56" s="2117"/>
      <c r="L56" s="2118"/>
      <c r="M56" s="222"/>
    </row>
    <row r="57" spans="1:13" ht="12.75" customHeight="1">
      <c r="B57" s="2116"/>
      <c r="C57" s="2117"/>
      <c r="D57" s="2117"/>
      <c r="E57" s="2117"/>
      <c r="F57" s="2117"/>
      <c r="G57" s="2117"/>
      <c r="H57" s="2117"/>
      <c r="I57" s="2117"/>
      <c r="J57" s="2117"/>
      <c r="K57" s="2117"/>
      <c r="L57" s="2118"/>
      <c r="M57" s="222"/>
    </row>
    <row r="58" spans="1:13">
      <c r="B58" s="2119"/>
      <c r="C58" s="2120"/>
      <c r="D58" s="2120"/>
      <c r="E58" s="2120"/>
      <c r="F58" s="2120"/>
      <c r="G58" s="2120"/>
      <c r="H58" s="2120"/>
      <c r="I58" s="2120"/>
      <c r="J58" s="2120"/>
      <c r="K58" s="2120"/>
      <c r="L58" s="212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24"/>
      <c r="D61" s="212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zoomScale="110" zoomScaleNormal="110" workbookViewId="0">
      <selection activeCell="A4" sqref="A4:F4"/>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27"/>
      <c r="B1" s="2128"/>
      <c r="C1" s="2128"/>
      <c r="D1" s="384"/>
      <c r="E1" s="384"/>
      <c r="F1" s="384"/>
      <c r="G1" s="384"/>
      <c r="H1" s="384"/>
      <c r="I1" s="384"/>
      <c r="J1" s="384"/>
      <c r="K1" s="384"/>
      <c r="L1" s="384"/>
      <c r="M1" s="384"/>
      <c r="N1" s="384"/>
      <c r="O1" s="2127"/>
      <c r="P1" s="2128"/>
      <c r="Q1" s="2128"/>
    </row>
    <row r="2" spans="1:18" ht="15">
      <c r="A2" s="2131" t="s">
        <v>555</v>
      </c>
      <c r="B2" s="2131"/>
      <c r="C2" s="2131"/>
      <c r="D2" s="2131"/>
      <c r="E2" s="2131"/>
      <c r="F2" s="2131"/>
      <c r="G2" s="2131"/>
      <c r="H2" s="2131"/>
      <c r="I2" s="2131"/>
      <c r="J2" s="2131"/>
      <c r="K2" s="2131"/>
      <c r="L2" s="2131"/>
      <c r="M2" s="2131"/>
      <c r="N2" s="2131"/>
      <c r="O2" s="2131"/>
      <c r="P2" s="2131"/>
      <c r="Q2" s="2131"/>
      <c r="R2" s="2131"/>
    </row>
    <row r="3" spans="1:18" ht="12.75">
      <c r="A3" s="2132" t="s">
        <v>1410</v>
      </c>
      <c r="B3" s="2132"/>
      <c r="C3" s="2132"/>
      <c r="D3" s="2132"/>
      <c r="E3" s="2132"/>
      <c r="F3" s="2132"/>
      <c r="G3" s="2132"/>
      <c r="H3" s="2132"/>
      <c r="I3" s="2132"/>
      <c r="J3" s="2132"/>
      <c r="K3" s="2132"/>
      <c r="L3" s="2132"/>
      <c r="M3" s="2132"/>
      <c r="N3" s="2132"/>
      <c r="O3" s="2132"/>
      <c r="P3" s="2132"/>
      <c r="Q3" s="2132"/>
      <c r="R3" s="2132"/>
    </row>
    <row r="4" spans="1:18">
      <c r="A4" s="2133" t="s">
        <v>1551</v>
      </c>
      <c r="B4" s="2133"/>
      <c r="C4" s="2133"/>
      <c r="D4" s="2133"/>
      <c r="E4" s="2133"/>
      <c r="F4" s="2133"/>
      <c r="G4" s="2133"/>
      <c r="H4" s="2133"/>
      <c r="I4" s="2133"/>
      <c r="J4" s="2133"/>
      <c r="K4" s="2133"/>
      <c r="L4" s="2133"/>
      <c r="M4" s="2133"/>
      <c r="N4" s="2133"/>
      <c r="O4" s="2133"/>
      <c r="P4" s="2133"/>
      <c r="Q4" s="2133"/>
      <c r="R4" s="213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1125</v>
      </c>
      <c r="D7" s="390" t="str">
        <f>COVER!A17</f>
        <v>Joliet Twp HSD 204</v>
      </c>
      <c r="E7" s="391"/>
      <c r="G7" s="252"/>
      <c r="H7" s="387"/>
      <c r="I7" s="387"/>
      <c r="J7" s="387"/>
      <c r="K7" s="387"/>
      <c r="L7" s="329"/>
      <c r="M7" s="329"/>
      <c r="N7" s="329"/>
      <c r="O7" s="329"/>
      <c r="P7" s="329"/>
    </row>
    <row r="8" spans="1:18" ht="12.75">
      <c r="A8" s="329"/>
      <c r="B8" s="329"/>
      <c r="C8" s="389" t="s">
        <v>1124</v>
      </c>
      <c r="D8" s="392">
        <f>COVER!A13</f>
        <v>56099204017</v>
      </c>
      <c r="E8" s="393"/>
      <c r="G8" s="329"/>
      <c r="H8" s="329"/>
      <c r="I8" s="329"/>
      <c r="J8" s="329"/>
      <c r="K8" s="329"/>
      <c r="L8" s="329"/>
      <c r="M8" s="329"/>
      <c r="N8" s="329"/>
      <c r="O8" s="329"/>
      <c r="P8" s="329"/>
    </row>
    <row r="9" spans="1:18" ht="12.75">
      <c r="A9" s="329"/>
      <c r="B9" s="329"/>
      <c r="C9" s="389" t="s">
        <v>712</v>
      </c>
      <c r="D9" s="394" t="str">
        <f>COVER!A15</f>
        <v>Will</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c r="A12" s="218"/>
      <c r="B12" s="401"/>
      <c r="C12" s="218" t="s">
        <v>1362</v>
      </c>
      <c r="D12" s="218"/>
      <c r="E12" s="218"/>
      <c r="F12" s="218" t="s">
        <v>1090</v>
      </c>
      <c r="G12" s="402"/>
      <c r="H12" s="403">
        <f>SUM('Acct Summary 7-8'!C81+'Acct Summary 7-8'!D81+'Acct Summary 7-8'!F81+'Acct Summary 7-8'!I81+IF('Acct Summary 7-8'!G81&lt;0,'Acct Summary 7-8'!G81,"0")+IF('Acct Summary 7-8'!J81&lt;0,'Acct Summary 7-8'!J81,"0"))</f>
        <v>75033342</v>
      </c>
      <c r="I12" s="404"/>
      <c r="J12" s="404"/>
      <c r="K12" s="405">
        <f>TRUNC((H12/H13*100000),5)/100000</f>
        <v>0.74234179870000006</v>
      </c>
      <c r="L12" s="406"/>
      <c r="M12" s="360" t="s">
        <v>1143</v>
      </c>
      <c r="N12" s="360"/>
      <c r="O12" s="407">
        <v>0.35</v>
      </c>
      <c r="P12" s="218"/>
      <c r="Q12" s="218"/>
    </row>
    <row r="13" spans="1:18" s="408" customFormat="1" ht="12.75">
      <c r="A13" s="218"/>
      <c r="B13" s="401"/>
      <c r="C13" s="2129" t="s">
        <v>1321</v>
      </c>
      <c r="D13" s="2130"/>
      <c r="E13" s="218"/>
      <c r="F13" s="409" t="s">
        <v>792</v>
      </c>
      <c r="G13" s="402"/>
      <c r="H13" s="403">
        <f>SUM('Acct Summary 7-8'!C8+'Acct Summary 7-8'!D8+'Acct Summary 7-8'!F8+'Acct Summary 7-8'!I8)+H14</f>
        <v>101076542</v>
      </c>
      <c r="I13" s="404"/>
      <c r="J13" s="404"/>
      <c r="K13" s="410"/>
      <c r="L13" s="218"/>
      <c r="M13" s="360" t="s">
        <v>1144</v>
      </c>
      <c r="N13" s="360"/>
      <c r="O13" s="411">
        <f>(O11*O12)</f>
        <v>1.4</v>
      </c>
      <c r="P13" s="218"/>
      <c r="Q13" s="218"/>
      <c r="R13" s="412"/>
    </row>
    <row r="14" spans="1:18" s="408" customFormat="1" ht="12.75">
      <c r="A14" s="218"/>
      <c r="B14" s="401"/>
      <c r="C14" s="240" t="s">
        <v>1394</v>
      </c>
      <c r="D14" s="413"/>
      <c r="E14" s="218"/>
      <c r="F14" s="409" t="s">
        <v>794</v>
      </c>
      <c r="G14" s="402"/>
      <c r="H14" s="403">
        <f>-SUM('Acct Summary 7-8'!C54:D56,'Acct Summary 7-8'!C58:D60,'Acct Summary 7-8'!C62:D64,'Acct Summary 7-8'!C66:D68,'Acct Summary 7-8'!C70:D72,'Acct Summary 7-8'!C74:D74)</f>
        <v>-420380</v>
      </c>
      <c r="I14" s="404"/>
      <c r="J14" s="404"/>
      <c r="K14" s="410"/>
      <c r="L14" s="218"/>
      <c r="M14" s="360"/>
      <c r="N14" s="360"/>
      <c r="O14" s="411"/>
      <c r="P14" s="218"/>
      <c r="Q14" s="218"/>
      <c r="R14" s="412"/>
    </row>
    <row r="15" spans="1:18" ht="11.45" customHeight="1">
      <c r="A15" s="216"/>
      <c r="B15" s="396"/>
      <c r="C15" s="218" t="s">
        <v>1408</v>
      </c>
      <c r="D15" s="216"/>
      <c r="E15" s="216"/>
      <c r="F15" s="218"/>
      <c r="G15" s="414"/>
      <c r="H15" s="395"/>
      <c r="I15" s="216"/>
      <c r="J15" s="216"/>
      <c r="K15" s="395"/>
      <c r="L15" s="216"/>
      <c r="M15" s="415"/>
      <c r="N15" s="415"/>
      <c r="O15" s="216"/>
      <c r="P15" s="216"/>
      <c r="Q15" s="216"/>
      <c r="R15" s="384"/>
    </row>
    <row r="16" spans="1:18" ht="12.75">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c r="A17" s="218"/>
      <c r="B17" s="401"/>
      <c r="C17" s="218" t="s">
        <v>796</v>
      </c>
      <c r="D17" s="218"/>
      <c r="E17" s="218"/>
      <c r="F17" s="218" t="s">
        <v>443</v>
      </c>
      <c r="G17" s="402"/>
      <c r="H17" s="403">
        <f>SUM('Acct Summary 7-8'!C17+'Acct Summary 7-8'!D17+'Acct Summary 7-8'!F17)</f>
        <v>85842086</v>
      </c>
      <c r="I17" s="404"/>
      <c r="J17" s="416"/>
      <c r="K17" s="405">
        <f>TRUNC((H17/H18*100000),5)/100000</f>
        <v>0.84927802529999996</v>
      </c>
      <c r="L17" s="406"/>
      <c r="M17" s="417" t="s">
        <v>1170</v>
      </c>
      <c r="O17" s="418" t="str">
        <f>IF(AND(O16="2", J20 &gt; 2),"1",IF(AND(O16 = "1", J20 &gt; 2),"2",IF(AND(O16="1", J20 &gt;1),"1","0")))</f>
        <v>0</v>
      </c>
      <c r="P17" s="218"/>
    </row>
    <row r="18" spans="1:18" s="408" customFormat="1" ht="11.25">
      <c r="A18" s="218"/>
      <c r="B18" s="401"/>
      <c r="C18" s="2129" t="s">
        <v>1314</v>
      </c>
      <c r="D18" s="2130"/>
      <c r="E18" s="218"/>
      <c r="F18" s="419" t="s">
        <v>793</v>
      </c>
      <c r="G18" s="402"/>
      <c r="H18" s="403">
        <f>SUM('Acct Summary 7-8'!C8+'Acct Summary 7-8'!D8+'Acct Summary 7-8'!F8+'Acct Summary 7-8'!I8)+H19</f>
        <v>101076542</v>
      </c>
      <c r="I18" s="404"/>
      <c r="J18" s="404"/>
      <c r="K18" s="410"/>
      <c r="L18" s="218"/>
      <c r="M18" s="360" t="s">
        <v>1143</v>
      </c>
      <c r="N18" s="360"/>
      <c r="O18" s="410">
        <v>0.35</v>
      </c>
      <c r="P18" s="218"/>
    </row>
    <row r="19" spans="1:18" s="408" customFormat="1" ht="11.25">
      <c r="A19" s="218"/>
      <c r="B19" s="401"/>
      <c r="C19" s="240" t="s">
        <v>1394</v>
      </c>
      <c r="D19" s="413"/>
      <c r="E19" s="218"/>
      <c r="F19" s="419" t="s">
        <v>794</v>
      </c>
      <c r="G19" s="402"/>
      <c r="H19" s="403">
        <f>-SUM('Acct Summary 7-8'!C54:D56,'Acct Summary 7-8'!C58:D60,'Acct Summary 7-8'!C62:D64,'Acct Summary 7-8'!C66:D68,'Acct Summary 7-8'!C70:D72,'Acct Summary 7-8'!C74:D74)</f>
        <v>-420380</v>
      </c>
      <c r="I19" s="404"/>
      <c r="J19" s="404"/>
      <c r="K19" s="410"/>
      <c r="L19" s="218"/>
      <c r="M19" s="360"/>
      <c r="N19" s="360"/>
      <c r="O19" s="410"/>
      <c r="P19" s="218"/>
    </row>
    <row r="20" spans="1:18" s="408" customFormat="1" ht="12.75">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c r="A21" s="216"/>
      <c r="B21" s="396"/>
      <c r="C21" s="218" t="s">
        <v>474</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c r="A24" s="218"/>
      <c r="B24" s="401"/>
      <c r="C24" s="2126" t="s">
        <v>1409</v>
      </c>
      <c r="D24" s="2126"/>
      <c r="E24" s="218"/>
      <c r="F24" s="218" t="s">
        <v>444</v>
      </c>
      <c r="G24" s="402"/>
      <c r="H24" s="403">
        <f>SUM('Assets-Liab 5-6'!C4+'Assets-Liab 5-6'!D4+'Assets-Liab 5-6'!F4+'Assets-Liab 5-6'!I4+'Assets-Liab 5-6'!C5+'Assets-Liab 5-6'!D5+'Assets-Liab 5-6'!F5+'Assets-Liab 5-6'!I5)</f>
        <v>77630691</v>
      </c>
      <c r="I24" s="422"/>
      <c r="J24" s="422"/>
      <c r="K24" s="423">
        <f>TRUNC(((H24/H25*100000)/100000),2)</f>
        <v>325.56</v>
      </c>
      <c r="L24" s="424"/>
      <c r="M24" s="360" t="s">
        <v>1143</v>
      </c>
      <c r="N24" s="360"/>
      <c r="O24" s="411">
        <v>0.1</v>
      </c>
      <c r="P24" s="218"/>
    </row>
    <row r="25" spans="1:18" s="408" customFormat="1" ht="12.75">
      <c r="A25" s="218"/>
      <c r="B25" s="401"/>
      <c r="C25" s="218" t="s">
        <v>797</v>
      </c>
      <c r="D25" s="218"/>
      <c r="E25" s="218"/>
      <c r="F25" s="218" t="s">
        <v>445</v>
      </c>
      <c r="G25" s="402"/>
      <c r="H25" s="423">
        <f>ROUND((H17/360),5)</f>
        <v>238450.23889000001</v>
      </c>
      <c r="I25" s="425"/>
      <c r="J25" s="425"/>
      <c r="K25" s="410"/>
      <c r="L25" s="218"/>
      <c r="M25" s="360" t="s">
        <v>1144</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c r="A28" s="218"/>
      <c r="B28" s="401"/>
      <c r="C28" s="218" t="s">
        <v>1902</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c r="A29" s="218"/>
      <c r="B29" s="401"/>
      <c r="C29" s="218" t="s">
        <v>795</v>
      </c>
      <c r="D29" s="218"/>
      <c r="E29" s="218"/>
      <c r="F29" s="218" t="s">
        <v>799</v>
      </c>
      <c r="G29" s="402"/>
      <c r="H29" s="431">
        <f>ROUND((0.85*'FP Info 3'!J7*'FP Info 3'!J10),5)</f>
        <v>52687523.301040001</v>
      </c>
      <c r="I29" s="428"/>
      <c r="J29" s="428"/>
      <c r="K29" s="410"/>
      <c r="L29" s="218"/>
      <c r="M29" s="360" t="s">
        <v>1144</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c r="A32" s="218"/>
      <c r="B32" s="401"/>
      <c r="C32" s="218" t="s">
        <v>846</v>
      </c>
      <c r="D32" s="218"/>
      <c r="E32" s="218"/>
      <c r="F32" s="218"/>
      <c r="G32" s="402"/>
      <c r="H32" s="403">
        <f>'FP Info 3'!H37</f>
        <v>86011139</v>
      </c>
      <c r="I32" s="420"/>
      <c r="J32" s="420"/>
      <c r="K32" s="423">
        <f>TRUNC(100-((((H32/H33*100))*100)/100),2)</f>
        <v>58.65</v>
      </c>
      <c r="L32" s="406"/>
      <c r="M32" s="360" t="s">
        <v>1143</v>
      </c>
      <c r="N32" s="360"/>
      <c r="O32" s="434">
        <v>0.1</v>
      </c>
    </row>
    <row r="33" spans="1:17" s="408" customFormat="1" ht="11.25">
      <c r="A33" s="218"/>
      <c r="B33" s="401"/>
      <c r="C33" s="218" t="s">
        <v>798</v>
      </c>
      <c r="D33" s="218"/>
      <c r="E33" s="218"/>
      <c r="F33" s="218"/>
      <c r="G33" s="402"/>
      <c r="H33" s="403">
        <f>IF('FP Info 3'!H31="Enter X in a or b"," ",'FP Info 3'!H31)</f>
        <v>208024668.56100002</v>
      </c>
      <c r="I33" s="420"/>
      <c r="J33" s="420"/>
      <c r="K33" s="403"/>
      <c r="L33" s="218"/>
      <c r="M33" s="435" t="s">
        <v>1144</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294</v>
      </c>
      <c r="N35" s="414"/>
      <c r="O35" s="439">
        <f>(O13+O20+O25+O29+O33)</f>
        <v>3.8999999999999995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1957</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1049</v>
      </c>
      <c r="I39" s="408"/>
      <c r="J39" s="408"/>
      <c r="K39" s="410"/>
      <c r="L39" s="408"/>
      <c r="M39" s="408"/>
      <c r="N39" s="408"/>
      <c r="O39" s="218"/>
      <c r="P39" s="216"/>
      <c r="Q39" s="216"/>
    </row>
    <row r="40" spans="1:17">
      <c r="A40" s="216"/>
      <c r="B40" s="396"/>
      <c r="C40" s="216"/>
      <c r="D40" s="216"/>
      <c r="E40" s="216"/>
      <c r="F40" s="216"/>
      <c r="G40" s="445"/>
      <c r="H40" s="446" t="s">
        <v>1503</v>
      </c>
      <c r="I40" s="408"/>
      <c r="J40" s="408"/>
      <c r="K40" s="410"/>
      <c r="L40" s="408"/>
      <c r="M40" s="408"/>
      <c r="N40" s="408"/>
      <c r="O40" s="218"/>
      <c r="P40" s="216"/>
      <c r="Q40" s="216"/>
    </row>
    <row r="41" spans="1:17">
      <c r="G41" s="448"/>
      <c r="H41" s="218" t="s">
        <v>1504</v>
      </c>
      <c r="M41" s="216"/>
      <c r="O41" s="216"/>
      <c r="P41" s="216"/>
      <c r="Q41" s="216"/>
    </row>
    <row r="42" spans="1:17">
      <c r="A42" s="385" t="s">
        <v>1505</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colorId="8" zoomScale="110" zoomScaleNormal="110" workbookViewId="0">
      <pane ySplit="2" topLeftCell="A30" activePane="bottomLeft" state="frozen"/>
      <selection activeCell="A4" sqref="A4:F4"/>
      <selection pane="bottomLeft" activeCell="A4" sqref="A4:F4"/>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34" t="s">
        <v>1491</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c r="A2" s="213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c r="A3" s="2136" t="s">
        <v>972</v>
      </c>
      <c r="B3" s="2137"/>
      <c r="C3" s="1468"/>
      <c r="D3" s="1469"/>
      <c r="E3" s="1469"/>
      <c r="F3" s="1469"/>
      <c r="G3" s="1469"/>
      <c r="H3" s="1469"/>
      <c r="I3" s="1469"/>
      <c r="J3" s="1469"/>
      <c r="K3" s="1469"/>
      <c r="L3" s="1469"/>
      <c r="M3" s="1470"/>
      <c r="N3" s="1471"/>
    </row>
    <row r="4" spans="1:14" ht="13.5" customHeight="1">
      <c r="A4" s="463" t="s">
        <v>1644</v>
      </c>
      <c r="B4" s="464"/>
      <c r="C4" s="465">
        <v>11233230</v>
      </c>
      <c r="D4" s="466">
        <v>107743</v>
      </c>
      <c r="E4" s="466">
        <v>3179401</v>
      </c>
      <c r="F4" s="466">
        <v>528173</v>
      </c>
      <c r="G4" s="466">
        <v>3438254</v>
      </c>
      <c r="H4" s="466">
        <v>2304437</v>
      </c>
      <c r="I4" s="466">
        <v>2161846</v>
      </c>
      <c r="J4" s="467"/>
      <c r="K4" s="466">
        <v>0</v>
      </c>
      <c r="L4" s="466">
        <v>631857</v>
      </c>
      <c r="M4" s="468"/>
      <c r="N4" s="469"/>
    </row>
    <row r="5" spans="1:14">
      <c r="A5" s="463" t="s">
        <v>991</v>
      </c>
      <c r="B5" s="470">
        <v>120</v>
      </c>
      <c r="C5" s="465">
        <v>34165656</v>
      </c>
      <c r="D5" s="466">
        <v>5134443</v>
      </c>
      <c r="E5" s="466">
        <v>246000</v>
      </c>
      <c r="F5" s="466">
        <v>9194800</v>
      </c>
      <c r="G5" s="466">
        <v>1220800</v>
      </c>
      <c r="H5" s="466"/>
      <c r="I5" s="466">
        <v>15104800</v>
      </c>
      <c r="J5" s="467"/>
      <c r="K5" s="471">
        <v>0</v>
      </c>
      <c r="L5" s="472">
        <v>1285240</v>
      </c>
      <c r="M5" s="468"/>
      <c r="N5" s="469"/>
    </row>
    <row r="6" spans="1:14" ht="13.5" customHeight="1">
      <c r="A6" s="473" t="s">
        <v>416</v>
      </c>
      <c r="B6" s="470">
        <v>130</v>
      </c>
      <c r="C6" s="465">
        <v>23823590</v>
      </c>
      <c r="D6" s="466">
        <v>4481651</v>
      </c>
      <c r="E6" s="466">
        <v>3681043</v>
      </c>
      <c r="F6" s="466">
        <v>1838325</v>
      </c>
      <c r="G6" s="471">
        <v>1583653</v>
      </c>
      <c r="H6" s="471"/>
      <c r="I6" s="466">
        <v>480072</v>
      </c>
      <c r="J6" s="474">
        <v>2191062</v>
      </c>
      <c r="K6" s="471">
        <v>0</v>
      </c>
      <c r="L6" s="475"/>
      <c r="M6" s="468"/>
      <c r="N6" s="469"/>
    </row>
    <row r="7" spans="1:14" ht="13.5" customHeight="1">
      <c r="A7" s="473" t="s">
        <v>417</v>
      </c>
      <c r="B7" s="470">
        <v>140</v>
      </c>
      <c r="C7" s="476">
        <v>51773</v>
      </c>
      <c r="D7" s="467"/>
      <c r="E7" s="467"/>
      <c r="F7" s="467"/>
      <c r="G7" s="467"/>
      <c r="H7" s="467"/>
      <c r="I7" s="467"/>
      <c r="J7" s="467"/>
      <c r="K7" s="467"/>
      <c r="L7" s="477"/>
      <c r="M7" s="468"/>
      <c r="N7" s="469"/>
    </row>
    <row r="8" spans="1:14" ht="13.5" customHeight="1">
      <c r="A8" s="473" t="s">
        <v>268</v>
      </c>
      <c r="B8" s="470">
        <v>150</v>
      </c>
      <c r="C8" s="476">
        <v>4890861</v>
      </c>
      <c r="D8" s="467">
        <v>32</v>
      </c>
      <c r="E8" s="467"/>
      <c r="F8" s="467">
        <v>4055661</v>
      </c>
      <c r="G8" s="478"/>
      <c r="H8" s="467"/>
      <c r="I8" s="474"/>
      <c r="J8" s="474"/>
      <c r="K8" s="479"/>
      <c r="L8" s="480"/>
      <c r="M8" s="468"/>
      <c r="N8" s="469"/>
    </row>
    <row r="9" spans="1:14" ht="13.5" customHeight="1">
      <c r="A9" s="473" t="s">
        <v>269</v>
      </c>
      <c r="B9" s="470">
        <v>160</v>
      </c>
      <c r="C9" s="476">
        <v>143070</v>
      </c>
      <c r="D9" s="467">
        <f>3271+20550</f>
        <v>23821</v>
      </c>
      <c r="E9" s="467"/>
      <c r="F9" s="467">
        <v>29936</v>
      </c>
      <c r="G9" s="467">
        <v>6120</v>
      </c>
      <c r="H9" s="478"/>
      <c r="I9" s="467">
        <v>20849</v>
      </c>
      <c r="J9" s="467"/>
      <c r="K9" s="467"/>
      <c r="L9" s="467">
        <f>3582+53</f>
        <v>3635</v>
      </c>
      <c r="M9" s="468"/>
      <c r="N9" s="469"/>
    </row>
    <row r="10" spans="1:14" ht="13.5" customHeight="1">
      <c r="A10" s="473" t="s">
        <v>990</v>
      </c>
      <c r="B10" s="470">
        <v>170</v>
      </c>
      <c r="C10" s="465">
        <v>45649</v>
      </c>
      <c r="D10" s="466"/>
      <c r="E10" s="467"/>
      <c r="F10" s="466"/>
      <c r="G10" s="478"/>
      <c r="H10" s="481"/>
      <c r="I10" s="467"/>
      <c r="J10" s="467"/>
      <c r="K10" s="481"/>
      <c r="L10" s="481"/>
      <c r="M10" s="469"/>
      <c r="N10" s="469"/>
    </row>
    <row r="11" spans="1:14" ht="13.5" customHeight="1">
      <c r="A11" s="473" t="s">
        <v>270</v>
      </c>
      <c r="B11" s="470">
        <v>180</v>
      </c>
      <c r="C11" s="476">
        <v>163135</v>
      </c>
      <c r="D11" s="467"/>
      <c r="E11" s="467"/>
      <c r="F11" s="467">
        <v>50910</v>
      </c>
      <c r="G11" s="467"/>
      <c r="H11" s="467"/>
      <c r="I11" s="478"/>
      <c r="J11" s="478">
        <v>123680</v>
      </c>
      <c r="K11" s="467"/>
      <c r="L11" s="467"/>
      <c r="M11" s="469"/>
      <c r="N11" s="469"/>
    </row>
    <row r="12" spans="1:14" ht="13.5" customHeight="1">
      <c r="A12" s="473" t="s">
        <v>418</v>
      </c>
      <c r="B12" s="470">
        <v>190</v>
      </c>
      <c r="C12" s="465"/>
      <c r="D12" s="466"/>
      <c r="E12" s="466"/>
      <c r="F12" s="466"/>
      <c r="G12" s="466"/>
      <c r="H12" s="466"/>
      <c r="I12" s="466"/>
      <c r="J12" s="467"/>
      <c r="K12" s="466"/>
      <c r="L12" s="466"/>
      <c r="M12" s="469"/>
      <c r="N12" s="469"/>
    </row>
    <row r="13" spans="1:14" ht="13.5" customHeight="1" thickBot="1">
      <c r="A13" s="1643" t="s">
        <v>643</v>
      </c>
      <c r="B13" s="1616"/>
      <c r="C13" s="1644">
        <f>SUM(C4:C12)</f>
        <v>74516964</v>
      </c>
      <c r="D13" s="1644">
        <f t="shared" ref="D13:L13" si="0">SUM(D4:D12)</f>
        <v>9747690</v>
      </c>
      <c r="E13" s="1644">
        <f t="shared" si="0"/>
        <v>7106444</v>
      </c>
      <c r="F13" s="1644">
        <f t="shared" si="0"/>
        <v>15697805</v>
      </c>
      <c r="G13" s="1644">
        <f t="shared" si="0"/>
        <v>6248827</v>
      </c>
      <c r="H13" s="1644">
        <f t="shared" si="0"/>
        <v>2304437</v>
      </c>
      <c r="I13" s="1644">
        <f t="shared" si="0"/>
        <v>17767567</v>
      </c>
      <c r="J13" s="1644">
        <f t="shared" si="0"/>
        <v>2314742</v>
      </c>
      <c r="K13" s="1644">
        <f t="shared" si="0"/>
        <v>0</v>
      </c>
      <c r="L13" s="1644">
        <f t="shared" si="0"/>
        <v>1920732</v>
      </c>
      <c r="M13" s="468"/>
      <c r="N13" s="469"/>
    </row>
    <row r="14" spans="1:14" ht="18" customHeight="1" thickTop="1">
      <c r="A14" s="2138" t="s">
        <v>147</v>
      </c>
      <c r="B14" s="2139"/>
      <c r="C14" s="1472"/>
      <c r="D14" s="1473"/>
      <c r="E14" s="1473"/>
      <c r="F14" s="1473"/>
      <c r="G14" s="1473"/>
      <c r="H14" s="1473"/>
      <c r="I14" s="1473"/>
      <c r="J14" s="1473"/>
      <c r="K14" s="1473"/>
      <c r="L14" s="1473"/>
      <c r="M14" s="1474"/>
      <c r="N14" s="1475"/>
    </row>
    <row r="15" spans="1:14" s="485" customFormat="1" ht="12.75" customHeight="1">
      <c r="A15" s="482" t="s">
        <v>1398</v>
      </c>
      <c r="B15" s="483">
        <v>210</v>
      </c>
      <c r="C15" s="477"/>
      <c r="D15" s="477"/>
      <c r="E15" s="477"/>
      <c r="F15" s="477"/>
      <c r="G15" s="477"/>
      <c r="H15" s="477"/>
      <c r="I15" s="477"/>
      <c r="J15" s="477"/>
      <c r="K15" s="477"/>
      <c r="L15" s="477"/>
      <c r="M15" s="478"/>
      <c r="N15" s="484"/>
    </row>
    <row r="16" spans="1:14" s="485" customFormat="1" ht="12.75" customHeight="1">
      <c r="A16" s="482" t="s">
        <v>1399</v>
      </c>
      <c r="B16" s="483">
        <v>220</v>
      </c>
      <c r="C16" s="477"/>
      <c r="D16" s="477"/>
      <c r="E16" s="477"/>
      <c r="F16" s="477"/>
      <c r="G16" s="477"/>
      <c r="H16" s="477"/>
      <c r="I16" s="477"/>
      <c r="J16" s="477"/>
      <c r="K16" s="477"/>
      <c r="L16" s="477"/>
      <c r="M16" s="467">
        <v>8529255</v>
      </c>
      <c r="N16" s="484"/>
    </row>
    <row r="17" spans="1:14" s="485" customFormat="1" ht="12.75" customHeight="1">
      <c r="A17" s="482" t="s">
        <v>1400</v>
      </c>
      <c r="B17" s="483">
        <v>230</v>
      </c>
      <c r="C17" s="477"/>
      <c r="D17" s="477"/>
      <c r="E17" s="477"/>
      <c r="F17" s="477"/>
      <c r="G17" s="477"/>
      <c r="H17" s="477"/>
      <c r="I17" s="477"/>
      <c r="J17" s="477"/>
      <c r="K17" s="477"/>
      <c r="L17" s="477"/>
      <c r="M17" s="467">
        <v>158148690</v>
      </c>
      <c r="N17" s="484"/>
    </row>
    <row r="18" spans="1:14" s="485" customFormat="1" ht="12.75" customHeight="1">
      <c r="A18" s="482" t="s">
        <v>1401</v>
      </c>
      <c r="B18" s="483">
        <v>240</v>
      </c>
      <c r="C18" s="477"/>
      <c r="D18" s="477"/>
      <c r="E18" s="477"/>
      <c r="F18" s="477"/>
      <c r="G18" s="477"/>
      <c r="H18" s="477"/>
      <c r="I18" s="477"/>
      <c r="J18" s="477"/>
      <c r="K18" s="477"/>
      <c r="L18" s="477"/>
      <c r="M18" s="467">
        <v>11935879</v>
      </c>
      <c r="N18" s="484"/>
    </row>
    <row r="19" spans="1:14" s="485" customFormat="1" ht="12.75" customHeight="1">
      <c r="A19" s="482" t="s">
        <v>1402</v>
      </c>
      <c r="B19" s="483">
        <v>250</v>
      </c>
      <c r="C19" s="477"/>
      <c r="D19" s="477"/>
      <c r="E19" s="477"/>
      <c r="F19" s="477"/>
      <c r="G19" s="477"/>
      <c r="H19" s="477"/>
      <c r="I19" s="477"/>
      <c r="J19" s="477"/>
      <c r="K19" s="477"/>
      <c r="L19" s="477"/>
      <c r="M19" s="467">
        <f>22278299+1236527+1939819+576037</f>
        <v>26030682</v>
      </c>
      <c r="N19" s="484"/>
    </row>
    <row r="20" spans="1:14" s="485" customFormat="1" ht="12.75" customHeight="1">
      <c r="A20" s="482" t="s">
        <v>1403</v>
      </c>
      <c r="B20" s="483">
        <v>260</v>
      </c>
      <c r="C20" s="477"/>
      <c r="D20" s="477"/>
      <c r="E20" s="477"/>
      <c r="F20" s="477"/>
      <c r="G20" s="477"/>
      <c r="H20" s="477"/>
      <c r="I20" s="477"/>
      <c r="J20" s="477"/>
      <c r="K20" s="477"/>
      <c r="L20" s="477"/>
      <c r="M20" s="467">
        <v>989252</v>
      </c>
      <c r="N20" s="484"/>
    </row>
    <row r="21" spans="1:14" s="485" customFormat="1" ht="12.75" customHeight="1">
      <c r="A21" s="482" t="s">
        <v>1404</v>
      </c>
      <c r="B21" s="483">
        <v>340</v>
      </c>
      <c r="C21" s="477"/>
      <c r="D21" s="477"/>
      <c r="E21" s="477"/>
      <c r="F21" s="477"/>
      <c r="G21" s="477"/>
      <c r="H21" s="477"/>
      <c r="I21" s="477"/>
      <c r="J21" s="477"/>
      <c r="K21" s="477"/>
      <c r="L21" s="477"/>
      <c r="M21" s="486"/>
      <c r="N21" s="467">
        <v>3195808</v>
      </c>
    </row>
    <row r="22" spans="1:14" s="485" customFormat="1" ht="12.75" customHeight="1">
      <c r="A22" s="482" t="s">
        <v>1405</v>
      </c>
      <c r="B22" s="483">
        <v>350</v>
      </c>
      <c r="C22" s="477"/>
      <c r="D22" s="477"/>
      <c r="E22" s="477"/>
      <c r="F22" s="477"/>
      <c r="G22" s="477"/>
      <c r="H22" s="477"/>
      <c r="I22" s="477"/>
      <c r="J22" s="477"/>
      <c r="K22" s="477"/>
      <c r="L22" s="477"/>
      <c r="M22" s="486"/>
      <c r="N22" s="487">
        <f>'Short-Term Long-Term Debt 24'!J49</f>
        <v>82815331</v>
      </c>
    </row>
    <row r="23" spans="1:14" ht="13.5" customHeight="1" thickBot="1">
      <c r="A23" s="1643" t="s">
        <v>642</v>
      </c>
      <c r="B23" s="1648"/>
      <c r="C23" s="468"/>
      <c r="D23" s="468"/>
      <c r="E23" s="468"/>
      <c r="F23" s="468"/>
      <c r="G23" s="468"/>
      <c r="H23" s="468"/>
      <c r="I23" s="468"/>
      <c r="J23" s="468"/>
      <c r="K23" s="468"/>
      <c r="L23" s="468"/>
      <c r="M23" s="1595">
        <f>SUM(M15:M22)</f>
        <v>205633758</v>
      </c>
      <c r="N23" s="1595">
        <f>SUM(N21:N22)</f>
        <v>86011139</v>
      </c>
    </row>
    <row r="24" spans="1:14" ht="18" customHeight="1" thickTop="1">
      <c r="A24" s="2140" t="s">
        <v>597</v>
      </c>
      <c r="B24" s="2141"/>
      <c r="C24" s="1477"/>
      <c r="D24" s="1474"/>
      <c r="E24" s="1474"/>
      <c r="F24" s="1474"/>
      <c r="G24" s="1474"/>
      <c r="H24" s="1474"/>
      <c r="I24" s="1474"/>
      <c r="J24" s="1474"/>
      <c r="K24" s="1474"/>
      <c r="L24" s="1474"/>
      <c r="M24" s="1473"/>
      <c r="N24" s="1478"/>
    </row>
    <row r="25" spans="1:14">
      <c r="A25" s="473" t="s">
        <v>644</v>
      </c>
      <c r="B25" s="470">
        <v>410</v>
      </c>
      <c r="C25" s="478"/>
      <c r="D25" s="478"/>
      <c r="E25" s="478"/>
      <c r="F25" s="478"/>
      <c r="G25" s="478"/>
      <c r="H25" s="479"/>
      <c r="I25" s="468"/>
      <c r="J25" s="478">
        <v>51773</v>
      </c>
      <c r="K25" s="478"/>
      <c r="L25" s="468"/>
      <c r="M25" s="468"/>
      <c r="N25" s="468"/>
    </row>
    <row r="26" spans="1:14">
      <c r="A26" s="473" t="s">
        <v>645</v>
      </c>
      <c r="B26" s="470">
        <v>420</v>
      </c>
      <c r="C26" s="467"/>
      <c r="D26" s="467"/>
      <c r="E26" s="467"/>
      <c r="F26" s="467"/>
      <c r="G26" s="467"/>
      <c r="H26" s="467"/>
      <c r="I26" s="467"/>
      <c r="J26" s="474"/>
      <c r="K26" s="467"/>
      <c r="L26" s="468"/>
      <c r="M26" s="468"/>
      <c r="N26" s="468"/>
    </row>
    <row r="27" spans="1:14" ht="13.5" customHeight="1">
      <c r="A27" s="473" t="s">
        <v>646</v>
      </c>
      <c r="B27" s="470">
        <v>430</v>
      </c>
      <c r="C27" s="467">
        <f>3438370+1348869</f>
        <v>4787239</v>
      </c>
      <c r="D27" s="467">
        <f>297733+192054</f>
        <v>489787</v>
      </c>
      <c r="E27" s="467"/>
      <c r="F27" s="467">
        <v>309451</v>
      </c>
      <c r="G27" s="467">
        <v>18078</v>
      </c>
      <c r="H27" s="467">
        <v>536495</v>
      </c>
      <c r="I27" s="467"/>
      <c r="J27" s="467">
        <f>35376+81491</f>
        <v>116867</v>
      </c>
      <c r="K27" s="467"/>
      <c r="L27" s="468"/>
      <c r="M27" s="468"/>
      <c r="N27" s="468"/>
    </row>
    <row r="28" spans="1:14" ht="13.5" customHeight="1">
      <c r="A28" s="473" t="s">
        <v>647</v>
      </c>
      <c r="B28" s="470">
        <v>440</v>
      </c>
      <c r="C28" s="467"/>
      <c r="D28" s="467"/>
      <c r="E28" s="474"/>
      <c r="F28" s="467"/>
      <c r="G28" s="474"/>
      <c r="H28" s="474"/>
      <c r="I28" s="467"/>
      <c r="J28" s="467"/>
      <c r="K28" s="479"/>
      <c r="L28" s="468"/>
      <c r="M28" s="468"/>
      <c r="N28" s="468"/>
    </row>
    <row r="29" spans="1:14" ht="13.5" customHeight="1">
      <c r="A29" s="473" t="s">
        <v>648</v>
      </c>
      <c r="B29" s="470">
        <v>460</v>
      </c>
      <c r="C29" s="488"/>
      <c r="D29" s="489"/>
      <c r="E29" s="474"/>
      <c r="F29" s="467"/>
      <c r="G29" s="474"/>
      <c r="H29" s="474"/>
      <c r="I29" s="474"/>
      <c r="J29" s="474"/>
      <c r="K29" s="467"/>
      <c r="L29" s="468"/>
      <c r="M29" s="468"/>
      <c r="N29" s="468"/>
    </row>
    <row r="30" spans="1:14" ht="13.5" customHeight="1">
      <c r="A30" s="473" t="s">
        <v>649</v>
      </c>
      <c r="B30" s="470">
        <v>470</v>
      </c>
      <c r="C30" s="467"/>
      <c r="D30" s="474"/>
      <c r="E30" s="467"/>
      <c r="F30" s="467"/>
      <c r="G30" s="467"/>
      <c r="H30" s="467"/>
      <c r="I30" s="467"/>
      <c r="J30" s="467"/>
      <c r="K30" s="478"/>
      <c r="L30" s="468"/>
      <c r="M30" s="468"/>
      <c r="N30" s="468"/>
    </row>
    <row r="31" spans="1:14" ht="13.5" customHeight="1">
      <c r="A31" s="473" t="s">
        <v>650</v>
      </c>
      <c r="B31" s="470">
        <v>480</v>
      </c>
      <c r="C31" s="466">
        <v>234519</v>
      </c>
      <c r="D31" s="467"/>
      <c r="E31" s="467"/>
      <c r="F31" s="466"/>
      <c r="G31" s="467"/>
      <c r="H31" s="467"/>
      <c r="I31" s="467"/>
      <c r="J31" s="467"/>
      <c r="K31" s="467"/>
      <c r="L31" s="468"/>
      <c r="M31" s="468"/>
      <c r="N31" s="468"/>
    </row>
    <row r="32" spans="1:14" ht="13.5" customHeight="1">
      <c r="A32" s="490" t="s">
        <v>651</v>
      </c>
      <c r="B32" s="491">
        <v>490</v>
      </c>
      <c r="C32" s="492">
        <v>26598727</v>
      </c>
      <c r="D32" s="492">
        <v>4569578</v>
      </c>
      <c r="E32" s="474">
        <f>157374+3753262</f>
        <v>3910636</v>
      </c>
      <c r="F32" s="474">
        <v>5129945</v>
      </c>
      <c r="G32" s="474">
        <v>1614724</v>
      </c>
      <c r="H32" s="474"/>
      <c r="I32" s="474">
        <v>489491</v>
      </c>
      <c r="J32" s="474">
        <v>2234049</v>
      </c>
      <c r="K32" s="479"/>
      <c r="L32" s="468"/>
      <c r="M32" s="468"/>
      <c r="N32" s="468"/>
    </row>
    <row r="33" spans="1:14" ht="13.5" customHeight="1">
      <c r="A33" s="493" t="s">
        <v>302</v>
      </c>
      <c r="B33" s="491">
        <v>493</v>
      </c>
      <c r="C33" s="467"/>
      <c r="D33" s="467"/>
      <c r="E33" s="467"/>
      <c r="F33" s="467"/>
      <c r="G33" s="467"/>
      <c r="H33" s="467"/>
      <c r="I33" s="467"/>
      <c r="J33" s="467"/>
      <c r="K33" s="467"/>
      <c r="L33" s="467">
        <v>1920732</v>
      </c>
      <c r="M33" s="468"/>
      <c r="N33" s="469"/>
    </row>
    <row r="34" spans="1:14" ht="13.5" customHeight="1" thickBot="1">
      <c r="A34" s="1645" t="s">
        <v>653</v>
      </c>
      <c r="B34" s="1646"/>
      <c r="C34" s="1647">
        <f>SUM(C25:C33)</f>
        <v>31620485</v>
      </c>
      <c r="D34" s="1647">
        <f t="shared" ref="D34:K34" si="1">SUM(D25:D33)</f>
        <v>5059365</v>
      </c>
      <c r="E34" s="1647">
        <f t="shared" si="1"/>
        <v>3910636</v>
      </c>
      <c r="F34" s="1647">
        <f t="shared" si="1"/>
        <v>5439396</v>
      </c>
      <c r="G34" s="1647">
        <f t="shared" si="1"/>
        <v>1632802</v>
      </c>
      <c r="H34" s="1647">
        <f t="shared" si="1"/>
        <v>536495</v>
      </c>
      <c r="I34" s="1647">
        <f t="shared" si="1"/>
        <v>489491</v>
      </c>
      <c r="J34" s="1647">
        <f t="shared" si="1"/>
        <v>2402689</v>
      </c>
      <c r="K34" s="1647">
        <f t="shared" si="1"/>
        <v>0</v>
      </c>
      <c r="L34" s="1628">
        <f>SUM(L33)</f>
        <v>1920732</v>
      </c>
      <c r="M34" s="468"/>
      <c r="N34" s="480"/>
    </row>
    <row r="35" spans="1:14" ht="18" customHeight="1" thickTop="1">
      <c r="A35" s="2142" t="s">
        <v>528</v>
      </c>
      <c r="B35" s="2143"/>
      <c r="C35" s="1479"/>
      <c r="D35" s="1480"/>
      <c r="E35" s="1480"/>
      <c r="F35" s="1480"/>
      <c r="G35" s="1480"/>
      <c r="H35" s="1480"/>
      <c r="I35" s="1480"/>
      <c r="J35" s="1480"/>
      <c r="K35" s="1480"/>
      <c r="L35" s="1480"/>
      <c r="M35" s="1474"/>
      <c r="N35" s="1478"/>
    </row>
    <row r="36" spans="1:14">
      <c r="A36" s="494" t="s">
        <v>1</v>
      </c>
      <c r="B36" s="470">
        <v>511</v>
      </c>
      <c r="C36" s="477"/>
      <c r="D36" s="477"/>
      <c r="E36" s="477"/>
      <c r="F36" s="477"/>
      <c r="G36" s="477"/>
      <c r="H36" s="477"/>
      <c r="I36" s="477"/>
      <c r="J36" s="477"/>
      <c r="K36" s="477"/>
      <c r="L36" s="468"/>
      <c r="M36" s="468"/>
      <c r="N36" s="495">
        <f>'Short-Term Long-Term Debt 24'!I49</f>
        <v>86011139</v>
      </c>
    </row>
    <row r="37" spans="1:14" ht="13.5" thickBot="1">
      <c r="A37" s="1643" t="s">
        <v>652</v>
      </c>
      <c r="B37" s="1648"/>
      <c r="C37" s="477"/>
      <c r="D37" s="477"/>
      <c r="E37" s="477"/>
      <c r="F37" s="477"/>
      <c r="G37" s="477"/>
      <c r="H37" s="477"/>
      <c r="I37" s="477"/>
      <c r="J37" s="477"/>
      <c r="K37" s="477"/>
      <c r="L37" s="480"/>
      <c r="M37" s="468"/>
      <c r="N37" s="1595">
        <f>SUM(N36:N36)</f>
        <v>86011139</v>
      </c>
    </row>
    <row r="38" spans="1:14" s="329" customFormat="1" ht="13.5" customHeight="1" thickTop="1">
      <c r="A38" s="496" t="s">
        <v>419</v>
      </c>
      <c r="B38" s="483">
        <v>714</v>
      </c>
      <c r="C38" s="466">
        <v>208784</v>
      </c>
      <c r="D38" s="466"/>
      <c r="E38" s="466"/>
      <c r="F38" s="466">
        <v>50910</v>
      </c>
      <c r="G38" s="466"/>
      <c r="H38" s="466"/>
      <c r="I38" s="466"/>
      <c r="J38" s="467">
        <v>123680</v>
      </c>
      <c r="K38" s="466"/>
      <c r="L38" s="481"/>
      <c r="M38" s="497"/>
      <c r="N38" s="497"/>
    </row>
    <row r="39" spans="1:14" s="329" customFormat="1" ht="13.5" customHeight="1">
      <c r="A39" s="496" t="s">
        <v>341</v>
      </c>
      <c r="B39" s="483">
        <v>730</v>
      </c>
      <c r="C39" s="466">
        <v>42687695</v>
      </c>
      <c r="D39" s="466">
        <v>4688325</v>
      </c>
      <c r="E39" s="466">
        <v>3195808</v>
      </c>
      <c r="F39" s="466">
        <f>6349885+3857614</f>
        <v>10207499</v>
      </c>
      <c r="G39" s="466">
        <v>4616025</v>
      </c>
      <c r="H39" s="466">
        <v>1767942</v>
      </c>
      <c r="I39" s="466">
        <v>17278076</v>
      </c>
      <c r="J39" s="467">
        <v>-211627</v>
      </c>
      <c r="K39" s="466"/>
      <c r="L39" s="466"/>
      <c r="M39" s="497"/>
      <c r="N39" s="497"/>
    </row>
    <row r="40" spans="1:14" s="329" customFormat="1" ht="13.5" customHeight="1">
      <c r="A40" s="498" t="s">
        <v>148</v>
      </c>
      <c r="B40" s="499"/>
      <c r="C40" s="500"/>
      <c r="D40" s="500"/>
      <c r="E40" s="500"/>
      <c r="F40" s="500"/>
      <c r="G40" s="500"/>
      <c r="H40" s="500"/>
      <c r="I40" s="500"/>
      <c r="J40" s="500"/>
      <c r="K40" s="500"/>
      <c r="L40" s="500"/>
      <c r="M40" s="467">
        <v>205633758</v>
      </c>
      <c r="N40" s="497"/>
    </row>
    <row r="41" spans="1:14" ht="13.5" customHeight="1" thickBot="1">
      <c r="A41" s="1643" t="s">
        <v>654</v>
      </c>
      <c r="B41" s="1613"/>
      <c r="C41" s="1595">
        <f>(SUM(C34,C37,C38,C39))</f>
        <v>74516964</v>
      </c>
      <c r="D41" s="1595">
        <f t="shared" ref="D41:L41" si="2">SUM(D34,D37,D38:D39)</f>
        <v>9747690</v>
      </c>
      <c r="E41" s="1595">
        <f t="shared" si="2"/>
        <v>7106444</v>
      </c>
      <c r="F41" s="1595">
        <f t="shared" si="2"/>
        <v>15697805</v>
      </c>
      <c r="G41" s="1595">
        <f t="shared" si="2"/>
        <v>6248827</v>
      </c>
      <c r="H41" s="1595">
        <f t="shared" si="2"/>
        <v>2304437</v>
      </c>
      <c r="I41" s="1595">
        <f t="shared" si="2"/>
        <v>17767567</v>
      </c>
      <c r="J41" s="1595">
        <f t="shared" si="2"/>
        <v>2314742</v>
      </c>
      <c r="K41" s="1595">
        <f t="shared" si="2"/>
        <v>0</v>
      </c>
      <c r="L41" s="1595">
        <f t="shared" si="2"/>
        <v>1920732</v>
      </c>
      <c r="M41" s="1595">
        <f>SUM(M40)</f>
        <v>205633758</v>
      </c>
      <c r="N41" s="1595">
        <f>SUM(N37)</f>
        <v>86011139</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
      <selection activeCell="A4" sqref="A4:F4"/>
      <selection pane="bottomLeft" activeCell="A21" sqref="A21:B21"/>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52" t="s">
        <v>1645</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c r="A2" s="215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c r="A3" s="2164" t="s">
        <v>1174</v>
      </c>
      <c r="B3" s="2165"/>
      <c r="C3" s="1482"/>
      <c r="D3" s="1483"/>
      <c r="E3" s="1483"/>
      <c r="F3" s="1483"/>
      <c r="G3" s="1483"/>
      <c r="H3" s="1483"/>
      <c r="I3" s="1483"/>
      <c r="J3" s="1483"/>
      <c r="K3" s="1484"/>
      <c r="L3" s="506"/>
    </row>
    <row r="4" spans="1:13" ht="15.75" customHeight="1">
      <c r="A4" s="1834" t="s">
        <v>1496</v>
      </c>
      <c r="B4" s="1835">
        <v>1000</v>
      </c>
      <c r="C4" s="1649">
        <f>'Revenues 9-14'!C109</f>
        <v>56432740</v>
      </c>
      <c r="D4" s="1649">
        <f>'Revenues 9-14'!D109</f>
        <v>9971994</v>
      </c>
      <c r="E4" s="1649">
        <f>'Revenues 9-14'!E109</f>
        <v>7523289</v>
      </c>
      <c r="F4" s="1649">
        <f>'Revenues 9-14'!F109</f>
        <v>4180354</v>
      </c>
      <c r="G4" s="1649">
        <f>'Revenues 9-14'!G109</f>
        <v>3802054</v>
      </c>
      <c r="H4" s="1649">
        <f>'Revenues 9-14'!H109</f>
        <v>197153</v>
      </c>
      <c r="I4" s="1649">
        <f>'Revenues 9-14'!I109</f>
        <v>1273500</v>
      </c>
      <c r="J4" s="1649">
        <f>'Revenues 9-14'!J109</f>
        <v>4361898</v>
      </c>
      <c r="K4" s="1649">
        <f>'Revenues 9-14'!K109</f>
        <v>0</v>
      </c>
      <c r="L4" s="347"/>
    </row>
    <row r="5" spans="1:13" ht="15.75" customHeight="1">
      <c r="A5" s="1485" t="s">
        <v>1497</v>
      </c>
      <c r="B5" s="1486">
        <v>2000</v>
      </c>
      <c r="C5" s="1650">
        <f>'Revenues 9-14'!C114</f>
        <v>0</v>
      </c>
      <c r="D5" s="1650">
        <f>'Revenues 9-14'!D114</f>
        <v>0</v>
      </c>
      <c r="E5" s="508"/>
      <c r="F5" s="1650">
        <f>'Revenues 9-14'!F114</f>
        <v>0</v>
      </c>
      <c r="G5" s="1650">
        <f>'Revenues 9-14'!G114</f>
        <v>0</v>
      </c>
      <c r="H5" s="509" t="s">
        <v>1168</v>
      </c>
      <c r="I5" s="510" t="s">
        <v>1168</v>
      </c>
      <c r="J5" s="511" t="s">
        <v>1168</v>
      </c>
      <c r="K5" s="512" t="s">
        <v>1168</v>
      </c>
      <c r="L5" s="347"/>
    </row>
    <row r="6" spans="1:13" ht="15.75" customHeight="1">
      <c r="A6" s="1485" t="s">
        <v>1498</v>
      </c>
      <c r="B6" s="1487">
        <v>3000</v>
      </c>
      <c r="C6" s="1650">
        <f>'Revenues 9-14'!C170</f>
        <v>19756329</v>
      </c>
      <c r="D6" s="1650">
        <f>'Revenues 9-14'!D170</f>
        <v>0</v>
      </c>
      <c r="E6" s="1650">
        <f>'Revenues 9-14'!E170</f>
        <v>0</v>
      </c>
      <c r="F6" s="1650">
        <f>'Revenues 9-14'!F170</f>
        <v>4102303</v>
      </c>
      <c r="G6" s="1650">
        <f>'Revenues 9-14'!G170</f>
        <v>0</v>
      </c>
      <c r="H6" s="1650">
        <f>'Revenues 9-14'!H170</f>
        <v>0</v>
      </c>
      <c r="I6" s="1650">
        <f>'Revenues 9-14'!I170</f>
        <v>0</v>
      </c>
      <c r="J6" s="1650">
        <f>'Revenues 9-14'!J170</f>
        <v>0</v>
      </c>
      <c r="K6" s="1650">
        <f>'Revenues 9-14'!K170</f>
        <v>0</v>
      </c>
      <c r="L6" s="347"/>
      <c r="M6" s="513"/>
    </row>
    <row r="7" spans="1:13" ht="15.75" customHeight="1">
      <c r="A7" s="1485" t="s">
        <v>1499</v>
      </c>
      <c r="B7" s="1487">
        <v>4000</v>
      </c>
      <c r="C7" s="1650">
        <f>'Revenues 9-14'!C267</f>
        <v>5779702</v>
      </c>
      <c r="D7" s="1650">
        <f>'Revenues 9-14'!D267</f>
        <v>0</v>
      </c>
      <c r="E7" s="1650">
        <f>'Revenues 9-14'!E267</f>
        <v>314076</v>
      </c>
      <c r="F7" s="1650">
        <f>'Revenues 9-14'!F267</f>
        <v>0</v>
      </c>
      <c r="G7" s="1650">
        <f>'Revenues 9-14'!G267</f>
        <v>0</v>
      </c>
      <c r="H7" s="1650">
        <f>'Revenues 9-14'!H267</f>
        <v>0</v>
      </c>
      <c r="I7" s="1650">
        <f>'Revenues 9-14'!I267</f>
        <v>0</v>
      </c>
      <c r="J7" s="1650">
        <f>'Revenues 9-14'!J267</f>
        <v>0</v>
      </c>
      <c r="K7" s="1650">
        <f>'Revenues 9-14'!K267</f>
        <v>0</v>
      </c>
      <c r="L7" s="347"/>
      <c r="M7" s="513"/>
    </row>
    <row r="8" spans="1:13" ht="13.5" thickBot="1">
      <c r="A8" s="1643" t="s">
        <v>1171</v>
      </c>
      <c r="B8" s="1616"/>
      <c r="C8" s="1595">
        <f>SUM(C4:C7)</f>
        <v>81968771</v>
      </c>
      <c r="D8" s="1595">
        <f t="shared" ref="D8:K8" si="0">SUM(D4:D7)</f>
        <v>9971994</v>
      </c>
      <c r="E8" s="1595">
        <f t="shared" si="0"/>
        <v>7837365</v>
      </c>
      <c r="F8" s="1595">
        <f t="shared" si="0"/>
        <v>8282657</v>
      </c>
      <c r="G8" s="1595">
        <f t="shared" si="0"/>
        <v>3802054</v>
      </c>
      <c r="H8" s="1595">
        <f t="shared" si="0"/>
        <v>197153</v>
      </c>
      <c r="I8" s="1595">
        <f t="shared" si="0"/>
        <v>1273500</v>
      </c>
      <c r="J8" s="1595">
        <f t="shared" si="0"/>
        <v>4361898</v>
      </c>
      <c r="K8" s="1595">
        <f t="shared" si="0"/>
        <v>0</v>
      </c>
      <c r="L8" s="347"/>
    </row>
    <row r="9" spans="1:13" ht="15.75" thickTop="1">
      <c r="A9" s="514" t="s">
        <v>1646</v>
      </c>
      <c r="B9" s="515">
        <v>3998</v>
      </c>
      <c r="C9" s="481">
        <v>29442820</v>
      </c>
      <c r="D9" s="516"/>
      <c r="E9" s="481"/>
      <c r="F9" s="481"/>
      <c r="G9" s="517"/>
      <c r="H9" s="481"/>
      <c r="I9" s="509" t="s">
        <v>1168</v>
      </c>
      <c r="J9" s="478"/>
      <c r="K9" s="481"/>
      <c r="L9" s="347"/>
    </row>
    <row r="10" spans="1:13" s="519" customFormat="1" ht="13.5" thickBot="1">
      <c r="A10" s="1643" t="s">
        <v>1172</v>
      </c>
      <c r="B10" s="1616"/>
      <c r="C10" s="1595">
        <f>SUM(C8:C9)</f>
        <v>111411591</v>
      </c>
      <c r="D10" s="1595">
        <f t="shared" ref="D10:K10" si="1">SUM(D8:D9)</f>
        <v>9971994</v>
      </c>
      <c r="E10" s="1595">
        <f t="shared" si="1"/>
        <v>7837365</v>
      </c>
      <c r="F10" s="1595">
        <f t="shared" si="1"/>
        <v>8282657</v>
      </c>
      <c r="G10" s="1595">
        <f t="shared" si="1"/>
        <v>3802054</v>
      </c>
      <c r="H10" s="1595">
        <f t="shared" si="1"/>
        <v>197153</v>
      </c>
      <c r="I10" s="1595">
        <f t="shared" si="1"/>
        <v>1273500</v>
      </c>
      <c r="J10" s="1595">
        <f t="shared" si="1"/>
        <v>4361898</v>
      </c>
      <c r="K10" s="1595">
        <f t="shared" si="1"/>
        <v>0</v>
      </c>
      <c r="L10" s="518"/>
    </row>
    <row r="11" spans="1:13" s="519" customFormat="1" ht="16.7" customHeight="1" thickTop="1">
      <c r="A11" s="2138" t="s">
        <v>1175</v>
      </c>
      <c r="B11" s="2139"/>
      <c r="C11" s="1479"/>
      <c r="D11" s="1480"/>
      <c r="E11" s="1480"/>
      <c r="F11" s="1480"/>
      <c r="G11" s="1480"/>
      <c r="H11" s="1480"/>
      <c r="I11" s="1480"/>
      <c r="J11" s="1480"/>
      <c r="K11" s="1481"/>
      <c r="L11" s="518"/>
    </row>
    <row r="12" spans="1:13" ht="15.75" customHeight="1">
      <c r="A12" s="1485" t="s">
        <v>455</v>
      </c>
      <c r="B12" s="1487">
        <v>1000</v>
      </c>
      <c r="C12" s="1649">
        <f>'Expenditures 15-22'!K33</f>
        <v>49666393</v>
      </c>
      <c r="D12" s="520" t="s">
        <v>1168</v>
      </c>
      <c r="E12" s="468" t="s">
        <v>1168</v>
      </c>
      <c r="F12" s="468" t="s">
        <v>1168</v>
      </c>
      <c r="G12" s="1649">
        <f>'Expenditures 15-22'!K229</f>
        <v>946962</v>
      </c>
      <c r="H12" s="521"/>
      <c r="I12" s="468" t="s">
        <v>1168</v>
      </c>
      <c r="J12" s="468" t="s">
        <v>1168</v>
      </c>
      <c r="K12" s="521" t="s">
        <v>1168</v>
      </c>
      <c r="L12" s="347"/>
    </row>
    <row r="13" spans="1:13" ht="15.75" customHeight="1">
      <c r="A13" s="1485" t="s">
        <v>456</v>
      </c>
      <c r="B13" s="1487">
        <v>2000</v>
      </c>
      <c r="C13" s="1650">
        <f>'Expenditures 15-22'!K74</f>
        <v>19527414</v>
      </c>
      <c r="D13" s="1650">
        <f>'Expenditures 15-22'!K129</f>
        <v>8700639</v>
      </c>
      <c r="E13" s="469" t="s">
        <v>1168</v>
      </c>
      <c r="F13" s="1650">
        <f>'Expenditures 15-22'!K184</f>
        <v>7557480</v>
      </c>
      <c r="G13" s="1650">
        <f>'Expenditures 15-22'!K279</f>
        <v>2244009</v>
      </c>
      <c r="H13" s="1650">
        <f>'Expenditures 15-22'!K303</f>
        <v>2023777</v>
      </c>
      <c r="I13" s="468" t="s">
        <v>1168</v>
      </c>
      <c r="J13" s="1650">
        <f>'Expenditures 15-22'!K330</f>
        <v>3751455</v>
      </c>
      <c r="K13" s="1654">
        <f>'Expenditures 15-22'!K352</f>
        <v>0</v>
      </c>
      <c r="L13" s="347"/>
    </row>
    <row r="14" spans="1:13" ht="15.75" customHeight="1">
      <c r="A14" s="1485" t="s">
        <v>448</v>
      </c>
      <c r="B14" s="1487">
        <v>3000</v>
      </c>
      <c r="C14" s="1650">
        <f>'Expenditures 15-22'!K75</f>
        <v>151805</v>
      </c>
      <c r="D14" s="1650">
        <f>'Expenditures 15-22'!K130</f>
        <v>0</v>
      </c>
      <c r="E14" s="520" t="s">
        <v>1168</v>
      </c>
      <c r="F14" s="1650">
        <f>'Expenditures 15-22'!K185</f>
        <v>0</v>
      </c>
      <c r="G14" s="1650">
        <f>'Expenditures 15-22'!K280</f>
        <v>6293</v>
      </c>
      <c r="H14" s="512"/>
      <c r="I14" s="468" t="s">
        <v>1168</v>
      </c>
      <c r="J14" s="468" t="s">
        <v>1168</v>
      </c>
      <c r="K14" s="512" t="s">
        <v>1168</v>
      </c>
      <c r="L14" s="347"/>
    </row>
    <row r="15" spans="1:13" ht="15.75" customHeight="1">
      <c r="A15" s="1485" t="s">
        <v>107</v>
      </c>
      <c r="B15" s="1487">
        <v>4000</v>
      </c>
      <c r="C15" s="1650">
        <f>'Expenditures 15-22'!K102</f>
        <v>238355</v>
      </c>
      <c r="D15" s="1650">
        <f>'Expenditures 15-22'!K139</f>
        <v>0</v>
      </c>
      <c r="E15" s="1650">
        <f>'Expenditures 15-22'!K160</f>
        <v>0</v>
      </c>
      <c r="F15" s="1650">
        <f>'Expenditures 15-22'!K196</f>
        <v>0</v>
      </c>
      <c r="G15" s="1650">
        <f>'Expenditures 15-22'!K285</f>
        <v>0</v>
      </c>
      <c r="H15" s="1650">
        <f>'Expenditures 15-22'!K310</f>
        <v>0</v>
      </c>
      <c r="I15" s="468" t="s">
        <v>1168</v>
      </c>
      <c r="J15" s="1742">
        <f>'Expenditures 15-22'!K334</f>
        <v>0</v>
      </c>
      <c r="K15" s="1650">
        <f>'Expenditures 15-22'!K357</f>
        <v>0</v>
      </c>
      <c r="L15" s="347"/>
    </row>
    <row r="16" spans="1:13" ht="15.75" customHeight="1">
      <c r="A16" s="1485" t="s">
        <v>449</v>
      </c>
      <c r="B16" s="1487">
        <v>5000</v>
      </c>
      <c r="C16" s="1650">
        <f>'Expenditures 15-22'!K112</f>
        <v>0</v>
      </c>
      <c r="D16" s="1650">
        <f>'Expenditures 15-22'!K149</f>
        <v>0</v>
      </c>
      <c r="E16" s="1650">
        <f>'Expenditures 15-22'!K172</f>
        <v>8246060</v>
      </c>
      <c r="F16" s="1650">
        <f>'Expenditures 15-22'!K208</f>
        <v>0</v>
      </c>
      <c r="G16" s="1650">
        <f>'Expenditures 15-22'!K293</f>
        <v>0</v>
      </c>
      <c r="H16" s="523"/>
      <c r="I16" s="468" t="s">
        <v>1168</v>
      </c>
      <c r="J16" s="1655">
        <f>'Expenditures 15-22'!K340</f>
        <v>0</v>
      </c>
      <c r="K16" s="1650">
        <f>'Expenditures 15-22'!K365</f>
        <v>0</v>
      </c>
      <c r="L16" s="347"/>
    </row>
    <row r="17" spans="1:12" ht="13.5" thickBot="1">
      <c r="A17" s="1615" t="s">
        <v>48</v>
      </c>
      <c r="B17" s="1616"/>
      <c r="C17" s="1595">
        <f t="shared" ref="C17:H17" si="2">SUM(C12:C16)</f>
        <v>69583967</v>
      </c>
      <c r="D17" s="1595">
        <f t="shared" si="2"/>
        <v>8700639</v>
      </c>
      <c r="E17" s="1595">
        <f t="shared" si="2"/>
        <v>8246060</v>
      </c>
      <c r="F17" s="1595">
        <f t="shared" si="2"/>
        <v>7557480</v>
      </c>
      <c r="G17" s="1595">
        <f t="shared" si="2"/>
        <v>3197264</v>
      </c>
      <c r="H17" s="1595">
        <f t="shared" si="2"/>
        <v>2023777</v>
      </c>
      <c r="I17" s="468"/>
      <c r="J17" s="1595">
        <f>SUM(J12:J16)</f>
        <v>3751455</v>
      </c>
      <c r="K17" s="1595">
        <f>SUM(K12:K16)</f>
        <v>0</v>
      </c>
      <c r="L17" s="347"/>
    </row>
    <row r="18" spans="1:12" ht="15" customHeight="1" thickTop="1">
      <c r="A18" s="1651" t="s">
        <v>1647</v>
      </c>
      <c r="B18" s="1652">
        <v>4180</v>
      </c>
      <c r="C18" s="1649">
        <f t="shared" ref="C18:H18" si="3">C9</f>
        <v>29442820</v>
      </c>
      <c r="D18" s="1649">
        <f t="shared" si="3"/>
        <v>0</v>
      </c>
      <c r="E18" s="1649">
        <f t="shared" si="3"/>
        <v>0</v>
      </c>
      <c r="F18" s="1649">
        <f t="shared" si="3"/>
        <v>0</v>
      </c>
      <c r="G18" s="1649">
        <f t="shared" si="3"/>
        <v>0</v>
      </c>
      <c r="H18" s="1649">
        <f t="shared" si="3"/>
        <v>0</v>
      </c>
      <c r="I18" s="468"/>
      <c r="J18" s="1649">
        <f>J9</f>
        <v>0</v>
      </c>
      <c r="K18" s="1649">
        <f>K9</f>
        <v>0</v>
      </c>
      <c r="L18" s="347"/>
    </row>
    <row r="19" spans="1:12" ht="13.5" thickBot="1">
      <c r="A19" s="1615" t="s">
        <v>504</v>
      </c>
      <c r="B19" s="1616"/>
      <c r="C19" s="1595">
        <f t="shared" ref="C19:H19" si="4">SUM(C17:C18)</f>
        <v>99026787</v>
      </c>
      <c r="D19" s="1595">
        <f t="shared" si="4"/>
        <v>8700639</v>
      </c>
      <c r="E19" s="1595">
        <f t="shared" si="4"/>
        <v>8246060</v>
      </c>
      <c r="F19" s="1595">
        <f t="shared" si="4"/>
        <v>7557480</v>
      </c>
      <c r="G19" s="1595">
        <f t="shared" si="4"/>
        <v>3197264</v>
      </c>
      <c r="H19" s="1595">
        <f t="shared" si="4"/>
        <v>2023777</v>
      </c>
      <c r="I19" s="468"/>
      <c r="J19" s="1595">
        <f>SUM(J17:J18)</f>
        <v>3751455</v>
      </c>
      <c r="K19" s="1595">
        <f>SUM(K17:K18)</f>
        <v>0</v>
      </c>
      <c r="L19" s="347"/>
    </row>
    <row r="20" spans="1:12" ht="16.5" thickTop="1" thickBot="1">
      <c r="A20" s="2154" t="s">
        <v>1648</v>
      </c>
      <c r="B20" s="2155"/>
      <c r="C20" s="1653">
        <f>C8-C17</f>
        <v>12384804</v>
      </c>
      <c r="D20" s="1653">
        <f t="shared" ref="D20:K20" si="5">D8-D17</f>
        <v>1271355</v>
      </c>
      <c r="E20" s="1653">
        <f t="shared" si="5"/>
        <v>-408695</v>
      </c>
      <c r="F20" s="1653">
        <f t="shared" si="5"/>
        <v>725177</v>
      </c>
      <c r="G20" s="1653">
        <f t="shared" si="5"/>
        <v>604790</v>
      </c>
      <c r="H20" s="1653">
        <f t="shared" si="5"/>
        <v>-1826624</v>
      </c>
      <c r="I20" s="1653">
        <f t="shared" si="5"/>
        <v>1273500</v>
      </c>
      <c r="J20" s="1653">
        <f t="shared" si="5"/>
        <v>610443</v>
      </c>
      <c r="K20" s="1653">
        <f t="shared" si="5"/>
        <v>0</v>
      </c>
      <c r="L20" s="347"/>
    </row>
    <row r="21" spans="1:12" ht="16.7" customHeight="1" thickTop="1">
      <c r="A21" s="2166" t="s">
        <v>594</v>
      </c>
      <c r="B21" s="2167"/>
      <c r="C21" s="1479"/>
      <c r="D21" s="1480"/>
      <c r="E21" s="1480"/>
      <c r="F21" s="1480"/>
      <c r="G21" s="1480"/>
      <c r="H21" s="1480"/>
      <c r="I21" s="1480"/>
      <c r="J21" s="1480"/>
      <c r="K21" s="1481"/>
      <c r="L21" s="524"/>
    </row>
    <row r="22" spans="1:12" ht="15.75" customHeight="1" collapsed="1">
      <c r="A22" s="2162" t="s">
        <v>595</v>
      </c>
      <c r="B22" s="2163"/>
      <c r="C22" s="477"/>
      <c r="D22" s="477"/>
      <c r="E22" s="477"/>
      <c r="F22" s="477"/>
      <c r="G22" s="477"/>
      <c r="H22" s="477"/>
      <c r="I22" s="477"/>
      <c r="J22" s="477"/>
      <c r="K22" s="477"/>
      <c r="L22" s="347"/>
    </row>
    <row r="23" spans="1:12" s="485" customFormat="1" ht="15.75" customHeight="1">
      <c r="A23" s="2158" t="s">
        <v>292</v>
      </c>
      <c r="B23" s="2159"/>
      <c r="C23" s="480"/>
      <c r="D23" s="477"/>
      <c r="E23" s="477"/>
      <c r="F23" s="477"/>
      <c r="G23" s="477"/>
      <c r="H23" s="477"/>
      <c r="I23" s="477"/>
      <c r="J23" s="477"/>
      <c r="K23" s="477"/>
      <c r="L23" s="524"/>
    </row>
    <row r="24" spans="1:12" s="485" customFormat="1" ht="13.5" customHeight="1">
      <c r="A24" s="1398" t="s">
        <v>1649</v>
      </c>
      <c r="B24" s="525">
        <v>7110</v>
      </c>
      <c r="C24" s="467"/>
      <c r="D24" s="477"/>
      <c r="E24" s="477"/>
      <c r="F24" s="477"/>
      <c r="G24" s="477"/>
      <c r="H24" s="477"/>
      <c r="I24" s="477"/>
      <c r="J24" s="477"/>
      <c r="K24" s="477"/>
      <c r="L24" s="524"/>
    </row>
    <row r="25" spans="1:12" s="485" customFormat="1" ht="13.5" customHeight="1">
      <c r="A25" s="1398" t="s">
        <v>1650</v>
      </c>
      <c r="B25" s="525">
        <v>7110</v>
      </c>
      <c r="C25" s="467"/>
      <c r="D25" s="467"/>
      <c r="E25" s="467"/>
      <c r="F25" s="467"/>
      <c r="G25" s="467"/>
      <c r="H25" s="467"/>
      <c r="I25" s="477"/>
      <c r="J25" s="467"/>
      <c r="K25" s="467"/>
      <c r="L25" s="524"/>
    </row>
    <row r="26" spans="1:12" s="485" customFormat="1" ht="13.5" customHeight="1">
      <c r="A26" s="1398" t="s">
        <v>184</v>
      </c>
      <c r="B26" s="483">
        <v>7120</v>
      </c>
      <c r="C26" s="467"/>
      <c r="D26" s="467"/>
      <c r="E26" s="467"/>
      <c r="F26" s="467"/>
      <c r="G26" s="467"/>
      <c r="H26" s="467"/>
      <c r="I26" s="477"/>
      <c r="J26" s="467"/>
      <c r="K26" s="467"/>
      <c r="L26" s="524"/>
    </row>
    <row r="27" spans="1:12" s="485" customFormat="1" ht="13.5" customHeight="1">
      <c r="A27" s="1398" t="s">
        <v>185</v>
      </c>
      <c r="B27" s="483">
        <v>7130</v>
      </c>
      <c r="C27" s="467"/>
      <c r="D27" s="467"/>
      <c r="E27" s="526"/>
      <c r="F27" s="467"/>
      <c r="G27" s="480"/>
      <c r="H27" s="480"/>
      <c r="I27" s="480"/>
      <c r="J27" s="480"/>
      <c r="K27" s="480"/>
      <c r="L27" s="524"/>
    </row>
    <row r="28" spans="1:12" s="485" customFormat="1" ht="13.5" customHeight="1">
      <c r="A28" s="1398" t="s">
        <v>1395</v>
      </c>
      <c r="B28" s="483">
        <v>7140</v>
      </c>
      <c r="C28" s="467"/>
      <c r="D28" s="467"/>
      <c r="E28" s="467"/>
      <c r="F28" s="467"/>
      <c r="G28" s="467"/>
      <c r="H28" s="467"/>
      <c r="I28" s="467"/>
      <c r="J28" s="467"/>
      <c r="K28" s="467"/>
      <c r="L28" s="524"/>
    </row>
    <row r="29" spans="1:12" s="485" customFormat="1" ht="13.5" customHeight="1">
      <c r="A29" s="1398" t="s">
        <v>293</v>
      </c>
      <c r="B29" s="483">
        <v>7150</v>
      </c>
      <c r="C29" s="475"/>
      <c r="D29" s="467"/>
      <c r="E29" s="475"/>
      <c r="F29" s="475"/>
      <c r="G29" s="475"/>
      <c r="H29" s="475"/>
      <c r="I29" s="475"/>
      <c r="J29" s="475"/>
      <c r="K29" s="475"/>
      <c r="L29" s="524"/>
    </row>
    <row r="30" spans="1:12" s="485" customFormat="1" ht="26.25">
      <c r="A30" s="1398" t="s">
        <v>1766</v>
      </c>
      <c r="B30" s="527">
        <v>7160</v>
      </c>
      <c r="C30" s="477"/>
      <c r="D30" s="467"/>
      <c r="E30" s="477"/>
      <c r="F30" s="477"/>
      <c r="G30" s="477"/>
      <c r="H30" s="477"/>
      <c r="I30" s="477"/>
      <c r="J30" s="477"/>
      <c r="K30" s="477"/>
      <c r="L30" s="524"/>
    </row>
    <row r="31" spans="1:12" s="485" customFormat="1" ht="26.25">
      <c r="A31" s="1398" t="s">
        <v>1770</v>
      </c>
      <c r="B31" s="527">
        <v>7170</v>
      </c>
      <c r="C31" s="477"/>
      <c r="D31" s="477"/>
      <c r="E31" s="474"/>
      <c r="F31" s="477"/>
      <c r="G31" s="477"/>
      <c r="H31" s="477"/>
      <c r="I31" s="477"/>
      <c r="J31" s="477"/>
      <c r="K31" s="477"/>
      <c r="L31" s="524"/>
    </row>
    <row r="32" spans="1:12" s="485" customFormat="1" ht="15.75" customHeight="1">
      <c r="A32" s="2160" t="s">
        <v>980</v>
      </c>
      <c r="B32" s="2161"/>
      <c r="C32" s="477"/>
      <c r="D32" s="477"/>
      <c r="E32" s="475"/>
      <c r="F32" s="477"/>
      <c r="G32" s="477"/>
      <c r="H32" s="477"/>
      <c r="I32" s="477"/>
      <c r="J32" s="477"/>
      <c r="K32" s="477"/>
      <c r="L32" s="524"/>
    </row>
    <row r="33" spans="1:12" s="485" customFormat="1">
      <c r="A33" s="1398" t="s">
        <v>411</v>
      </c>
      <c r="B33" s="525">
        <v>7210</v>
      </c>
      <c r="C33" s="467"/>
      <c r="D33" s="467"/>
      <c r="E33" s="467"/>
      <c r="F33" s="467"/>
      <c r="G33" s="477"/>
      <c r="H33" s="467"/>
      <c r="I33" s="467"/>
      <c r="J33" s="467"/>
      <c r="K33" s="467"/>
      <c r="L33" s="524"/>
    </row>
    <row r="34" spans="1:12" s="485" customFormat="1">
      <c r="A34" s="1398" t="s">
        <v>1000</v>
      </c>
      <c r="B34" s="525">
        <v>7220</v>
      </c>
      <c r="C34" s="467"/>
      <c r="D34" s="467"/>
      <c r="E34" s="467"/>
      <c r="F34" s="467"/>
      <c r="G34" s="477"/>
      <c r="H34" s="478"/>
      <c r="I34" s="478"/>
      <c r="J34" s="478"/>
      <c r="K34" s="478"/>
      <c r="L34" s="524"/>
    </row>
    <row r="35" spans="1:12" s="485" customFormat="1">
      <c r="A35" s="1398" t="s">
        <v>989</v>
      </c>
      <c r="B35" s="525">
        <v>7230</v>
      </c>
      <c r="C35" s="467"/>
      <c r="D35" s="467"/>
      <c r="E35" s="467"/>
      <c r="F35" s="467"/>
      <c r="G35" s="480"/>
      <c r="H35" s="467"/>
      <c r="I35" s="467"/>
      <c r="J35" s="467"/>
      <c r="K35" s="467"/>
      <c r="L35" s="524"/>
    </row>
    <row r="36" spans="1:12" s="485" customFormat="1" ht="15">
      <c r="A36" s="1398" t="s">
        <v>1651</v>
      </c>
      <c r="B36" s="525">
        <v>7300</v>
      </c>
      <c r="C36" s="467">
        <v>5200</v>
      </c>
      <c r="D36" s="467"/>
      <c r="E36" s="467"/>
      <c r="F36" s="467">
        <v>46675</v>
      </c>
      <c r="G36" s="467"/>
      <c r="H36" s="467"/>
      <c r="I36" s="475"/>
      <c r="J36" s="467"/>
      <c r="K36" s="467"/>
      <c r="L36" s="524"/>
    </row>
    <row r="37" spans="1:12" s="485" customFormat="1">
      <c r="A37" s="1398" t="s">
        <v>440</v>
      </c>
      <c r="B37" s="525">
        <v>7400</v>
      </c>
      <c r="C37" s="475"/>
      <c r="D37" s="475"/>
      <c r="E37" s="1650">
        <f>SUM(C54:D57,H54:H57)</f>
        <v>420380</v>
      </c>
      <c r="F37" s="475"/>
      <c r="G37" s="475"/>
      <c r="H37" s="475"/>
      <c r="I37" s="477"/>
      <c r="J37" s="475"/>
      <c r="K37" s="475"/>
      <c r="L37" s="524"/>
    </row>
    <row r="38" spans="1:12" s="485" customFormat="1">
      <c r="A38" s="1398" t="s">
        <v>441</v>
      </c>
      <c r="B38" s="525">
        <v>7500</v>
      </c>
      <c r="C38" s="477"/>
      <c r="D38" s="477"/>
      <c r="E38" s="1650">
        <f>SUM(C58:D61,H58:H61)</f>
        <v>0</v>
      </c>
      <c r="F38" s="477"/>
      <c r="G38" s="477"/>
      <c r="H38" s="477"/>
      <c r="I38" s="477"/>
      <c r="J38" s="477"/>
      <c r="K38" s="477"/>
      <c r="L38" s="524"/>
    </row>
    <row r="39" spans="1:12" s="485" customFormat="1">
      <c r="A39" s="1398" t="s">
        <v>442</v>
      </c>
      <c r="B39" s="525">
        <v>7600</v>
      </c>
      <c r="C39" s="477"/>
      <c r="D39" s="477"/>
      <c r="E39" s="1650">
        <f>SUM(C62:D65)</f>
        <v>0</v>
      </c>
      <c r="F39" s="477"/>
      <c r="G39" s="477"/>
      <c r="H39" s="477"/>
      <c r="I39" s="477"/>
      <c r="J39" s="477"/>
      <c r="K39" s="477"/>
      <c r="L39" s="524"/>
    </row>
    <row r="40" spans="1:12" s="485" customFormat="1" ht="13.5" customHeight="1">
      <c r="A40" s="1398" t="s">
        <v>641</v>
      </c>
      <c r="B40" s="483">
        <v>7700</v>
      </c>
      <c r="C40" s="477"/>
      <c r="D40" s="477"/>
      <c r="E40" s="1650">
        <f>SUM(C66:D69)</f>
        <v>0</v>
      </c>
      <c r="F40" s="477"/>
      <c r="G40" s="477"/>
      <c r="H40" s="480"/>
      <c r="I40" s="477"/>
      <c r="J40" s="477"/>
      <c r="K40" s="477"/>
      <c r="L40" s="524"/>
    </row>
    <row r="41" spans="1:12" s="485" customFormat="1" ht="13.5" customHeight="1">
      <c r="A41" s="1398" t="s">
        <v>639</v>
      </c>
      <c r="B41" s="483">
        <v>7800</v>
      </c>
      <c r="C41" s="480"/>
      <c r="D41" s="480"/>
      <c r="E41" s="526"/>
      <c r="F41" s="480"/>
      <c r="G41" s="480"/>
      <c r="H41" s="1650">
        <f>SUM(C70:D73)</f>
        <v>0</v>
      </c>
      <c r="I41" s="477"/>
      <c r="J41" s="477"/>
      <c r="K41" s="480"/>
      <c r="L41" s="524"/>
    </row>
    <row r="42" spans="1:12" s="485" customFormat="1" ht="13.5" customHeight="1">
      <c r="A42" s="1398" t="s">
        <v>640</v>
      </c>
      <c r="B42" s="483">
        <v>7900</v>
      </c>
      <c r="C42" s="467"/>
      <c r="D42" s="467"/>
      <c r="E42" s="467"/>
      <c r="F42" s="467"/>
      <c r="G42" s="467"/>
      <c r="H42" s="467"/>
      <c r="I42" s="480"/>
      <c r="J42" s="480"/>
      <c r="K42" s="467"/>
      <c r="L42" s="524"/>
    </row>
    <row r="43" spans="1:12" s="485" customFormat="1" ht="13.5" customHeight="1">
      <c r="A43" s="1398" t="s">
        <v>372</v>
      </c>
      <c r="B43" s="483">
        <v>7990</v>
      </c>
      <c r="C43" s="467"/>
      <c r="D43" s="467"/>
      <c r="E43" s="467"/>
      <c r="F43" s="467"/>
      <c r="G43" s="467"/>
      <c r="H43" s="467"/>
      <c r="I43" s="467"/>
      <c r="J43" s="467"/>
      <c r="K43" s="467"/>
      <c r="L43" s="524"/>
    </row>
    <row r="44" spans="1:12" s="485" customFormat="1" ht="13.5" customHeight="1" thickBot="1">
      <c r="A44" s="2168" t="s">
        <v>373</v>
      </c>
      <c r="B44" s="2169"/>
      <c r="C44" s="1610">
        <f>SUM(C24:C43)</f>
        <v>5200</v>
      </c>
      <c r="D44" s="1610">
        <f t="shared" ref="D44:K44" si="6">SUM(D24:D43)</f>
        <v>0</v>
      </c>
      <c r="E44" s="1610">
        <f t="shared" si="6"/>
        <v>420380</v>
      </c>
      <c r="F44" s="1610">
        <f t="shared" si="6"/>
        <v>46675</v>
      </c>
      <c r="G44" s="1610">
        <f t="shared" si="6"/>
        <v>0</v>
      </c>
      <c r="H44" s="1610">
        <f t="shared" si="6"/>
        <v>0</v>
      </c>
      <c r="I44" s="1610">
        <f t="shared" si="6"/>
        <v>0</v>
      </c>
      <c r="J44" s="1610">
        <f t="shared" si="6"/>
        <v>0</v>
      </c>
      <c r="K44" s="1610">
        <f t="shared" si="6"/>
        <v>0</v>
      </c>
      <c r="L44" s="524"/>
    </row>
    <row r="45" spans="1:12" ht="15.75" customHeight="1" thickTop="1">
      <c r="A45" s="2162" t="s">
        <v>108</v>
      </c>
      <c r="B45" s="2163"/>
      <c r="C45" s="528"/>
      <c r="D45" s="528"/>
      <c r="E45" s="528"/>
      <c r="F45" s="528"/>
      <c r="G45" s="528"/>
      <c r="H45" s="528"/>
      <c r="I45" s="528"/>
      <c r="J45" s="528"/>
      <c r="K45" s="528"/>
      <c r="L45" s="347"/>
    </row>
    <row r="46" spans="1:12" s="485" customFormat="1" ht="15.75" customHeight="1">
      <c r="A46" s="2170" t="s">
        <v>109</v>
      </c>
      <c r="B46" s="2171"/>
      <c r="C46" s="477"/>
      <c r="D46" s="477"/>
      <c r="E46" s="477"/>
      <c r="F46" s="477"/>
      <c r="G46" s="477"/>
      <c r="H46" s="477"/>
      <c r="I46" s="480"/>
      <c r="J46" s="477"/>
      <c r="K46" s="477"/>
      <c r="L46" s="529"/>
    </row>
    <row r="47" spans="1:12" s="485" customFormat="1" ht="15">
      <c r="A47" s="1399" t="s">
        <v>1652</v>
      </c>
      <c r="B47" s="483">
        <v>8110</v>
      </c>
      <c r="C47" s="477"/>
      <c r="D47" s="477"/>
      <c r="E47" s="477"/>
      <c r="F47" s="477"/>
      <c r="G47" s="477"/>
      <c r="H47" s="477"/>
      <c r="I47" s="1650">
        <f>SUM(C24,C25:H25,J25:K25)</f>
        <v>0</v>
      </c>
      <c r="J47" s="477"/>
      <c r="K47" s="477"/>
      <c r="L47" s="529"/>
    </row>
    <row r="48" spans="1:12" s="485" customFormat="1" ht="15">
      <c r="A48" s="1399" t="s">
        <v>1653</v>
      </c>
      <c r="B48" s="483">
        <v>8120</v>
      </c>
      <c r="C48" s="480"/>
      <c r="D48" s="480"/>
      <c r="E48" s="477"/>
      <c r="F48" s="480"/>
      <c r="G48" s="477"/>
      <c r="H48" s="477"/>
      <c r="I48" s="1650">
        <f>SUM(C26:H26,J26,K26)</f>
        <v>0</v>
      </c>
      <c r="J48" s="477"/>
      <c r="K48" s="477"/>
      <c r="L48" s="529"/>
    </row>
    <row r="49" spans="1:12" s="485" customFormat="1">
      <c r="A49" s="1399" t="s">
        <v>185</v>
      </c>
      <c r="B49" s="483">
        <v>8130</v>
      </c>
      <c r="C49" s="467"/>
      <c r="D49" s="467"/>
      <c r="E49" s="480"/>
      <c r="F49" s="467"/>
      <c r="G49" s="480"/>
      <c r="H49" s="480"/>
      <c r="I49" s="477"/>
      <c r="J49" s="480"/>
      <c r="K49" s="477"/>
      <c r="L49" s="524"/>
    </row>
    <row r="50" spans="1:12" s="485" customFormat="1">
      <c r="A50" s="1399" t="s">
        <v>1395</v>
      </c>
      <c r="B50" s="483">
        <v>8140</v>
      </c>
      <c r="C50" s="467"/>
      <c r="D50" s="467"/>
      <c r="E50" s="467"/>
      <c r="F50" s="467"/>
      <c r="G50" s="467"/>
      <c r="H50" s="467"/>
      <c r="I50" s="477"/>
      <c r="J50" s="467"/>
      <c r="K50" s="477"/>
      <c r="L50" s="524"/>
    </row>
    <row r="51" spans="1:12" s="485" customFormat="1">
      <c r="A51" s="1399" t="s">
        <v>293</v>
      </c>
      <c r="B51" s="483">
        <v>8150</v>
      </c>
      <c r="C51" s="475"/>
      <c r="D51" s="475"/>
      <c r="E51" s="475"/>
      <c r="F51" s="475"/>
      <c r="G51" s="475"/>
      <c r="H51" s="1650">
        <f>SUM(D29)</f>
        <v>0</v>
      </c>
      <c r="I51" s="477"/>
      <c r="J51" s="475"/>
      <c r="K51" s="480"/>
      <c r="L51" s="524"/>
    </row>
    <row r="52" spans="1:12" s="485" customFormat="1" ht="26.25">
      <c r="A52" s="1399" t="s">
        <v>1769</v>
      </c>
      <c r="B52" s="483">
        <v>8160</v>
      </c>
      <c r="C52" s="477"/>
      <c r="D52" s="477"/>
      <c r="E52" s="477"/>
      <c r="F52" s="477"/>
      <c r="G52" s="477"/>
      <c r="H52" s="477"/>
      <c r="I52" s="477"/>
      <c r="J52" s="477"/>
      <c r="K52" s="1650">
        <f>D30</f>
        <v>0</v>
      </c>
      <c r="L52" s="524"/>
    </row>
    <row r="53" spans="1:12" s="485" customFormat="1" ht="26.25">
      <c r="A53" s="1399" t="s">
        <v>1768</v>
      </c>
      <c r="B53" s="483">
        <v>8170</v>
      </c>
      <c r="C53" s="480"/>
      <c r="D53" s="480"/>
      <c r="E53" s="477"/>
      <c r="F53" s="477"/>
      <c r="G53" s="477"/>
      <c r="H53" s="480"/>
      <c r="I53" s="477"/>
      <c r="J53" s="477"/>
      <c r="K53" s="1650">
        <f>E31</f>
        <v>0</v>
      </c>
      <c r="L53" s="524"/>
    </row>
    <row r="54" spans="1:12" s="485" customFormat="1" ht="13.5" thickBot="1">
      <c r="A54" s="1399" t="s">
        <v>691</v>
      </c>
      <c r="B54" s="483">
        <v>8410</v>
      </c>
      <c r="C54" s="530"/>
      <c r="D54" s="530"/>
      <c r="E54" s="477"/>
      <c r="F54" s="477"/>
      <c r="G54" s="477"/>
      <c r="H54" s="530"/>
      <c r="I54" s="477"/>
      <c r="J54" s="477"/>
      <c r="K54" s="475"/>
      <c r="L54" s="524"/>
    </row>
    <row r="55" spans="1:12" s="485" customFormat="1" ht="14.25" thickTop="1" thickBot="1">
      <c r="A55" s="1400" t="s">
        <v>692</v>
      </c>
      <c r="B55" s="483">
        <v>8420</v>
      </c>
      <c r="C55" s="531"/>
      <c r="D55" s="531"/>
      <c r="E55" s="477"/>
      <c r="F55" s="477"/>
      <c r="G55" s="477"/>
      <c r="H55" s="530"/>
      <c r="I55" s="477"/>
      <c r="J55" s="477"/>
      <c r="K55" s="477"/>
      <c r="L55" s="524"/>
    </row>
    <row r="56" spans="1:12" s="485" customFormat="1" ht="14.25" thickTop="1" thickBot="1">
      <c r="A56" s="1399" t="s">
        <v>580</v>
      </c>
      <c r="B56" s="483">
        <v>8430</v>
      </c>
      <c r="C56" s="531">
        <v>420380</v>
      </c>
      <c r="D56" s="531"/>
      <c r="E56" s="477"/>
      <c r="F56" s="477"/>
      <c r="G56" s="477"/>
      <c r="H56" s="530"/>
      <c r="I56" s="477"/>
      <c r="J56" s="477"/>
      <c r="K56" s="477"/>
      <c r="L56" s="524"/>
    </row>
    <row r="57" spans="1:12" s="485" customFormat="1" ht="14.25" thickTop="1" thickBot="1">
      <c r="A57" s="1400" t="s">
        <v>577</v>
      </c>
      <c r="B57" s="483">
        <v>8440</v>
      </c>
      <c r="C57" s="531"/>
      <c r="D57" s="531"/>
      <c r="E57" s="477"/>
      <c r="F57" s="477"/>
      <c r="G57" s="477"/>
      <c r="H57" s="530"/>
      <c r="I57" s="477"/>
      <c r="J57" s="477"/>
      <c r="K57" s="477"/>
      <c r="L57" s="524"/>
    </row>
    <row r="58" spans="1:12" s="485" customFormat="1" ht="14.25" thickTop="1" thickBot="1">
      <c r="A58" s="1399" t="s">
        <v>578</v>
      </c>
      <c r="B58" s="483">
        <v>8510</v>
      </c>
      <c r="C58" s="531"/>
      <c r="D58" s="531"/>
      <c r="E58" s="477"/>
      <c r="F58" s="477"/>
      <c r="G58" s="477"/>
      <c r="H58" s="530"/>
      <c r="I58" s="477"/>
      <c r="J58" s="477"/>
      <c r="K58" s="477"/>
      <c r="L58" s="524"/>
    </row>
    <row r="59" spans="1:12" s="485" customFormat="1" ht="14.25" thickTop="1" thickBot="1">
      <c r="A59" s="1401" t="s">
        <v>693</v>
      </c>
      <c r="B59" s="483">
        <v>8520</v>
      </c>
      <c r="C59" s="531"/>
      <c r="D59" s="531"/>
      <c r="E59" s="477"/>
      <c r="F59" s="477"/>
      <c r="G59" s="477"/>
      <c r="H59" s="530"/>
      <c r="I59" s="477"/>
      <c r="J59" s="477"/>
      <c r="K59" s="477"/>
      <c r="L59" s="524"/>
    </row>
    <row r="60" spans="1:12" s="485" customFormat="1" ht="14.25" thickTop="1" thickBot="1">
      <c r="A60" s="1399" t="s">
        <v>579</v>
      </c>
      <c r="B60" s="483">
        <v>8530</v>
      </c>
      <c r="C60" s="531"/>
      <c r="D60" s="531"/>
      <c r="E60" s="477"/>
      <c r="F60" s="477"/>
      <c r="G60" s="477"/>
      <c r="H60" s="530"/>
      <c r="I60" s="477"/>
      <c r="J60" s="477"/>
      <c r="K60" s="477"/>
      <c r="L60" s="524"/>
    </row>
    <row r="61" spans="1:12" s="485" customFormat="1" ht="14.25" thickTop="1" thickBot="1">
      <c r="A61" s="1400" t="s">
        <v>742</v>
      </c>
      <c r="B61" s="483">
        <v>8540</v>
      </c>
      <c r="C61" s="531"/>
      <c r="D61" s="531"/>
      <c r="E61" s="477"/>
      <c r="F61" s="477"/>
      <c r="G61" s="477"/>
      <c r="H61" s="530"/>
      <c r="I61" s="477"/>
      <c r="J61" s="477"/>
      <c r="K61" s="477"/>
      <c r="L61" s="524"/>
    </row>
    <row r="62" spans="1:12" s="485" customFormat="1" ht="13.5" customHeight="1" thickTop="1" thickBot="1">
      <c r="A62" s="1399" t="s">
        <v>743</v>
      </c>
      <c r="B62" s="483">
        <v>8610</v>
      </c>
      <c r="C62" s="531"/>
      <c r="D62" s="531"/>
      <c r="E62" s="477"/>
      <c r="F62" s="477"/>
      <c r="G62" s="477"/>
      <c r="H62" s="477"/>
      <c r="I62" s="477"/>
      <c r="J62" s="477"/>
      <c r="K62" s="477"/>
      <c r="L62" s="524"/>
    </row>
    <row r="63" spans="1:12" s="485" customFormat="1" ht="14.25" thickTop="1" thickBot="1">
      <c r="A63" s="1400" t="s">
        <v>694</v>
      </c>
      <c r="B63" s="483">
        <v>8620</v>
      </c>
      <c r="C63" s="531"/>
      <c r="D63" s="531"/>
      <c r="E63" s="477"/>
      <c r="F63" s="477"/>
      <c r="G63" s="477"/>
      <c r="H63" s="477"/>
      <c r="I63" s="477"/>
      <c r="J63" s="477"/>
      <c r="K63" s="477"/>
      <c r="L63" s="524"/>
    </row>
    <row r="64" spans="1:12" s="485" customFormat="1" ht="13.5" customHeight="1" thickTop="1" thickBot="1">
      <c r="A64" s="1399" t="s">
        <v>744</v>
      </c>
      <c r="B64" s="483">
        <v>8630</v>
      </c>
      <c r="C64" s="531"/>
      <c r="D64" s="531"/>
      <c r="E64" s="477"/>
      <c r="F64" s="477"/>
      <c r="G64" s="477"/>
      <c r="H64" s="477"/>
      <c r="I64" s="477"/>
      <c r="J64" s="477"/>
      <c r="K64" s="477"/>
      <c r="L64" s="524"/>
    </row>
    <row r="65" spans="1:12" s="485" customFormat="1" ht="14.25" thickTop="1" thickBot="1">
      <c r="A65" s="1400" t="s">
        <v>745</v>
      </c>
      <c r="B65" s="483">
        <v>8640</v>
      </c>
      <c r="C65" s="531"/>
      <c r="D65" s="531"/>
      <c r="E65" s="477"/>
      <c r="F65" s="477"/>
      <c r="G65" s="477"/>
      <c r="H65" s="477"/>
      <c r="I65" s="477"/>
      <c r="J65" s="477"/>
      <c r="K65" s="477"/>
      <c r="L65" s="524"/>
    </row>
    <row r="66" spans="1:12" s="485" customFormat="1" ht="14.25" thickTop="1" thickBot="1">
      <c r="A66" s="1399" t="s">
        <v>746</v>
      </c>
      <c r="B66" s="483">
        <v>8710</v>
      </c>
      <c r="C66" s="531"/>
      <c r="D66" s="531"/>
      <c r="E66" s="477"/>
      <c r="F66" s="477"/>
      <c r="G66" s="477"/>
      <c r="H66" s="477"/>
      <c r="I66" s="477"/>
      <c r="J66" s="477"/>
      <c r="K66" s="477"/>
      <c r="L66" s="524"/>
    </row>
    <row r="67" spans="1:12" s="485" customFormat="1" ht="14.25" thickTop="1" thickBot="1">
      <c r="A67" s="1400" t="s">
        <v>695</v>
      </c>
      <c r="B67" s="483">
        <v>8720</v>
      </c>
      <c r="C67" s="531"/>
      <c r="D67" s="531"/>
      <c r="E67" s="477"/>
      <c r="F67" s="477"/>
      <c r="G67" s="477"/>
      <c r="H67" s="477"/>
      <c r="I67" s="477"/>
      <c r="J67" s="477"/>
      <c r="K67" s="477"/>
      <c r="L67" s="524"/>
    </row>
    <row r="68" spans="1:12" s="485" customFormat="1" ht="14.25" thickTop="1" thickBot="1">
      <c r="A68" s="1401" t="s">
        <v>747</v>
      </c>
      <c r="B68" s="483">
        <v>8730</v>
      </c>
      <c r="C68" s="531"/>
      <c r="D68" s="531"/>
      <c r="E68" s="477"/>
      <c r="F68" s="477"/>
      <c r="G68" s="477"/>
      <c r="H68" s="477"/>
      <c r="I68" s="477"/>
      <c r="J68" s="477"/>
      <c r="K68" s="477"/>
      <c r="L68" s="524"/>
    </row>
    <row r="69" spans="1:12" s="485" customFormat="1" ht="14.25" thickTop="1" thickBot="1">
      <c r="A69" s="1400" t="s">
        <v>748</v>
      </c>
      <c r="B69" s="483">
        <v>8740</v>
      </c>
      <c r="C69" s="531"/>
      <c r="D69" s="531"/>
      <c r="E69" s="477"/>
      <c r="F69" s="477"/>
      <c r="G69" s="477"/>
      <c r="H69" s="477"/>
      <c r="I69" s="477"/>
      <c r="J69" s="477"/>
      <c r="K69" s="477"/>
      <c r="L69" s="524"/>
    </row>
    <row r="70" spans="1:12" s="485" customFormat="1" ht="14.25" thickTop="1" thickBot="1">
      <c r="A70" s="1399" t="s">
        <v>749</v>
      </c>
      <c r="B70" s="483">
        <v>8810</v>
      </c>
      <c r="C70" s="531"/>
      <c r="D70" s="531"/>
      <c r="E70" s="477"/>
      <c r="F70" s="477"/>
      <c r="G70" s="477"/>
      <c r="H70" s="477"/>
      <c r="I70" s="477"/>
      <c r="J70" s="477"/>
      <c r="K70" s="477"/>
      <c r="L70" s="524"/>
    </row>
    <row r="71" spans="1:12" s="485" customFormat="1" ht="14.25" thickTop="1" thickBot="1">
      <c r="A71" s="1399" t="s">
        <v>753</v>
      </c>
      <c r="B71" s="483">
        <v>8820</v>
      </c>
      <c r="C71" s="531"/>
      <c r="D71" s="531"/>
      <c r="E71" s="477"/>
      <c r="F71" s="477"/>
      <c r="G71" s="477"/>
      <c r="H71" s="477"/>
      <c r="I71" s="477"/>
      <c r="J71" s="477"/>
      <c r="K71" s="477"/>
      <c r="L71" s="524"/>
    </row>
    <row r="72" spans="1:12" s="485" customFormat="1" ht="14.25" thickTop="1" thickBot="1">
      <c r="A72" s="1399" t="s">
        <v>750</v>
      </c>
      <c r="B72" s="483">
        <v>8830</v>
      </c>
      <c r="C72" s="531"/>
      <c r="D72" s="531"/>
      <c r="E72" s="477"/>
      <c r="F72" s="477"/>
      <c r="G72" s="477"/>
      <c r="H72" s="477"/>
      <c r="I72" s="477"/>
      <c r="J72" s="477"/>
      <c r="K72" s="477"/>
      <c r="L72" s="524"/>
    </row>
    <row r="73" spans="1:12" s="485" customFormat="1" ht="14.25" thickTop="1" thickBot="1">
      <c r="A73" s="1399" t="s">
        <v>751</v>
      </c>
      <c r="B73" s="483">
        <v>8840</v>
      </c>
      <c r="C73" s="531"/>
      <c r="D73" s="531"/>
      <c r="E73" s="477"/>
      <c r="F73" s="477"/>
      <c r="G73" s="477"/>
      <c r="H73" s="477"/>
      <c r="I73" s="477"/>
      <c r="J73" s="477"/>
      <c r="K73" s="480"/>
      <c r="L73" s="524"/>
    </row>
    <row r="74" spans="1:12" s="485" customFormat="1" ht="14.25" thickTop="1" thickBot="1">
      <c r="A74" s="1399" t="s">
        <v>374</v>
      </c>
      <c r="B74" s="483">
        <v>8910</v>
      </c>
      <c r="C74" s="531"/>
      <c r="D74" s="531"/>
      <c r="E74" s="480"/>
      <c r="F74" s="530"/>
      <c r="G74" s="530"/>
      <c r="H74" s="530"/>
      <c r="I74" s="480"/>
      <c r="J74" s="480"/>
      <c r="K74" s="530"/>
      <c r="L74" s="524"/>
    </row>
    <row r="75" spans="1:12" s="485" customFormat="1" ht="14.25" thickTop="1" thickBot="1">
      <c r="A75" s="1402" t="s">
        <v>438</v>
      </c>
      <c r="B75" s="483">
        <v>8990</v>
      </c>
      <c r="C75" s="531"/>
      <c r="D75" s="531"/>
      <c r="E75" s="530"/>
      <c r="F75" s="532"/>
      <c r="G75" s="532"/>
      <c r="H75" s="532"/>
      <c r="I75" s="530"/>
      <c r="J75" s="530"/>
      <c r="K75" s="532"/>
      <c r="L75" s="524"/>
    </row>
    <row r="76" spans="1:12" s="485" customFormat="1" ht="14.25" thickTop="1" thickBot="1">
      <c r="A76" s="2144" t="s">
        <v>439</v>
      </c>
      <c r="B76" s="2145"/>
      <c r="C76" s="1610">
        <f t="shared" ref="C76:K76" si="7">SUM(C47:C75)</f>
        <v>420380</v>
      </c>
      <c r="D76" s="1610">
        <f t="shared" si="7"/>
        <v>0</v>
      </c>
      <c r="E76" s="1610">
        <f t="shared" si="7"/>
        <v>0</v>
      </c>
      <c r="F76" s="1610">
        <f t="shared" si="7"/>
        <v>0</v>
      </c>
      <c r="G76" s="1610">
        <f t="shared" si="7"/>
        <v>0</v>
      </c>
      <c r="H76" s="1610">
        <f t="shared" si="7"/>
        <v>0</v>
      </c>
      <c r="I76" s="1610">
        <f t="shared" si="7"/>
        <v>0</v>
      </c>
      <c r="J76" s="1610">
        <f t="shared" si="7"/>
        <v>0</v>
      </c>
      <c r="K76" s="1610">
        <f t="shared" si="7"/>
        <v>0</v>
      </c>
      <c r="L76" s="524"/>
    </row>
    <row r="77" spans="1:12" ht="14.25" thickTop="1" thickBot="1">
      <c r="A77" s="2146" t="s">
        <v>1176</v>
      </c>
      <c r="B77" s="2147"/>
      <c r="C77" s="1610">
        <f t="shared" ref="C77:K77" si="8">C44-C76</f>
        <v>-415180</v>
      </c>
      <c r="D77" s="1610">
        <f t="shared" si="8"/>
        <v>0</v>
      </c>
      <c r="E77" s="1610">
        <f t="shared" si="8"/>
        <v>420380</v>
      </c>
      <c r="F77" s="1610">
        <f t="shared" si="8"/>
        <v>46675</v>
      </c>
      <c r="G77" s="1610">
        <f t="shared" si="8"/>
        <v>0</v>
      </c>
      <c r="H77" s="1610">
        <f t="shared" si="8"/>
        <v>0</v>
      </c>
      <c r="I77" s="1610">
        <f t="shared" si="8"/>
        <v>0</v>
      </c>
      <c r="J77" s="1610">
        <f t="shared" si="8"/>
        <v>0</v>
      </c>
      <c r="K77" s="1610">
        <f t="shared" si="8"/>
        <v>0</v>
      </c>
      <c r="L77" s="347"/>
    </row>
    <row r="78" spans="1:12" ht="21.75" customHeight="1" thickTop="1" thickBot="1">
      <c r="A78" s="2150" t="s">
        <v>596</v>
      </c>
      <c r="B78" s="2151"/>
      <c r="C78" s="1609">
        <f t="shared" ref="C78:K78" si="9">C20+C77</f>
        <v>11969624</v>
      </c>
      <c r="D78" s="1609">
        <f t="shared" si="9"/>
        <v>1271355</v>
      </c>
      <c r="E78" s="1609">
        <f t="shared" si="9"/>
        <v>11685</v>
      </c>
      <c r="F78" s="1609">
        <f t="shared" si="9"/>
        <v>771852</v>
      </c>
      <c r="G78" s="1609">
        <f t="shared" si="9"/>
        <v>604790</v>
      </c>
      <c r="H78" s="1609">
        <f t="shared" si="9"/>
        <v>-1826624</v>
      </c>
      <c r="I78" s="1609">
        <f t="shared" si="9"/>
        <v>1273500</v>
      </c>
      <c r="J78" s="1609">
        <f t="shared" si="9"/>
        <v>610443</v>
      </c>
      <c r="K78" s="1609">
        <f t="shared" si="9"/>
        <v>0</v>
      </c>
      <c r="L78" s="533"/>
    </row>
    <row r="79" spans="1:12" ht="13.5" thickTop="1">
      <c r="A79" s="1403" t="s">
        <v>1920</v>
      </c>
      <c r="B79" s="534"/>
      <c r="C79" s="478">
        <v>30926855</v>
      </c>
      <c r="D79" s="535">
        <v>3416970</v>
      </c>
      <c r="E79" s="535">
        <v>3184123</v>
      </c>
      <c r="F79" s="535">
        <v>9486557</v>
      </c>
      <c r="G79" s="535">
        <v>4011235</v>
      </c>
      <c r="H79" s="535">
        <v>3594566</v>
      </c>
      <c r="I79" s="535">
        <v>16004576</v>
      </c>
      <c r="J79" s="535">
        <v>-698390</v>
      </c>
      <c r="K79" s="535">
        <v>0</v>
      </c>
      <c r="L79" s="347"/>
    </row>
    <row r="80" spans="1:12">
      <c r="A80" s="2156" t="s">
        <v>1767</v>
      </c>
      <c r="B80" s="2157"/>
      <c r="C80" s="467"/>
      <c r="D80" s="467"/>
      <c r="E80" s="467"/>
      <c r="F80" s="467"/>
      <c r="G80" s="467"/>
      <c r="H80" s="467"/>
      <c r="I80" s="467"/>
      <c r="J80" s="467"/>
      <c r="K80" s="467"/>
      <c r="L80" s="347"/>
    </row>
    <row r="81" spans="1:12" ht="13.5" thickBot="1">
      <c r="A81" s="2148" t="s">
        <v>1921</v>
      </c>
      <c r="B81" s="2149"/>
      <c r="C81" s="1595">
        <f>(SUM(C78:C80))</f>
        <v>42896479</v>
      </c>
      <c r="D81" s="1595">
        <f>SUM(D78:D80)</f>
        <v>4688325</v>
      </c>
      <c r="E81" s="1595">
        <f t="shared" ref="E81:K81" si="10">SUM(E78:E80)</f>
        <v>3195808</v>
      </c>
      <c r="F81" s="1595">
        <f t="shared" si="10"/>
        <v>10258409</v>
      </c>
      <c r="G81" s="1595">
        <f t="shared" si="10"/>
        <v>4616025</v>
      </c>
      <c r="H81" s="1595">
        <f t="shared" si="10"/>
        <v>1767942</v>
      </c>
      <c r="I81" s="1595">
        <f t="shared" si="10"/>
        <v>17278076</v>
      </c>
      <c r="J81" s="1595">
        <f t="shared" si="10"/>
        <v>-87947</v>
      </c>
      <c r="K81" s="1595">
        <f t="shared" si="10"/>
        <v>0</v>
      </c>
      <c r="L81" s="347"/>
    </row>
    <row r="82" spans="1:12" ht="0.75" customHeight="1" thickTop="1" thickBot="1">
      <c r="A82" s="536" t="s">
        <v>342</v>
      </c>
      <c r="B82" s="537"/>
      <c r="C82" s="538">
        <f>(C81-C79)</f>
        <v>11969624</v>
      </c>
      <c r="D82" s="538">
        <f t="shared" ref="D82:K82" si="11">(D81-D79)</f>
        <v>1271355</v>
      </c>
      <c r="E82" s="538">
        <f t="shared" si="11"/>
        <v>11685</v>
      </c>
      <c r="F82" s="538">
        <f t="shared" si="11"/>
        <v>771852</v>
      </c>
      <c r="G82" s="538">
        <f t="shared" si="11"/>
        <v>604790</v>
      </c>
      <c r="H82" s="538">
        <f t="shared" si="11"/>
        <v>-1826624</v>
      </c>
      <c r="I82" s="538">
        <f t="shared" si="11"/>
        <v>1273500</v>
      </c>
      <c r="J82" s="538">
        <f t="shared" si="11"/>
        <v>610443</v>
      </c>
      <c r="K82" s="538">
        <f t="shared" si="11"/>
        <v>0</v>
      </c>
    </row>
    <row r="83" spans="1:12" ht="14.25" hidden="1" thickTop="1" thickBot="1">
      <c r="A83" s="539" t="s">
        <v>343</v>
      </c>
      <c r="B83" s="464"/>
      <c r="C83" s="540">
        <f>C82/C81</f>
        <v>0.2790351161455466</v>
      </c>
      <c r="D83" s="540">
        <f t="shared" ref="D83:K83" si="12">D82/D81</f>
        <v>0.27117467325750666</v>
      </c>
      <c r="E83" s="540">
        <f t="shared" si="12"/>
        <v>3.6563523215412189E-3</v>
      </c>
      <c r="F83" s="540">
        <f t="shared" si="12"/>
        <v>7.5240907240099311E-2</v>
      </c>
      <c r="G83" s="540">
        <f t="shared" si="12"/>
        <v>0.1310196543562914</v>
      </c>
      <c r="H83" s="540">
        <f t="shared" si="12"/>
        <v>-1.0331922653571215</v>
      </c>
      <c r="I83" s="540">
        <f t="shared" si="12"/>
        <v>7.3706123297524559E-2</v>
      </c>
      <c r="J83" s="540">
        <f t="shared" si="12"/>
        <v>-6.9410326674019576</v>
      </c>
      <c r="K83" s="540" t="e">
        <f t="shared" si="12"/>
        <v>#DIV/0!</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colorId="8" zoomScale="110" zoomScaleNormal="110" zoomScaleSheetLayoutView="75" workbookViewId="0">
      <pane ySplit="2" topLeftCell="A246" activePane="bottomLeft" state="frozen"/>
      <selection activeCell="A4" sqref="A4:F4"/>
      <selection pane="bottomLeft" activeCell="A4" sqref="A4:F4"/>
    </sheetView>
  </sheetViews>
  <sheetFormatPr defaultColWidth="9.140625" defaultRowHeight="12.75"/>
  <cols>
    <col min="1" max="1" width="54.140625" style="577" customWidth="1"/>
    <col min="2" max="2" width="4.7109375" style="578" customWidth="1"/>
    <col min="3" max="11" width="13.7109375" style="384" customWidth="1"/>
    <col min="12" max="16384" width="9.140625" style="384"/>
  </cols>
  <sheetData>
    <row r="1" spans="1:12">
      <c r="A1" s="2152" t="s">
        <v>1774</v>
      </c>
      <c r="B1" s="452"/>
      <c r="C1" s="453" t="s">
        <v>424</v>
      </c>
      <c r="D1" s="453" t="s">
        <v>425</v>
      </c>
      <c r="E1" s="453" t="s">
        <v>426</v>
      </c>
      <c r="F1" s="453" t="s">
        <v>427</v>
      </c>
      <c r="G1" s="453" t="s">
        <v>428</v>
      </c>
      <c r="H1" s="453" t="s">
        <v>429</v>
      </c>
      <c r="I1" s="453" t="s">
        <v>430</v>
      </c>
      <c r="J1" s="453" t="s">
        <v>431</v>
      </c>
      <c r="K1" s="453" t="s">
        <v>755</v>
      </c>
    </row>
    <row r="2" spans="1:12" ht="36">
      <c r="A2" s="2153"/>
      <c r="B2" s="541" t="s">
        <v>377</v>
      </c>
      <c r="C2" s="542" t="s">
        <v>1154</v>
      </c>
      <c r="D2" s="542" t="s">
        <v>869</v>
      </c>
      <c r="E2" s="542" t="s">
        <v>437</v>
      </c>
      <c r="F2" s="542" t="s">
        <v>155</v>
      </c>
      <c r="G2" s="542" t="s">
        <v>988</v>
      </c>
      <c r="H2" s="542" t="s">
        <v>436</v>
      </c>
      <c r="I2" s="542" t="s">
        <v>406</v>
      </c>
      <c r="J2" s="542" t="s">
        <v>435</v>
      </c>
      <c r="K2" s="542" t="s">
        <v>157</v>
      </c>
    </row>
    <row r="3" spans="1:12" ht="16.7" customHeight="1">
      <c r="A3" s="1488" t="s">
        <v>113</v>
      </c>
      <c r="B3" s="1489"/>
      <c r="C3" s="1490"/>
      <c r="D3" s="1490"/>
      <c r="E3" s="1490"/>
      <c r="F3" s="1491"/>
      <c r="G3" s="1492"/>
      <c r="H3" s="1491"/>
      <c r="I3" s="1491"/>
      <c r="J3" s="1491"/>
      <c r="K3" s="1493"/>
    </row>
    <row r="4" spans="1:12" ht="15.75" customHeight="1">
      <c r="A4" s="1499" t="s">
        <v>378</v>
      </c>
      <c r="B4" s="1500">
        <v>1100</v>
      </c>
      <c r="C4" s="543"/>
      <c r="D4" s="543"/>
      <c r="E4" s="543"/>
      <c r="F4" s="544"/>
      <c r="G4" s="545"/>
      <c r="H4" s="546"/>
      <c r="I4" s="546"/>
      <c r="J4" s="546"/>
      <c r="K4" s="546"/>
    </row>
    <row r="5" spans="1:12" ht="15">
      <c r="A5" s="493" t="s">
        <v>1654</v>
      </c>
      <c r="B5" s="547"/>
      <c r="C5" s="1842">
        <v>47639449</v>
      </c>
      <c r="D5" s="1842">
        <v>9031059</v>
      </c>
      <c r="E5" s="1843">
        <v>7494504</v>
      </c>
      <c r="F5" s="1844">
        <v>3536373</v>
      </c>
      <c r="G5" s="1843">
        <v>1641681</v>
      </c>
      <c r="H5" s="1843">
        <v>0</v>
      </c>
      <c r="I5" s="1843">
        <v>988228</v>
      </c>
      <c r="J5" s="1843">
        <v>4361898</v>
      </c>
      <c r="K5" s="1843">
        <v>0</v>
      </c>
    </row>
    <row r="6" spans="1:12" ht="15">
      <c r="A6" s="463" t="s">
        <v>1655</v>
      </c>
      <c r="B6" s="470">
        <v>1130</v>
      </c>
      <c r="C6" s="1843">
        <v>0</v>
      </c>
      <c r="D6" s="1843">
        <v>0</v>
      </c>
      <c r="E6" s="500"/>
      <c r="F6" s="500"/>
      <c r="G6" s="599"/>
      <c r="H6" s="599"/>
      <c r="I6" s="599"/>
      <c r="J6" s="599"/>
      <c r="K6" s="599"/>
    </row>
    <row r="7" spans="1:12">
      <c r="A7" s="463" t="s">
        <v>110</v>
      </c>
      <c r="B7" s="548">
        <v>1140</v>
      </c>
      <c r="C7" s="1843">
        <v>100757</v>
      </c>
      <c r="D7" s="1843">
        <v>0</v>
      </c>
      <c r="E7" s="599"/>
      <c r="F7" s="1842">
        <v>0</v>
      </c>
      <c r="G7" s="1842">
        <v>0</v>
      </c>
      <c r="H7" s="1842">
        <v>0</v>
      </c>
      <c r="I7" s="599"/>
      <c r="J7" s="599"/>
      <c r="K7" s="599"/>
    </row>
    <row r="8" spans="1:12">
      <c r="A8" s="463" t="s">
        <v>412</v>
      </c>
      <c r="B8" s="470">
        <v>1150</v>
      </c>
      <c r="C8" s="500"/>
      <c r="D8" s="500"/>
      <c r="E8" s="620"/>
      <c r="F8" s="620"/>
      <c r="G8" s="1842">
        <v>1920832</v>
      </c>
      <c r="H8" s="599"/>
      <c r="I8" s="599"/>
      <c r="J8" s="599"/>
      <c r="K8" s="599"/>
    </row>
    <row r="9" spans="1:12">
      <c r="A9" s="473" t="s">
        <v>111</v>
      </c>
      <c r="B9" s="470">
        <v>1160</v>
      </c>
      <c r="C9" s="599"/>
      <c r="D9" s="1843">
        <v>0</v>
      </c>
      <c r="E9" s="1842">
        <v>0</v>
      </c>
      <c r="F9" s="1845"/>
      <c r="G9" s="1846"/>
      <c r="H9" s="1842">
        <v>0</v>
      </c>
      <c r="I9" s="599"/>
      <c r="J9" s="599"/>
      <c r="K9" s="599"/>
    </row>
    <row r="10" spans="1:12">
      <c r="A10" s="473" t="s">
        <v>112</v>
      </c>
      <c r="B10" s="470">
        <v>1170</v>
      </c>
      <c r="C10" s="1843">
        <v>0</v>
      </c>
      <c r="D10" s="1847"/>
      <c r="E10" s="1847"/>
      <c r="F10" s="1848"/>
      <c r="G10" s="599"/>
      <c r="H10" s="599"/>
      <c r="I10" s="599"/>
      <c r="J10" s="599"/>
      <c r="K10" s="599"/>
    </row>
    <row r="11" spans="1:12">
      <c r="A11" s="473" t="s">
        <v>413</v>
      </c>
      <c r="B11" s="549">
        <v>1190</v>
      </c>
      <c r="C11" s="1843">
        <v>0</v>
      </c>
      <c r="D11" s="1843">
        <v>0</v>
      </c>
      <c r="E11" s="1842">
        <v>0</v>
      </c>
      <c r="F11" s="1842">
        <v>0</v>
      </c>
      <c r="G11" s="1842">
        <v>0</v>
      </c>
      <c r="H11" s="1842">
        <v>0</v>
      </c>
      <c r="I11" s="1842">
        <v>0</v>
      </c>
      <c r="J11" s="1842">
        <v>0</v>
      </c>
      <c r="K11" s="1842">
        <v>0</v>
      </c>
      <c r="L11" s="550"/>
    </row>
    <row r="12" spans="1:12" ht="12.75" customHeight="1" thickBot="1">
      <c r="A12" s="1612" t="s">
        <v>29</v>
      </c>
      <c r="B12" s="1613"/>
      <c r="C12" s="1614">
        <f t="shared" ref="C12:K12" si="0">SUM(C5:C11)</f>
        <v>47740206</v>
      </c>
      <c r="D12" s="1614">
        <f t="shared" si="0"/>
        <v>9031059</v>
      </c>
      <c r="E12" s="1614">
        <f t="shared" si="0"/>
        <v>7494504</v>
      </c>
      <c r="F12" s="1614">
        <f t="shared" si="0"/>
        <v>3536373</v>
      </c>
      <c r="G12" s="1614">
        <f t="shared" si="0"/>
        <v>3562513</v>
      </c>
      <c r="H12" s="1614">
        <f t="shared" si="0"/>
        <v>0</v>
      </c>
      <c r="I12" s="1614">
        <f t="shared" si="0"/>
        <v>988228</v>
      </c>
      <c r="J12" s="1614">
        <f t="shared" si="0"/>
        <v>4361898</v>
      </c>
      <c r="K12" s="1595">
        <f t="shared" si="0"/>
        <v>0</v>
      </c>
    </row>
    <row r="13" spans="1:12" ht="15.75" customHeight="1" thickTop="1">
      <c r="A13" s="1501" t="s">
        <v>450</v>
      </c>
      <c r="B13" s="1502">
        <v>1200</v>
      </c>
      <c r="C13" s="551"/>
      <c r="D13" s="551"/>
      <c r="E13" s="551"/>
      <c r="F13" s="551"/>
      <c r="G13" s="551"/>
      <c r="H13" s="551"/>
      <c r="I13" s="551"/>
      <c r="J13" s="551"/>
      <c r="K13" s="468"/>
    </row>
    <row r="14" spans="1:12">
      <c r="A14" s="463" t="s">
        <v>3</v>
      </c>
      <c r="B14" s="470">
        <v>1210</v>
      </c>
      <c r="C14" s="1843">
        <v>0</v>
      </c>
      <c r="D14" s="1843">
        <v>0</v>
      </c>
      <c r="E14" s="1842">
        <v>0</v>
      </c>
      <c r="F14" s="1842">
        <v>0</v>
      </c>
      <c r="G14" s="1842">
        <v>0</v>
      </c>
      <c r="H14" s="1842">
        <v>0</v>
      </c>
      <c r="I14" s="1842">
        <v>0</v>
      </c>
      <c r="J14" s="1842">
        <v>0</v>
      </c>
      <c r="K14" s="1842">
        <v>0</v>
      </c>
    </row>
    <row r="15" spans="1:12" ht="12.75" customHeight="1">
      <c r="A15" s="463" t="s">
        <v>95</v>
      </c>
      <c r="B15" s="470">
        <v>1220</v>
      </c>
      <c r="C15" s="1843">
        <v>0</v>
      </c>
      <c r="D15" s="1843">
        <v>0</v>
      </c>
      <c r="E15" s="1842">
        <v>0</v>
      </c>
      <c r="F15" s="1842">
        <v>0</v>
      </c>
      <c r="G15" s="1842">
        <v>0</v>
      </c>
      <c r="H15" s="1842">
        <v>0</v>
      </c>
      <c r="I15" s="1842">
        <v>0</v>
      </c>
      <c r="J15" s="1842">
        <v>0</v>
      </c>
      <c r="K15" s="1842">
        <v>0</v>
      </c>
    </row>
    <row r="16" spans="1:12" ht="15" customHeight="1">
      <c r="A16" s="463" t="s">
        <v>1656</v>
      </c>
      <c r="B16" s="548">
        <v>1230</v>
      </c>
      <c r="C16" s="1843">
        <v>5972728</v>
      </c>
      <c r="D16" s="1843">
        <v>800000</v>
      </c>
      <c r="E16" s="1842">
        <v>0</v>
      </c>
      <c r="F16" s="1842">
        <v>338057</v>
      </c>
      <c r="G16" s="1842">
        <v>200000</v>
      </c>
      <c r="H16" s="1842">
        <v>0</v>
      </c>
      <c r="I16" s="1842">
        <v>0</v>
      </c>
      <c r="J16" s="1842">
        <v>0</v>
      </c>
      <c r="K16" s="1842">
        <v>0</v>
      </c>
    </row>
    <row r="17" spans="1:11" ht="12.75" customHeight="1">
      <c r="A17" s="463" t="s">
        <v>806</v>
      </c>
      <c r="B17" s="470">
        <v>1290</v>
      </c>
      <c r="C17" s="1843">
        <v>80000</v>
      </c>
      <c r="D17" s="1843">
        <v>0</v>
      </c>
      <c r="E17" s="1842">
        <v>0</v>
      </c>
      <c r="F17" s="1842">
        <v>0</v>
      </c>
      <c r="G17" s="1842">
        <v>0</v>
      </c>
      <c r="H17" s="1842">
        <v>0</v>
      </c>
      <c r="I17" s="1842">
        <v>0</v>
      </c>
      <c r="J17" s="1842">
        <v>0</v>
      </c>
      <c r="K17" s="1842">
        <v>0</v>
      </c>
    </row>
    <row r="18" spans="1:11" ht="12.75" customHeight="1" thickBot="1">
      <c r="A18" s="1615" t="s">
        <v>536</v>
      </c>
      <c r="B18" s="1616"/>
      <c r="C18" s="1617">
        <f>SUM(C14:C17)</f>
        <v>6052728</v>
      </c>
      <c r="D18" s="1617">
        <f t="shared" ref="D18:K18" si="1">SUM(D14:D17)</f>
        <v>800000</v>
      </c>
      <c r="E18" s="1617">
        <f t="shared" si="1"/>
        <v>0</v>
      </c>
      <c r="F18" s="1617">
        <f t="shared" si="1"/>
        <v>338057</v>
      </c>
      <c r="G18" s="1617">
        <f t="shared" si="1"/>
        <v>200000</v>
      </c>
      <c r="H18" s="1617">
        <f t="shared" si="1"/>
        <v>0</v>
      </c>
      <c r="I18" s="1617">
        <f t="shared" si="1"/>
        <v>0</v>
      </c>
      <c r="J18" s="1617">
        <f t="shared" si="1"/>
        <v>0</v>
      </c>
      <c r="K18" s="1618">
        <f t="shared" si="1"/>
        <v>0</v>
      </c>
    </row>
    <row r="19" spans="1:11" ht="15.75" customHeight="1" thickTop="1">
      <c r="A19" s="1501" t="s">
        <v>451</v>
      </c>
      <c r="B19" s="1502">
        <v>1300</v>
      </c>
      <c r="C19" s="552"/>
      <c r="D19" s="552"/>
      <c r="E19" s="552"/>
      <c r="F19" s="552"/>
      <c r="G19" s="551"/>
      <c r="H19" s="552"/>
      <c r="I19" s="552"/>
      <c r="J19" s="552"/>
      <c r="K19" s="553"/>
    </row>
    <row r="20" spans="1:11">
      <c r="A20" s="463" t="s">
        <v>1072</v>
      </c>
      <c r="B20" s="470">
        <v>1311</v>
      </c>
      <c r="C20" s="1843">
        <v>20477</v>
      </c>
      <c r="D20" s="468"/>
      <c r="E20" s="468"/>
      <c r="F20" s="468"/>
      <c r="G20" s="468"/>
      <c r="H20" s="468"/>
      <c r="I20" s="468"/>
      <c r="J20" s="468"/>
      <c r="K20" s="468"/>
    </row>
    <row r="21" spans="1:11" ht="12.75" customHeight="1">
      <c r="A21" s="463" t="s">
        <v>831</v>
      </c>
      <c r="B21" s="470">
        <v>1312</v>
      </c>
      <c r="C21" s="1843">
        <v>0</v>
      </c>
      <c r="D21" s="468"/>
      <c r="E21" s="468"/>
      <c r="F21" s="468"/>
      <c r="G21" s="468"/>
      <c r="H21" s="468"/>
      <c r="I21" s="468"/>
      <c r="J21" s="468"/>
      <c r="K21" s="468"/>
    </row>
    <row r="22" spans="1:11" ht="12.75" customHeight="1">
      <c r="A22" s="463" t="s">
        <v>1073</v>
      </c>
      <c r="B22" s="470">
        <v>1313</v>
      </c>
      <c r="C22" s="1843">
        <v>0</v>
      </c>
      <c r="D22" s="468"/>
      <c r="E22" s="468"/>
      <c r="F22" s="468"/>
      <c r="G22" s="468"/>
      <c r="H22" s="468"/>
      <c r="I22" s="468"/>
      <c r="J22" s="468"/>
      <c r="K22" s="468"/>
    </row>
    <row r="23" spans="1:11" ht="12.75" customHeight="1">
      <c r="A23" s="463" t="s">
        <v>1074</v>
      </c>
      <c r="B23" s="470">
        <v>1314</v>
      </c>
      <c r="C23" s="1843">
        <v>0</v>
      </c>
      <c r="D23" s="468"/>
      <c r="E23" s="468"/>
      <c r="F23" s="468"/>
      <c r="G23" s="468"/>
      <c r="H23" s="468"/>
      <c r="I23" s="468"/>
      <c r="J23" s="468"/>
      <c r="K23" s="468"/>
    </row>
    <row r="24" spans="1:11" ht="12.75" customHeight="1">
      <c r="A24" s="463" t="s">
        <v>1026</v>
      </c>
      <c r="B24" s="470">
        <v>1321</v>
      </c>
      <c r="C24" s="1843">
        <v>86656</v>
      </c>
      <c r="D24" s="468"/>
      <c r="E24" s="468"/>
      <c r="F24" s="468"/>
      <c r="G24" s="468"/>
      <c r="H24" s="468"/>
      <c r="I24" s="468"/>
      <c r="J24" s="468"/>
      <c r="K24" s="468"/>
    </row>
    <row r="25" spans="1:11" ht="12.75" customHeight="1">
      <c r="A25" s="463" t="s">
        <v>832</v>
      </c>
      <c r="B25" s="470">
        <v>1322</v>
      </c>
      <c r="C25" s="1843">
        <v>0</v>
      </c>
      <c r="D25" s="468"/>
      <c r="E25" s="468"/>
      <c r="F25" s="468"/>
      <c r="G25" s="468"/>
      <c r="H25" s="468"/>
      <c r="I25" s="468"/>
      <c r="J25" s="468"/>
      <c r="K25" s="468"/>
    </row>
    <row r="26" spans="1:11" ht="12.75" customHeight="1">
      <c r="A26" s="463" t="s">
        <v>1100</v>
      </c>
      <c r="B26" s="470">
        <v>1323</v>
      </c>
      <c r="C26" s="1843">
        <v>0</v>
      </c>
      <c r="D26" s="468"/>
      <c r="E26" s="468"/>
      <c r="F26" s="468"/>
      <c r="G26" s="468"/>
      <c r="H26" s="468"/>
      <c r="I26" s="468"/>
      <c r="J26" s="468"/>
      <c r="K26" s="468"/>
    </row>
    <row r="27" spans="1:11" ht="12.75" customHeight="1">
      <c r="A27" s="463" t="s">
        <v>1022</v>
      </c>
      <c r="B27" s="470">
        <v>1324</v>
      </c>
      <c r="C27" s="1843">
        <v>0</v>
      </c>
      <c r="D27" s="468"/>
      <c r="E27" s="468"/>
      <c r="F27" s="468"/>
      <c r="G27" s="468"/>
      <c r="H27" s="468"/>
      <c r="I27" s="468"/>
      <c r="J27" s="468"/>
      <c r="K27" s="468"/>
    </row>
    <row r="28" spans="1:11" ht="12.75" customHeight="1">
      <c r="A28" s="463" t="s">
        <v>1023</v>
      </c>
      <c r="B28" s="470">
        <v>1331</v>
      </c>
      <c r="C28" s="1843">
        <v>0</v>
      </c>
      <c r="D28" s="468"/>
      <c r="E28" s="468"/>
      <c r="F28" s="468"/>
      <c r="G28" s="468"/>
      <c r="H28" s="468"/>
      <c r="I28" s="468"/>
      <c r="J28" s="468"/>
      <c r="K28" s="468"/>
    </row>
    <row r="29" spans="1:11" ht="12.75" customHeight="1">
      <c r="A29" s="463" t="s">
        <v>833</v>
      </c>
      <c r="B29" s="470">
        <v>1332</v>
      </c>
      <c r="C29" s="1843">
        <v>0</v>
      </c>
      <c r="D29" s="468"/>
      <c r="E29" s="468"/>
      <c r="F29" s="468"/>
      <c r="G29" s="468"/>
      <c r="H29" s="468"/>
      <c r="I29" s="468"/>
      <c r="J29" s="468"/>
      <c r="K29" s="468"/>
    </row>
    <row r="30" spans="1:11" ht="12.75" customHeight="1">
      <c r="A30" s="463" t="s">
        <v>1025</v>
      </c>
      <c r="B30" s="470">
        <v>1333</v>
      </c>
      <c r="C30" s="1843">
        <v>0</v>
      </c>
      <c r="D30" s="468"/>
      <c r="E30" s="468"/>
      <c r="F30" s="468"/>
      <c r="G30" s="468"/>
      <c r="H30" s="468"/>
      <c r="I30" s="468"/>
      <c r="J30" s="468"/>
      <c r="K30" s="468"/>
    </row>
    <row r="31" spans="1:11" ht="12.75" customHeight="1">
      <c r="A31" s="463" t="s">
        <v>1024</v>
      </c>
      <c r="B31" s="470">
        <v>1334</v>
      </c>
      <c r="C31" s="1843">
        <v>0</v>
      </c>
      <c r="D31" s="468"/>
      <c r="E31" s="468"/>
      <c r="F31" s="468"/>
      <c r="G31" s="468"/>
      <c r="H31" s="468"/>
      <c r="I31" s="468"/>
      <c r="J31" s="468"/>
      <c r="K31" s="468"/>
    </row>
    <row r="32" spans="1:11" ht="12.75" customHeight="1">
      <c r="A32" s="463" t="s">
        <v>493</v>
      </c>
      <c r="B32" s="470">
        <v>1341</v>
      </c>
      <c r="C32" s="1843">
        <v>0</v>
      </c>
      <c r="D32" s="468"/>
      <c r="E32" s="468"/>
      <c r="F32" s="468"/>
      <c r="G32" s="468"/>
      <c r="H32" s="468"/>
      <c r="I32" s="468"/>
      <c r="J32" s="468"/>
      <c r="K32" s="468"/>
    </row>
    <row r="33" spans="1:11" ht="12.75" customHeight="1">
      <c r="A33" s="463" t="s">
        <v>834</v>
      </c>
      <c r="B33" s="470">
        <v>1342</v>
      </c>
      <c r="C33" s="1843">
        <v>0</v>
      </c>
      <c r="D33" s="468"/>
      <c r="E33" s="468"/>
      <c r="F33" s="468"/>
      <c r="G33" s="468"/>
      <c r="H33" s="468"/>
      <c r="I33" s="468"/>
      <c r="J33" s="468"/>
      <c r="K33" s="468"/>
    </row>
    <row r="34" spans="1:11" ht="12.75" customHeight="1">
      <c r="A34" s="463" t="s">
        <v>494</v>
      </c>
      <c r="B34" s="470">
        <v>1343</v>
      </c>
      <c r="C34" s="1843">
        <v>0</v>
      </c>
      <c r="D34" s="468"/>
      <c r="E34" s="468"/>
      <c r="F34" s="468"/>
      <c r="G34" s="468"/>
      <c r="H34" s="468"/>
      <c r="I34" s="468"/>
      <c r="J34" s="468"/>
      <c r="K34" s="468"/>
    </row>
    <row r="35" spans="1:11" ht="12.75" customHeight="1">
      <c r="A35" s="463" t="s">
        <v>492</v>
      </c>
      <c r="B35" s="470">
        <v>1344</v>
      </c>
      <c r="C35" s="1843">
        <v>0</v>
      </c>
      <c r="D35" s="468"/>
      <c r="E35" s="468"/>
      <c r="F35" s="468"/>
      <c r="G35" s="468"/>
      <c r="H35" s="468"/>
      <c r="I35" s="468"/>
      <c r="J35" s="468"/>
      <c r="K35" s="468"/>
    </row>
    <row r="36" spans="1:11" ht="12.75" customHeight="1">
      <c r="A36" s="463" t="s">
        <v>830</v>
      </c>
      <c r="B36" s="470">
        <v>1351</v>
      </c>
      <c r="C36" s="1843">
        <v>0</v>
      </c>
      <c r="D36" s="468"/>
      <c r="E36" s="468"/>
      <c r="F36" s="468"/>
      <c r="G36" s="468"/>
      <c r="H36" s="468"/>
      <c r="I36" s="468"/>
      <c r="J36" s="468"/>
      <c r="K36" s="468"/>
    </row>
    <row r="37" spans="1:11" ht="12.75" customHeight="1">
      <c r="A37" s="463" t="s">
        <v>835</v>
      </c>
      <c r="B37" s="470">
        <v>1352</v>
      </c>
      <c r="C37" s="1843">
        <v>0</v>
      </c>
      <c r="D37" s="468"/>
      <c r="E37" s="468"/>
      <c r="F37" s="468"/>
      <c r="G37" s="468"/>
      <c r="H37" s="468"/>
      <c r="I37" s="468"/>
      <c r="J37" s="468"/>
      <c r="K37" s="468"/>
    </row>
    <row r="38" spans="1:11" ht="12.75" customHeight="1">
      <c r="A38" s="463" t="s">
        <v>592</v>
      </c>
      <c r="B38" s="470">
        <v>1353</v>
      </c>
      <c r="C38" s="1843">
        <v>0</v>
      </c>
      <c r="D38" s="468"/>
      <c r="E38" s="468"/>
      <c r="F38" s="468"/>
      <c r="G38" s="468"/>
      <c r="H38" s="468"/>
      <c r="I38" s="468"/>
      <c r="J38" s="468"/>
      <c r="K38" s="468"/>
    </row>
    <row r="39" spans="1:11" ht="12.75" customHeight="1">
      <c r="A39" s="1404" t="s">
        <v>593</v>
      </c>
      <c r="B39" s="554">
        <v>1354</v>
      </c>
      <c r="C39" s="1843">
        <v>0</v>
      </c>
      <c r="D39" s="468"/>
      <c r="E39" s="468"/>
      <c r="F39" s="468"/>
      <c r="G39" s="468"/>
      <c r="H39" s="468"/>
      <c r="I39" s="468"/>
      <c r="J39" s="468"/>
      <c r="K39" s="468"/>
    </row>
    <row r="40" spans="1:11" ht="12.75" customHeight="1" thickBot="1">
      <c r="A40" s="1615" t="s">
        <v>537</v>
      </c>
      <c r="B40" s="1616"/>
      <c r="C40" s="1595">
        <f>SUM(C20:C39)</f>
        <v>107133</v>
      </c>
      <c r="D40" s="468"/>
      <c r="E40" s="468"/>
      <c r="F40" s="468"/>
      <c r="G40" s="468"/>
      <c r="H40" s="468"/>
      <c r="I40" s="468"/>
      <c r="J40" s="468"/>
      <c r="K40" s="468"/>
    </row>
    <row r="41" spans="1:11" ht="15.75" customHeight="1" thickTop="1">
      <c r="A41" s="1501" t="s">
        <v>273</v>
      </c>
      <c r="B41" s="1502">
        <v>1400</v>
      </c>
      <c r="C41" s="468"/>
      <c r="D41" s="468"/>
      <c r="E41" s="468"/>
      <c r="F41" s="521"/>
      <c r="G41" s="468"/>
      <c r="H41" s="468"/>
      <c r="I41" s="468"/>
      <c r="J41" s="468"/>
      <c r="K41" s="468"/>
    </row>
    <row r="42" spans="1:11" ht="12.75" customHeight="1">
      <c r="A42" s="463" t="s">
        <v>1075</v>
      </c>
      <c r="B42" s="470">
        <v>1411</v>
      </c>
      <c r="C42" s="468"/>
      <c r="D42" s="468"/>
      <c r="E42" s="468"/>
      <c r="F42" s="1842">
        <v>0</v>
      </c>
      <c r="G42" s="468"/>
      <c r="H42" s="468"/>
      <c r="I42" s="468"/>
      <c r="J42" s="468"/>
      <c r="K42" s="468"/>
    </row>
    <row r="43" spans="1:11" ht="12.75" customHeight="1">
      <c r="A43" s="463" t="s">
        <v>836</v>
      </c>
      <c r="B43" s="470">
        <v>1412</v>
      </c>
      <c r="C43" s="468"/>
      <c r="D43" s="468"/>
      <c r="E43" s="468"/>
      <c r="F43" s="1842">
        <v>162590</v>
      </c>
      <c r="G43" s="468"/>
      <c r="H43" s="468"/>
      <c r="I43" s="468"/>
      <c r="J43" s="468"/>
      <c r="K43" s="468"/>
    </row>
    <row r="44" spans="1:11" ht="12.75" customHeight="1">
      <c r="A44" s="463" t="s">
        <v>383</v>
      </c>
      <c r="B44" s="470">
        <v>1413</v>
      </c>
      <c r="C44" s="468"/>
      <c r="D44" s="468"/>
      <c r="E44" s="468"/>
      <c r="F44" s="1842">
        <v>0</v>
      </c>
      <c r="G44" s="468"/>
      <c r="H44" s="468"/>
      <c r="I44" s="468"/>
      <c r="J44" s="468"/>
      <c r="K44" s="468"/>
    </row>
    <row r="45" spans="1:11" ht="12.75" customHeight="1">
      <c r="A45" s="463" t="s">
        <v>240</v>
      </c>
      <c r="B45" s="470">
        <v>1415</v>
      </c>
      <c r="C45" s="468"/>
      <c r="D45" s="468"/>
      <c r="E45" s="468"/>
      <c r="F45" s="1842">
        <v>0</v>
      </c>
      <c r="G45" s="468"/>
      <c r="H45" s="468"/>
      <c r="I45" s="468"/>
      <c r="J45" s="468"/>
      <c r="K45" s="468"/>
    </row>
    <row r="46" spans="1:11" ht="12.75" customHeight="1">
      <c r="A46" s="463" t="s">
        <v>1173</v>
      </c>
      <c r="B46" s="470">
        <v>1416</v>
      </c>
      <c r="C46" s="468"/>
      <c r="D46" s="468"/>
      <c r="E46" s="468"/>
      <c r="F46" s="1842">
        <v>0</v>
      </c>
      <c r="G46" s="468"/>
      <c r="H46" s="468"/>
      <c r="I46" s="468"/>
      <c r="J46" s="468"/>
      <c r="K46" s="468"/>
    </row>
    <row r="47" spans="1:11" ht="12.75" customHeight="1">
      <c r="A47" s="463" t="s">
        <v>57</v>
      </c>
      <c r="B47" s="470">
        <v>1421</v>
      </c>
      <c r="C47" s="468"/>
      <c r="D47" s="468"/>
      <c r="E47" s="468"/>
      <c r="F47" s="1842">
        <v>0</v>
      </c>
      <c r="G47" s="468"/>
      <c r="H47" s="468"/>
      <c r="I47" s="468"/>
      <c r="J47" s="468"/>
      <c r="K47" s="468"/>
    </row>
    <row r="48" spans="1:11" ht="12.75" customHeight="1">
      <c r="A48" s="463" t="s">
        <v>837</v>
      </c>
      <c r="B48" s="470">
        <v>1422</v>
      </c>
      <c r="C48" s="468"/>
      <c r="D48" s="468"/>
      <c r="E48" s="468"/>
      <c r="F48" s="1842">
        <v>0</v>
      </c>
      <c r="G48" s="468"/>
      <c r="H48" s="468"/>
      <c r="I48" s="468"/>
      <c r="J48" s="468"/>
      <c r="K48" s="468"/>
    </row>
    <row r="49" spans="1:11" ht="12.75" customHeight="1">
      <c r="A49" s="463" t="s">
        <v>58</v>
      </c>
      <c r="B49" s="470">
        <v>1423</v>
      </c>
      <c r="C49" s="468"/>
      <c r="D49" s="468"/>
      <c r="E49" s="468"/>
      <c r="F49" s="1842">
        <v>0</v>
      </c>
      <c r="G49" s="468"/>
      <c r="H49" s="468"/>
      <c r="I49" s="468"/>
      <c r="J49" s="468"/>
      <c r="K49" s="468"/>
    </row>
    <row r="50" spans="1:11" ht="12.75" customHeight="1">
      <c r="A50" s="463" t="s">
        <v>59</v>
      </c>
      <c r="B50" s="470">
        <v>1424</v>
      </c>
      <c r="C50" s="468"/>
      <c r="D50" s="468"/>
      <c r="E50" s="468"/>
      <c r="F50" s="1842">
        <v>0</v>
      </c>
      <c r="G50" s="468"/>
      <c r="H50" s="468"/>
      <c r="I50" s="468"/>
      <c r="J50" s="468"/>
      <c r="K50" s="468"/>
    </row>
    <row r="51" spans="1:11" ht="12.75" customHeight="1">
      <c r="A51" s="1405" t="s">
        <v>60</v>
      </c>
      <c r="B51" s="555">
        <v>1431</v>
      </c>
      <c r="C51" s="468"/>
      <c r="D51" s="468"/>
      <c r="E51" s="468"/>
      <c r="F51" s="1842">
        <v>0</v>
      </c>
      <c r="G51" s="468"/>
      <c r="H51" s="468"/>
      <c r="I51" s="468"/>
      <c r="J51" s="468"/>
      <c r="K51" s="468"/>
    </row>
    <row r="52" spans="1:11" ht="12.75" customHeight="1">
      <c r="A52" s="1405" t="s">
        <v>1105</v>
      </c>
      <c r="B52" s="555">
        <v>1432</v>
      </c>
      <c r="C52" s="468"/>
      <c r="D52" s="468"/>
      <c r="E52" s="468"/>
      <c r="F52" s="1842">
        <v>0</v>
      </c>
      <c r="G52" s="468"/>
      <c r="H52" s="468"/>
      <c r="I52" s="468"/>
      <c r="J52" s="468"/>
      <c r="K52" s="468"/>
    </row>
    <row r="53" spans="1:11" ht="12.75" customHeight="1">
      <c r="A53" s="1405" t="s">
        <v>61</v>
      </c>
      <c r="B53" s="555">
        <v>1433</v>
      </c>
      <c r="C53" s="468"/>
      <c r="D53" s="468"/>
      <c r="E53" s="468"/>
      <c r="F53" s="1842">
        <v>0</v>
      </c>
      <c r="G53" s="468"/>
      <c r="H53" s="468"/>
      <c r="I53" s="468"/>
      <c r="J53" s="468"/>
      <c r="K53" s="468"/>
    </row>
    <row r="54" spans="1:11" ht="12.75" customHeight="1">
      <c r="A54" s="1405" t="s">
        <v>62</v>
      </c>
      <c r="B54" s="555">
        <v>1434</v>
      </c>
      <c r="C54" s="468"/>
      <c r="D54" s="468"/>
      <c r="E54" s="468"/>
      <c r="F54" s="1842">
        <v>0</v>
      </c>
      <c r="G54" s="468"/>
      <c r="H54" s="468"/>
      <c r="I54" s="468"/>
      <c r="J54" s="468"/>
      <c r="K54" s="468"/>
    </row>
    <row r="55" spans="1:11" ht="12.75" customHeight="1">
      <c r="A55" s="1405" t="s">
        <v>63</v>
      </c>
      <c r="B55" s="555">
        <v>1441</v>
      </c>
      <c r="C55" s="468"/>
      <c r="D55" s="468"/>
      <c r="E55" s="468"/>
      <c r="F55" s="1842">
        <v>0</v>
      </c>
      <c r="G55" s="468"/>
      <c r="H55" s="468"/>
      <c r="I55" s="468"/>
      <c r="J55" s="468"/>
      <c r="K55" s="468"/>
    </row>
    <row r="56" spans="1:11" ht="12.75" customHeight="1">
      <c r="A56" s="1405" t="s">
        <v>1106</v>
      </c>
      <c r="B56" s="555">
        <v>1442</v>
      </c>
      <c r="C56" s="468"/>
      <c r="D56" s="468"/>
      <c r="E56" s="468"/>
      <c r="F56" s="1842">
        <v>0</v>
      </c>
      <c r="G56" s="468"/>
      <c r="H56" s="468"/>
      <c r="I56" s="468"/>
      <c r="J56" s="468"/>
      <c r="K56" s="468"/>
    </row>
    <row r="57" spans="1:11" ht="12.75" customHeight="1">
      <c r="A57" s="1405" t="s">
        <v>488</v>
      </c>
      <c r="B57" s="555">
        <v>1443</v>
      </c>
      <c r="C57" s="468"/>
      <c r="D57" s="468"/>
      <c r="E57" s="468"/>
      <c r="F57" s="1842">
        <v>0</v>
      </c>
      <c r="G57" s="468"/>
      <c r="H57" s="468"/>
      <c r="I57" s="468"/>
      <c r="J57" s="468"/>
      <c r="K57" s="468"/>
    </row>
    <row r="58" spans="1:11" ht="12.75" customHeight="1">
      <c r="A58" s="1405" t="s">
        <v>65</v>
      </c>
      <c r="B58" s="555">
        <v>1444</v>
      </c>
      <c r="C58" s="468"/>
      <c r="D58" s="468"/>
      <c r="E58" s="468"/>
      <c r="F58" s="1842">
        <v>0</v>
      </c>
      <c r="G58" s="468"/>
      <c r="H58" s="468"/>
      <c r="I58" s="468"/>
      <c r="J58" s="468"/>
      <c r="K58" s="468"/>
    </row>
    <row r="59" spans="1:11" ht="12.75" customHeight="1">
      <c r="A59" s="1405" t="s">
        <v>877</v>
      </c>
      <c r="B59" s="555">
        <v>1451</v>
      </c>
      <c r="C59" s="468"/>
      <c r="D59" s="468"/>
      <c r="E59" s="468"/>
      <c r="F59" s="1842">
        <v>0</v>
      </c>
      <c r="G59" s="468"/>
      <c r="H59" s="468"/>
      <c r="I59" s="468"/>
      <c r="J59" s="468"/>
      <c r="K59" s="468"/>
    </row>
    <row r="60" spans="1:11" ht="12.75" customHeight="1">
      <c r="A60" s="1405" t="s">
        <v>1107</v>
      </c>
      <c r="B60" s="555">
        <v>1452</v>
      </c>
      <c r="C60" s="468"/>
      <c r="D60" s="468"/>
      <c r="E60" s="468"/>
      <c r="F60" s="1842">
        <v>0</v>
      </c>
      <c r="G60" s="468"/>
      <c r="H60" s="468"/>
      <c r="I60" s="468"/>
      <c r="J60" s="468"/>
      <c r="K60" s="468"/>
    </row>
    <row r="61" spans="1:11" ht="12.75" customHeight="1">
      <c r="A61" s="560" t="s">
        <v>878</v>
      </c>
      <c r="B61" s="555">
        <v>1453</v>
      </c>
      <c r="C61" s="468"/>
      <c r="D61" s="468"/>
      <c r="E61" s="468"/>
      <c r="F61" s="1842">
        <v>0</v>
      </c>
      <c r="G61" s="468"/>
      <c r="H61" s="468"/>
      <c r="I61" s="468"/>
      <c r="J61" s="468"/>
      <c r="K61" s="468"/>
    </row>
    <row r="62" spans="1:11" ht="12.75" customHeight="1">
      <c r="A62" s="1406" t="s">
        <v>879</v>
      </c>
      <c r="B62" s="556">
        <v>1454</v>
      </c>
      <c r="C62" s="468"/>
      <c r="D62" s="468"/>
      <c r="E62" s="468"/>
      <c r="F62" s="1842">
        <v>0</v>
      </c>
      <c r="G62" s="468"/>
      <c r="H62" s="468"/>
      <c r="I62" s="468"/>
      <c r="J62" s="468"/>
      <c r="K62" s="468"/>
    </row>
    <row r="63" spans="1:11" ht="12.75" customHeight="1" thickBot="1">
      <c r="A63" s="1615" t="s">
        <v>484</v>
      </c>
      <c r="B63" s="1616"/>
      <c r="C63" s="468"/>
      <c r="D63" s="468"/>
      <c r="E63" s="468"/>
      <c r="F63" s="1595">
        <f>SUM(F42:F62)</f>
        <v>162590</v>
      </c>
      <c r="G63" s="468"/>
      <c r="H63" s="468"/>
      <c r="I63" s="468"/>
      <c r="J63" s="468"/>
      <c r="K63" s="468"/>
    </row>
    <row r="64" spans="1:11" ht="15.75" customHeight="1" thickTop="1">
      <c r="A64" s="1501" t="s">
        <v>453</v>
      </c>
      <c r="B64" s="1502">
        <v>1500</v>
      </c>
      <c r="C64" s="468"/>
      <c r="D64" s="468"/>
      <c r="E64" s="468"/>
      <c r="F64" s="468"/>
      <c r="G64" s="468"/>
      <c r="H64" s="468"/>
      <c r="I64" s="468"/>
      <c r="J64" s="468"/>
      <c r="K64" s="468"/>
    </row>
    <row r="65" spans="1:11" ht="12.75" customHeight="1">
      <c r="A65" s="463" t="s">
        <v>546</v>
      </c>
      <c r="B65" s="470">
        <v>1510</v>
      </c>
      <c r="C65" s="1843">
        <v>859145</v>
      </c>
      <c r="D65" s="1843">
        <v>54917</v>
      </c>
      <c r="E65" s="1842">
        <v>28785</v>
      </c>
      <c r="F65" s="1842">
        <v>143334</v>
      </c>
      <c r="G65" s="1842">
        <v>39541</v>
      </c>
      <c r="H65" s="1842">
        <v>85588</v>
      </c>
      <c r="I65" s="1842">
        <v>285272</v>
      </c>
      <c r="J65" s="1842">
        <v>0</v>
      </c>
      <c r="K65" s="1842">
        <v>0</v>
      </c>
    </row>
    <row r="66" spans="1:11" ht="12.75" customHeight="1">
      <c r="A66" s="463" t="s">
        <v>678</v>
      </c>
      <c r="B66" s="470">
        <v>1520</v>
      </c>
      <c r="C66" s="1843">
        <v>0</v>
      </c>
      <c r="D66" s="1843">
        <v>0</v>
      </c>
      <c r="E66" s="1842">
        <v>0</v>
      </c>
      <c r="F66" s="1842">
        <v>0</v>
      </c>
      <c r="G66" s="1842">
        <v>0</v>
      </c>
      <c r="H66" s="1842">
        <v>0</v>
      </c>
      <c r="I66" s="1842">
        <v>0</v>
      </c>
      <c r="J66" s="1842">
        <v>0</v>
      </c>
      <c r="K66" s="1842">
        <v>0</v>
      </c>
    </row>
    <row r="67" spans="1:11" ht="12.75" customHeight="1" thickBot="1">
      <c r="A67" s="1615" t="s">
        <v>485</v>
      </c>
      <c r="B67" s="1616"/>
      <c r="C67" s="1595">
        <f>SUM(C65:C66)</f>
        <v>859145</v>
      </c>
      <c r="D67" s="1595">
        <f t="shared" ref="D67:K67" si="2">SUM(D65:D66)</f>
        <v>54917</v>
      </c>
      <c r="E67" s="1595">
        <f t="shared" si="2"/>
        <v>28785</v>
      </c>
      <c r="F67" s="1595">
        <f t="shared" si="2"/>
        <v>143334</v>
      </c>
      <c r="G67" s="1595">
        <f t="shared" si="2"/>
        <v>39541</v>
      </c>
      <c r="H67" s="1595">
        <f t="shared" si="2"/>
        <v>85588</v>
      </c>
      <c r="I67" s="1595">
        <f t="shared" si="2"/>
        <v>285272</v>
      </c>
      <c r="J67" s="1595">
        <f t="shared" si="2"/>
        <v>0</v>
      </c>
      <c r="K67" s="1595">
        <f t="shared" si="2"/>
        <v>0</v>
      </c>
    </row>
    <row r="68" spans="1:11" ht="15.75" customHeight="1" thickTop="1">
      <c r="A68" s="1501" t="s">
        <v>454</v>
      </c>
      <c r="B68" s="1503">
        <v>1600</v>
      </c>
      <c r="C68" s="551"/>
      <c r="D68" s="468"/>
      <c r="E68" s="468"/>
      <c r="F68" s="468"/>
      <c r="G68" s="468"/>
      <c r="H68" s="468"/>
      <c r="I68" s="468"/>
      <c r="J68" s="468"/>
      <c r="K68" s="468"/>
    </row>
    <row r="69" spans="1:11" ht="12.75" customHeight="1">
      <c r="A69" s="463" t="s">
        <v>665</v>
      </c>
      <c r="B69" s="470">
        <v>1611</v>
      </c>
      <c r="C69" s="1843">
        <v>352336</v>
      </c>
      <c r="D69" s="468"/>
      <c r="E69" s="468"/>
      <c r="F69" s="468"/>
      <c r="G69" s="468"/>
      <c r="H69" s="468"/>
      <c r="I69" s="468"/>
      <c r="J69" s="468"/>
      <c r="K69" s="468"/>
    </row>
    <row r="70" spans="1:11" ht="12.75" customHeight="1">
      <c r="A70" s="463" t="s">
        <v>996</v>
      </c>
      <c r="B70" s="470">
        <v>1612</v>
      </c>
      <c r="C70" s="1843">
        <v>28008</v>
      </c>
      <c r="D70" s="468"/>
      <c r="E70" s="468"/>
      <c r="F70" s="468"/>
      <c r="G70" s="468"/>
      <c r="H70" s="468"/>
      <c r="I70" s="468"/>
      <c r="J70" s="468"/>
      <c r="K70" s="468"/>
    </row>
    <row r="71" spans="1:11" ht="12.75" customHeight="1">
      <c r="A71" s="463" t="s">
        <v>272</v>
      </c>
      <c r="B71" s="470">
        <v>1613</v>
      </c>
      <c r="C71" s="1843">
        <v>151336</v>
      </c>
      <c r="D71" s="468"/>
      <c r="E71" s="468"/>
      <c r="F71" s="468"/>
      <c r="G71" s="468"/>
      <c r="H71" s="468"/>
      <c r="I71" s="468"/>
      <c r="J71" s="468"/>
      <c r="K71" s="468"/>
    </row>
    <row r="72" spans="1:11" ht="12.75" customHeight="1">
      <c r="A72" s="463" t="s">
        <v>24</v>
      </c>
      <c r="B72" s="470">
        <v>1614</v>
      </c>
      <c r="C72" s="1843">
        <v>0</v>
      </c>
      <c r="D72" s="468"/>
      <c r="E72" s="468"/>
      <c r="F72" s="468"/>
      <c r="G72" s="468"/>
      <c r="H72" s="468"/>
      <c r="I72" s="468"/>
      <c r="J72" s="468"/>
      <c r="K72" s="468"/>
    </row>
    <row r="73" spans="1:11" ht="12.75" customHeight="1">
      <c r="A73" s="463" t="s">
        <v>997</v>
      </c>
      <c r="B73" s="470">
        <v>1620</v>
      </c>
      <c r="C73" s="1843">
        <v>70872</v>
      </c>
      <c r="D73" s="468"/>
      <c r="E73" s="468"/>
      <c r="F73" s="468"/>
      <c r="G73" s="468"/>
      <c r="H73" s="468"/>
      <c r="I73" s="468"/>
      <c r="J73" s="468"/>
      <c r="K73" s="468"/>
    </row>
    <row r="74" spans="1:11" ht="12.75" customHeight="1">
      <c r="A74" s="463" t="s">
        <v>25</v>
      </c>
      <c r="B74" s="470">
        <v>1690</v>
      </c>
      <c r="C74" s="1843">
        <v>0</v>
      </c>
      <c r="D74" s="468"/>
      <c r="E74" s="468"/>
      <c r="F74" s="468"/>
      <c r="G74" s="468"/>
      <c r="H74" s="468"/>
      <c r="I74" s="468"/>
      <c r="J74" s="468"/>
      <c r="K74" s="468"/>
    </row>
    <row r="75" spans="1:11" ht="12.75" customHeight="1" thickBot="1">
      <c r="A75" s="1615" t="s">
        <v>547</v>
      </c>
      <c r="B75" s="1616"/>
      <c r="C75" s="1595">
        <f>SUM(C69:C74)</f>
        <v>602552</v>
      </c>
      <c r="D75" s="468"/>
      <c r="E75" s="468"/>
      <c r="F75" s="468"/>
      <c r="G75" s="468"/>
      <c r="H75" s="468"/>
      <c r="I75" s="468"/>
      <c r="J75" s="468"/>
      <c r="K75" s="468"/>
    </row>
    <row r="76" spans="1:11" ht="15.75" customHeight="1" thickTop="1">
      <c r="A76" s="1501" t="s">
        <v>880</v>
      </c>
      <c r="B76" s="1503">
        <v>1700</v>
      </c>
      <c r="C76" s="551"/>
      <c r="D76" s="468"/>
      <c r="E76" s="468"/>
      <c r="F76" s="468"/>
      <c r="G76" s="468"/>
      <c r="H76" s="468"/>
      <c r="I76" s="468"/>
      <c r="J76" s="468"/>
      <c r="K76" s="468"/>
    </row>
    <row r="77" spans="1:11" ht="12.75" customHeight="1">
      <c r="A77" s="463" t="s">
        <v>548</v>
      </c>
      <c r="B77" s="470">
        <v>1711</v>
      </c>
      <c r="C77" s="1843">
        <v>35193</v>
      </c>
      <c r="D77" s="1843">
        <v>0</v>
      </c>
      <c r="E77" s="468"/>
      <c r="F77" s="468"/>
      <c r="G77" s="468"/>
      <c r="H77" s="468"/>
      <c r="I77" s="468"/>
      <c r="J77" s="468"/>
      <c r="K77" s="468"/>
    </row>
    <row r="78" spans="1:11" ht="12.75" customHeight="1">
      <c r="A78" s="463" t="s">
        <v>76</v>
      </c>
      <c r="B78" s="470">
        <v>1719</v>
      </c>
      <c r="C78" s="1843">
        <v>0</v>
      </c>
      <c r="D78" s="1843">
        <v>0</v>
      </c>
      <c r="E78" s="468"/>
      <c r="F78" s="468"/>
      <c r="G78" s="468"/>
      <c r="H78" s="468"/>
      <c r="I78" s="468"/>
      <c r="J78" s="468"/>
      <c r="K78" s="468"/>
    </row>
    <row r="79" spans="1:11" ht="12.75" customHeight="1">
      <c r="A79" s="463" t="s">
        <v>549</v>
      </c>
      <c r="B79" s="470">
        <v>1720</v>
      </c>
      <c r="C79" s="1843">
        <v>292603</v>
      </c>
      <c r="D79" s="1843">
        <v>0</v>
      </c>
      <c r="E79" s="468"/>
      <c r="F79" s="468"/>
      <c r="G79" s="468"/>
      <c r="H79" s="468"/>
      <c r="I79" s="468"/>
      <c r="J79" s="468"/>
      <c r="K79" s="468"/>
    </row>
    <row r="80" spans="1:11" ht="12.75" customHeight="1">
      <c r="A80" s="463" t="s">
        <v>550</v>
      </c>
      <c r="B80" s="470">
        <v>1730</v>
      </c>
      <c r="C80" s="1843">
        <v>0</v>
      </c>
      <c r="D80" s="1843">
        <v>0</v>
      </c>
      <c r="E80" s="468"/>
      <c r="F80" s="468"/>
      <c r="G80" s="468"/>
      <c r="H80" s="468"/>
      <c r="I80" s="468"/>
      <c r="J80" s="468"/>
      <c r="K80" s="468"/>
    </row>
    <row r="81" spans="1:11" ht="12.75" customHeight="1">
      <c r="A81" s="463" t="s">
        <v>26</v>
      </c>
      <c r="B81" s="470">
        <v>1790</v>
      </c>
      <c r="C81" s="1843">
        <v>0</v>
      </c>
      <c r="D81" s="1843">
        <v>0</v>
      </c>
      <c r="E81" s="468"/>
      <c r="F81" s="468"/>
      <c r="G81" s="468"/>
      <c r="H81" s="468"/>
      <c r="I81" s="468"/>
      <c r="J81" s="468"/>
      <c r="K81" s="468"/>
    </row>
    <row r="82" spans="1:11" ht="12.75" customHeight="1" thickBot="1">
      <c r="A82" s="1615" t="s">
        <v>241</v>
      </c>
      <c r="B82" s="1616"/>
      <c r="C82" s="1614">
        <f>SUM(C77:C81)</f>
        <v>327796</v>
      </c>
      <c r="D82" s="1595">
        <f>SUM(D77:D81)</f>
        <v>0</v>
      </c>
      <c r="E82" s="468"/>
      <c r="F82" s="468"/>
      <c r="G82" s="468"/>
      <c r="H82" s="468"/>
      <c r="I82" s="468"/>
      <c r="J82" s="468"/>
      <c r="K82" s="468"/>
    </row>
    <row r="83" spans="1:11" ht="15.75" customHeight="1" thickTop="1">
      <c r="A83" s="1501" t="s">
        <v>242</v>
      </c>
      <c r="B83" s="1503">
        <v>1800</v>
      </c>
      <c r="C83" s="551"/>
      <c r="D83" s="468"/>
      <c r="E83" s="468"/>
      <c r="F83" s="468"/>
      <c r="G83" s="468"/>
      <c r="H83" s="468"/>
      <c r="I83" s="468"/>
      <c r="J83" s="468"/>
      <c r="K83" s="468"/>
    </row>
    <row r="84" spans="1:11" ht="12.75" customHeight="1">
      <c r="A84" s="463" t="s">
        <v>551</v>
      </c>
      <c r="B84" s="470">
        <v>1811</v>
      </c>
      <c r="C84" s="1843">
        <v>423369</v>
      </c>
      <c r="D84" s="468"/>
      <c r="E84" s="468"/>
      <c r="F84" s="468"/>
      <c r="G84" s="468"/>
      <c r="H84" s="468"/>
      <c r="I84" s="468"/>
      <c r="J84" s="468"/>
      <c r="K84" s="468"/>
    </row>
    <row r="85" spans="1:11" ht="12.75" customHeight="1">
      <c r="A85" s="463" t="s">
        <v>552</v>
      </c>
      <c r="B85" s="470">
        <v>1812</v>
      </c>
      <c r="C85" s="1843">
        <v>0</v>
      </c>
      <c r="D85" s="468"/>
      <c r="E85" s="468"/>
      <c r="F85" s="468"/>
      <c r="G85" s="468"/>
      <c r="H85" s="468"/>
      <c r="I85" s="468"/>
      <c r="J85" s="468"/>
      <c r="K85" s="468"/>
    </row>
    <row r="86" spans="1:11" ht="12.75" customHeight="1">
      <c r="A86" s="463" t="s">
        <v>998</v>
      </c>
      <c r="B86" s="470">
        <v>1813</v>
      </c>
      <c r="C86" s="1843">
        <v>0</v>
      </c>
      <c r="D86" s="468"/>
      <c r="E86" s="468"/>
      <c r="F86" s="468"/>
      <c r="G86" s="468"/>
      <c r="H86" s="468"/>
      <c r="I86" s="468"/>
      <c r="J86" s="468"/>
      <c r="K86" s="468"/>
    </row>
    <row r="87" spans="1:11" ht="12.75" customHeight="1">
      <c r="A87" s="463" t="s">
        <v>77</v>
      </c>
      <c r="B87" s="470">
        <v>1819</v>
      </c>
      <c r="C87" s="1843">
        <v>0</v>
      </c>
      <c r="D87" s="468"/>
      <c r="E87" s="468"/>
      <c r="F87" s="468"/>
      <c r="G87" s="468"/>
      <c r="H87" s="468"/>
      <c r="I87" s="468"/>
      <c r="J87" s="468"/>
      <c r="K87" s="468"/>
    </row>
    <row r="88" spans="1:11" ht="12.75" customHeight="1">
      <c r="A88" s="463" t="s">
        <v>553</v>
      </c>
      <c r="B88" s="470">
        <v>1821</v>
      </c>
      <c r="C88" s="1843">
        <v>7259</v>
      </c>
      <c r="D88" s="468"/>
      <c r="E88" s="468"/>
      <c r="F88" s="468"/>
      <c r="G88" s="468"/>
      <c r="H88" s="468"/>
      <c r="I88" s="468"/>
      <c r="J88" s="468"/>
      <c r="K88" s="468"/>
    </row>
    <row r="89" spans="1:11" ht="12.75" customHeight="1">
      <c r="A89" s="463" t="s">
        <v>713</v>
      </c>
      <c r="B89" s="470">
        <v>1822</v>
      </c>
      <c r="C89" s="1843">
        <v>0</v>
      </c>
      <c r="D89" s="468"/>
      <c r="E89" s="468"/>
      <c r="F89" s="468"/>
      <c r="G89" s="468"/>
      <c r="H89" s="468"/>
      <c r="I89" s="468"/>
      <c r="J89" s="468"/>
      <c r="K89" s="468"/>
    </row>
    <row r="90" spans="1:11" ht="12.75" customHeight="1">
      <c r="A90" s="463" t="s">
        <v>139</v>
      </c>
      <c r="B90" s="470">
        <v>1823</v>
      </c>
      <c r="C90" s="1843">
        <v>0</v>
      </c>
      <c r="D90" s="468"/>
      <c r="E90" s="468"/>
      <c r="F90" s="468"/>
      <c r="G90" s="468"/>
      <c r="H90" s="468"/>
      <c r="I90" s="468"/>
      <c r="J90" s="468"/>
      <c r="K90" s="468"/>
    </row>
    <row r="91" spans="1:11" ht="12.75" customHeight="1">
      <c r="A91" s="463" t="s">
        <v>27</v>
      </c>
      <c r="B91" s="470">
        <v>1829</v>
      </c>
      <c r="C91" s="1843">
        <v>0</v>
      </c>
      <c r="D91" s="468"/>
      <c r="E91" s="468"/>
      <c r="F91" s="468"/>
      <c r="G91" s="468"/>
      <c r="H91" s="468"/>
      <c r="I91" s="468"/>
      <c r="J91" s="468"/>
      <c r="K91" s="468"/>
    </row>
    <row r="92" spans="1:11" ht="12.75" customHeight="1">
      <c r="A92" s="463" t="s">
        <v>761</v>
      </c>
      <c r="B92" s="470">
        <v>1890</v>
      </c>
      <c r="C92" s="1843">
        <v>0</v>
      </c>
      <c r="D92" s="468"/>
      <c r="E92" s="468"/>
      <c r="F92" s="468"/>
      <c r="G92" s="468"/>
      <c r="H92" s="468"/>
      <c r="I92" s="468"/>
      <c r="J92" s="468"/>
      <c r="K92" s="468"/>
    </row>
    <row r="93" spans="1:11" ht="12.75" customHeight="1" thickBot="1">
      <c r="A93" s="1615" t="s">
        <v>243</v>
      </c>
      <c r="B93" s="1616"/>
      <c r="C93" s="1595">
        <f>SUM(C84:C92)</f>
        <v>430628</v>
      </c>
      <c r="D93" s="468"/>
      <c r="E93" s="468"/>
      <c r="F93" s="468"/>
      <c r="G93" s="468"/>
      <c r="H93" s="468"/>
      <c r="I93" s="468"/>
      <c r="J93" s="468"/>
      <c r="K93" s="468"/>
    </row>
    <row r="94" spans="1:11" ht="15.75" customHeight="1" thickTop="1">
      <c r="A94" s="1501" t="s">
        <v>1136</v>
      </c>
      <c r="B94" s="1503">
        <v>1900</v>
      </c>
      <c r="C94" s="551"/>
      <c r="D94" s="521"/>
      <c r="E94" s="468"/>
      <c r="F94" s="468"/>
      <c r="G94" s="468"/>
      <c r="H94" s="468"/>
      <c r="I94" s="468"/>
      <c r="J94" s="468"/>
      <c r="K94" s="468"/>
    </row>
    <row r="95" spans="1:11" ht="12.75" customHeight="1">
      <c r="A95" s="463" t="s">
        <v>1063</v>
      </c>
      <c r="B95" s="470">
        <v>1910</v>
      </c>
      <c r="C95" s="1843">
        <v>0</v>
      </c>
      <c r="D95" s="1843">
        <v>85817</v>
      </c>
      <c r="E95" s="666"/>
      <c r="F95" s="666"/>
      <c r="G95" s="666"/>
      <c r="H95" s="666"/>
      <c r="I95" s="666"/>
      <c r="J95" s="666"/>
      <c r="K95" s="666"/>
    </row>
    <row r="96" spans="1:11" ht="12.75" customHeight="1">
      <c r="A96" s="463" t="s">
        <v>390</v>
      </c>
      <c r="B96" s="470">
        <v>1920</v>
      </c>
      <c r="C96" s="1843">
        <v>0</v>
      </c>
      <c r="D96" s="1843">
        <v>0</v>
      </c>
      <c r="E96" s="1842">
        <v>0</v>
      </c>
      <c r="F96" s="1842">
        <v>0</v>
      </c>
      <c r="G96" s="1842">
        <v>0</v>
      </c>
      <c r="H96" s="1842">
        <v>0</v>
      </c>
      <c r="I96" s="1842">
        <v>0</v>
      </c>
      <c r="J96" s="1842">
        <v>0</v>
      </c>
      <c r="K96" s="1842">
        <v>0</v>
      </c>
    </row>
    <row r="97" spans="1:12" ht="12.75" customHeight="1">
      <c r="A97" s="1404" t="s">
        <v>244</v>
      </c>
      <c r="B97" s="557">
        <v>1930</v>
      </c>
      <c r="C97" s="1843">
        <v>0</v>
      </c>
      <c r="D97" s="1843">
        <v>0</v>
      </c>
      <c r="E97" s="1842">
        <v>0</v>
      </c>
      <c r="F97" s="1842">
        <v>0</v>
      </c>
      <c r="G97" s="1842">
        <v>0</v>
      </c>
      <c r="H97" s="1842">
        <v>111565</v>
      </c>
      <c r="I97" s="1842">
        <v>0</v>
      </c>
      <c r="J97" s="1842">
        <v>0</v>
      </c>
      <c r="K97" s="1842">
        <v>0</v>
      </c>
    </row>
    <row r="98" spans="1:12" ht="12.75" customHeight="1">
      <c r="A98" s="463" t="s">
        <v>189</v>
      </c>
      <c r="B98" s="470">
        <v>1940</v>
      </c>
      <c r="C98" s="1843">
        <v>0</v>
      </c>
      <c r="D98" s="1843">
        <v>0</v>
      </c>
      <c r="E98" s="1849"/>
      <c r="F98" s="1842">
        <v>0</v>
      </c>
      <c r="G98" s="1849"/>
      <c r="H98" s="1849"/>
      <c r="I98" s="1850"/>
      <c r="J98" s="1849"/>
      <c r="K98" s="1849"/>
    </row>
    <row r="99" spans="1:12" ht="12.75" customHeight="1">
      <c r="A99" s="463" t="s">
        <v>820</v>
      </c>
      <c r="B99" s="470">
        <v>1950</v>
      </c>
      <c r="C99" s="1843">
        <v>0</v>
      </c>
      <c r="D99" s="1843">
        <v>0</v>
      </c>
      <c r="E99" s="1842">
        <v>0</v>
      </c>
      <c r="F99" s="1842">
        <v>0</v>
      </c>
      <c r="G99" s="1842">
        <v>0</v>
      </c>
      <c r="H99" s="1842">
        <v>0</v>
      </c>
      <c r="I99" s="1851"/>
      <c r="J99" s="1842">
        <v>0</v>
      </c>
      <c r="K99" s="1842">
        <v>0</v>
      </c>
    </row>
    <row r="100" spans="1:12" ht="12.75" customHeight="1">
      <c r="A100" s="463" t="s">
        <v>245</v>
      </c>
      <c r="B100" s="470">
        <v>1960</v>
      </c>
      <c r="C100" s="1843">
        <v>0</v>
      </c>
      <c r="D100" s="1843">
        <v>0</v>
      </c>
      <c r="E100" s="1842">
        <v>0</v>
      </c>
      <c r="F100" s="1842">
        <v>0</v>
      </c>
      <c r="G100" s="1842">
        <v>0</v>
      </c>
      <c r="H100" s="1842">
        <v>0</v>
      </c>
      <c r="I100" s="1842">
        <v>0</v>
      </c>
      <c r="J100" s="1842">
        <v>0</v>
      </c>
      <c r="K100" s="1842">
        <v>0</v>
      </c>
    </row>
    <row r="101" spans="1:12" ht="12.75" customHeight="1">
      <c r="A101" s="463" t="s">
        <v>246</v>
      </c>
      <c r="B101" s="470">
        <v>1970</v>
      </c>
      <c r="C101" s="1843">
        <v>142130</v>
      </c>
      <c r="D101" s="1852"/>
      <c r="E101" s="1853"/>
      <c r="F101" s="1852"/>
      <c r="G101" s="1846"/>
      <c r="H101" s="1852"/>
      <c r="I101" s="1851"/>
      <c r="J101" s="1846"/>
      <c r="K101" s="1846"/>
    </row>
    <row r="102" spans="1:12" ht="12.75" customHeight="1">
      <c r="A102" s="463" t="s">
        <v>247</v>
      </c>
      <c r="B102" s="470">
        <v>1980</v>
      </c>
      <c r="C102" s="1843">
        <v>0</v>
      </c>
      <c r="D102" s="1843">
        <v>0</v>
      </c>
      <c r="E102" s="1842">
        <v>0</v>
      </c>
      <c r="F102" s="1842">
        <v>0</v>
      </c>
      <c r="G102" s="1842">
        <v>0</v>
      </c>
      <c r="H102" s="1842">
        <v>0</v>
      </c>
      <c r="I102" s="1842">
        <v>0</v>
      </c>
      <c r="J102" s="1842">
        <v>0</v>
      </c>
      <c r="K102" s="1842">
        <v>0</v>
      </c>
    </row>
    <row r="103" spans="1:12" ht="12.75" customHeight="1">
      <c r="A103" s="463" t="s">
        <v>344</v>
      </c>
      <c r="B103" s="470">
        <v>1983</v>
      </c>
      <c r="C103" s="1851"/>
      <c r="D103" s="1851"/>
      <c r="E103" s="1842">
        <v>0</v>
      </c>
      <c r="F103" s="1851"/>
      <c r="G103" s="1851"/>
      <c r="H103" s="1842">
        <v>0</v>
      </c>
      <c r="I103" s="1851"/>
      <c r="J103" s="1850"/>
      <c r="K103" s="1850"/>
    </row>
    <row r="104" spans="1:12" ht="12.75" customHeight="1">
      <c r="A104" s="463" t="s">
        <v>829</v>
      </c>
      <c r="B104" s="470">
        <v>1991</v>
      </c>
      <c r="C104" s="1843">
        <v>0</v>
      </c>
      <c r="D104" s="1843">
        <v>0</v>
      </c>
      <c r="E104" s="1842">
        <v>0</v>
      </c>
      <c r="F104" s="1842">
        <v>0</v>
      </c>
      <c r="G104" s="1842">
        <v>0</v>
      </c>
      <c r="H104" s="1842">
        <v>0</v>
      </c>
      <c r="I104" s="1851"/>
      <c r="J104" s="1851"/>
      <c r="K104" s="1851"/>
    </row>
    <row r="105" spans="1:12" ht="12.75" customHeight="1">
      <c r="A105" s="463" t="s">
        <v>821</v>
      </c>
      <c r="B105" s="470">
        <v>1992</v>
      </c>
      <c r="C105" s="1843">
        <v>0</v>
      </c>
      <c r="D105" s="1854"/>
      <c r="E105" s="1851"/>
      <c r="F105" s="1851"/>
      <c r="G105" s="1851"/>
      <c r="H105" s="1850"/>
      <c r="I105" s="1851"/>
      <c r="J105" s="1851"/>
      <c r="K105" s="1851"/>
    </row>
    <row r="106" spans="1:12" ht="12.75" customHeight="1">
      <c r="A106" s="463" t="s">
        <v>1427</v>
      </c>
      <c r="B106" s="470">
        <v>1993</v>
      </c>
      <c r="C106" s="1843">
        <v>0</v>
      </c>
      <c r="D106" s="1843">
        <v>0</v>
      </c>
      <c r="E106" s="1842">
        <v>0</v>
      </c>
      <c r="F106" s="1842">
        <v>0</v>
      </c>
      <c r="G106" s="1842">
        <v>0</v>
      </c>
      <c r="H106" s="1842">
        <v>0</v>
      </c>
      <c r="I106" s="1855"/>
      <c r="J106" s="1842">
        <v>0</v>
      </c>
      <c r="K106" s="1842">
        <v>0</v>
      </c>
    </row>
    <row r="107" spans="1:12" ht="12.75" customHeight="1">
      <c r="A107" s="463" t="s">
        <v>78</v>
      </c>
      <c r="B107" s="470">
        <v>1999</v>
      </c>
      <c r="C107" s="1843">
        <v>170422</v>
      </c>
      <c r="D107" s="1843">
        <v>201</v>
      </c>
      <c r="E107" s="1842">
        <v>0</v>
      </c>
      <c r="F107" s="1842">
        <v>0</v>
      </c>
      <c r="G107" s="1842">
        <v>0</v>
      </c>
      <c r="H107" s="1842">
        <v>0</v>
      </c>
      <c r="I107" s="1842">
        <v>0</v>
      </c>
      <c r="J107" s="1842">
        <v>0</v>
      </c>
      <c r="K107" s="1842">
        <v>0</v>
      </c>
    </row>
    <row r="108" spans="1:12" ht="12.75" customHeight="1" thickBot="1">
      <c r="A108" s="1615" t="s">
        <v>486</v>
      </c>
      <c r="B108" s="1619"/>
      <c r="C108" s="1614">
        <f>SUM(C95:C107)</f>
        <v>312552</v>
      </c>
      <c r="D108" s="1614">
        <f t="shared" ref="D108:K108" si="3">SUM(D95:D107)</f>
        <v>86018</v>
      </c>
      <c r="E108" s="1614">
        <f t="shared" si="3"/>
        <v>0</v>
      </c>
      <c r="F108" s="1614">
        <f t="shared" si="3"/>
        <v>0</v>
      </c>
      <c r="G108" s="1614">
        <f t="shared" si="3"/>
        <v>0</v>
      </c>
      <c r="H108" s="1614">
        <f t="shared" si="3"/>
        <v>111565</v>
      </c>
      <c r="I108" s="1614">
        <f t="shared" si="3"/>
        <v>0</v>
      </c>
      <c r="J108" s="1614">
        <f t="shared" si="3"/>
        <v>0</v>
      </c>
      <c r="K108" s="1595">
        <f t="shared" si="3"/>
        <v>0</v>
      </c>
    </row>
    <row r="109" spans="1:12" ht="14.25" thickTop="1" thickBot="1">
      <c r="A109" s="1620" t="s">
        <v>248</v>
      </c>
      <c r="B109" s="1621" t="s">
        <v>569</v>
      </c>
      <c r="C109" s="1622">
        <f t="shared" ref="C109:K109" si="4">SUM(C12,C18,C40,C63,C67,C75,C82,C93,C108,)</f>
        <v>56432740</v>
      </c>
      <c r="D109" s="1622">
        <f t="shared" si="4"/>
        <v>9971994</v>
      </c>
      <c r="E109" s="1622">
        <f t="shared" si="4"/>
        <v>7523289</v>
      </c>
      <c r="F109" s="1622">
        <f t="shared" si="4"/>
        <v>4180354</v>
      </c>
      <c r="G109" s="1622">
        <f t="shared" si="4"/>
        <v>3802054</v>
      </c>
      <c r="H109" s="1622">
        <f t="shared" si="4"/>
        <v>197153</v>
      </c>
      <c r="I109" s="1622">
        <f t="shared" si="4"/>
        <v>1273500</v>
      </c>
      <c r="J109" s="1622">
        <f t="shared" si="4"/>
        <v>4361898</v>
      </c>
      <c r="K109" s="1609">
        <f t="shared" si="4"/>
        <v>0</v>
      </c>
    </row>
    <row r="110" spans="1:12" ht="30" customHeight="1" thickTop="1">
      <c r="A110" s="1494" t="s">
        <v>345</v>
      </c>
      <c r="B110" s="1495"/>
      <c r="C110" s="1480"/>
      <c r="D110" s="1480"/>
      <c r="E110" s="1480"/>
      <c r="F110" s="1480"/>
      <c r="G110" s="1480"/>
      <c r="H110" s="1480"/>
      <c r="I110" s="1480"/>
      <c r="J110" s="1480"/>
      <c r="K110" s="1481"/>
    </row>
    <row r="111" spans="1:12" ht="12.75" customHeight="1">
      <c r="A111" s="493" t="s">
        <v>822</v>
      </c>
      <c r="B111" s="491">
        <v>2100</v>
      </c>
      <c r="C111" s="1843">
        <v>0</v>
      </c>
      <c r="D111" s="1843">
        <v>0</v>
      </c>
      <c r="E111" s="1854"/>
      <c r="F111" s="1842">
        <v>0</v>
      </c>
      <c r="G111" s="1842">
        <v>0</v>
      </c>
      <c r="H111" s="558"/>
      <c r="I111" s="468"/>
      <c r="J111" s="468"/>
      <c r="K111" s="468"/>
    </row>
    <row r="112" spans="1:12" ht="12.75" customHeight="1">
      <c r="A112" s="463" t="s">
        <v>823</v>
      </c>
      <c r="B112" s="470">
        <v>2200</v>
      </c>
      <c r="C112" s="1843">
        <v>0</v>
      </c>
      <c r="D112" s="1843">
        <v>0</v>
      </c>
      <c r="E112" s="1854"/>
      <c r="F112" s="1842">
        <v>0</v>
      </c>
      <c r="G112" s="1842">
        <v>0</v>
      </c>
      <c r="H112" s="558"/>
      <c r="I112" s="468"/>
      <c r="J112" s="468"/>
      <c r="K112" s="468"/>
      <c r="L112" s="550"/>
    </row>
    <row r="113" spans="1:11" ht="12.75" customHeight="1">
      <c r="A113" s="463" t="s">
        <v>28</v>
      </c>
      <c r="B113" s="470">
        <v>2300</v>
      </c>
      <c r="C113" s="1843">
        <v>0</v>
      </c>
      <c r="D113" s="1843">
        <v>0</v>
      </c>
      <c r="E113" s="1854"/>
      <c r="F113" s="1842">
        <v>0</v>
      </c>
      <c r="G113" s="1842">
        <v>0</v>
      </c>
      <c r="H113" s="558"/>
      <c r="I113" s="468"/>
      <c r="J113" s="468"/>
      <c r="K113" s="468"/>
    </row>
    <row r="114" spans="1:11" ht="13.5" thickBot="1">
      <c r="A114" s="1623" t="s">
        <v>805</v>
      </c>
      <c r="B114" s="1624" t="s">
        <v>568</v>
      </c>
      <c r="C114" s="1625">
        <f>SUM(C111:C113)</f>
        <v>0</v>
      </c>
      <c r="D114" s="1625">
        <f>SUM(D111:D113)</f>
        <v>0</v>
      </c>
      <c r="E114" s="558" t="s">
        <v>1168</v>
      </c>
      <c r="F114" s="1625">
        <f>SUM(F111:F113)</f>
        <v>0</v>
      </c>
      <c r="G114" s="1625">
        <f>SUM(G111:G113)</f>
        <v>0</v>
      </c>
      <c r="H114" s="558"/>
      <c r="I114" s="468"/>
      <c r="J114" s="468"/>
      <c r="K114" s="468"/>
    </row>
    <row r="115" spans="1:11" ht="16.7" customHeight="1" thickTop="1">
      <c r="A115" s="1496" t="s">
        <v>802</v>
      </c>
      <c r="B115" s="1497"/>
      <c r="C115" s="1479"/>
      <c r="D115" s="1480"/>
      <c r="E115" s="1480"/>
      <c r="F115" s="1480"/>
      <c r="G115" s="1480"/>
      <c r="H115" s="1480"/>
      <c r="I115" s="1480"/>
      <c r="J115" s="1480"/>
      <c r="K115" s="1481"/>
    </row>
    <row r="116" spans="1:11" ht="18" customHeight="1">
      <c r="A116" s="1504" t="s">
        <v>1488</v>
      </c>
      <c r="B116" s="1505"/>
      <c r="C116" s="522"/>
      <c r="D116" s="521"/>
      <c r="E116" s="558"/>
      <c r="F116" s="521"/>
      <c r="G116" s="521"/>
      <c r="H116" s="558"/>
      <c r="I116" s="468"/>
      <c r="J116" s="521"/>
      <c r="K116" s="521"/>
    </row>
    <row r="117" spans="1:11" ht="12.75" customHeight="1">
      <c r="A117" s="463" t="s">
        <v>1660</v>
      </c>
      <c r="B117" s="559">
        <v>3001</v>
      </c>
      <c r="C117" s="1843">
        <v>16470394</v>
      </c>
      <c r="D117" s="1843">
        <v>0</v>
      </c>
      <c r="E117" s="1842">
        <v>0</v>
      </c>
      <c r="F117" s="1842">
        <v>0</v>
      </c>
      <c r="G117" s="1842">
        <v>0</v>
      </c>
      <c r="H117" s="1842">
        <v>0</v>
      </c>
      <c r="I117" s="1851"/>
      <c r="J117" s="1842">
        <v>0</v>
      </c>
      <c r="K117" s="1842">
        <v>0</v>
      </c>
    </row>
    <row r="118" spans="1:11" ht="12.75" customHeight="1">
      <c r="A118" s="463" t="s">
        <v>1771</v>
      </c>
      <c r="B118" s="559">
        <v>3002</v>
      </c>
      <c r="C118" s="1843">
        <v>0</v>
      </c>
      <c r="D118" s="1843">
        <v>0</v>
      </c>
      <c r="E118" s="1842">
        <v>0</v>
      </c>
      <c r="F118" s="1842">
        <v>0</v>
      </c>
      <c r="G118" s="1842">
        <v>0</v>
      </c>
      <c r="H118" s="1842">
        <v>0</v>
      </c>
      <c r="I118" s="1851"/>
      <c r="J118" s="1842">
        <v>0</v>
      </c>
      <c r="K118" s="1842">
        <v>0</v>
      </c>
    </row>
    <row r="119" spans="1:11" ht="12.75" customHeight="1">
      <c r="A119" s="463" t="s">
        <v>1772</v>
      </c>
      <c r="B119" s="559">
        <v>3005</v>
      </c>
      <c r="C119" s="1843">
        <v>0</v>
      </c>
      <c r="D119" s="1843">
        <v>0</v>
      </c>
      <c r="E119" s="1842">
        <v>0</v>
      </c>
      <c r="F119" s="1842">
        <v>0</v>
      </c>
      <c r="G119" s="1842">
        <v>0</v>
      </c>
      <c r="H119" s="1842">
        <v>0</v>
      </c>
      <c r="I119" s="1851"/>
      <c r="J119" s="1842">
        <v>0</v>
      </c>
      <c r="K119" s="1842">
        <v>0</v>
      </c>
    </row>
    <row r="120" spans="1:11" ht="12.75" customHeight="1">
      <c r="A120" s="1836" t="s">
        <v>1907</v>
      </c>
      <c r="B120" s="559">
        <v>3030</v>
      </c>
      <c r="C120" s="1843">
        <v>0</v>
      </c>
      <c r="D120" s="1843">
        <v>0</v>
      </c>
      <c r="E120" s="1842">
        <v>0</v>
      </c>
      <c r="F120" s="1842">
        <v>0</v>
      </c>
      <c r="G120" s="1842">
        <v>0</v>
      </c>
      <c r="H120" s="1842">
        <v>0</v>
      </c>
      <c r="I120" s="1851"/>
      <c r="J120" s="1842">
        <v>0</v>
      </c>
      <c r="K120" s="1842">
        <v>0</v>
      </c>
    </row>
    <row r="121" spans="1:11">
      <c r="A121" s="1405" t="s">
        <v>1773</v>
      </c>
      <c r="B121" s="561">
        <v>3099</v>
      </c>
      <c r="C121" s="1843">
        <v>540969</v>
      </c>
      <c r="D121" s="1843">
        <v>0</v>
      </c>
      <c r="E121" s="1842">
        <v>0</v>
      </c>
      <c r="F121" s="1842">
        <v>0</v>
      </c>
      <c r="G121" s="1842">
        <v>0</v>
      </c>
      <c r="H121" s="1842">
        <v>0</v>
      </c>
      <c r="I121" s="1851"/>
      <c r="J121" s="1842">
        <v>0</v>
      </c>
      <c r="K121" s="1842">
        <v>0</v>
      </c>
    </row>
    <row r="122" spans="1:11" ht="12.6" customHeight="1" thickBot="1">
      <c r="A122" s="1615" t="s">
        <v>487</v>
      </c>
      <c r="B122" s="1626"/>
      <c r="C122" s="1614">
        <f t="shared" ref="C122:H122" si="5">SUM(C117:C121)</f>
        <v>17011363</v>
      </c>
      <c r="D122" s="1614">
        <f t="shared" si="5"/>
        <v>0</v>
      </c>
      <c r="E122" s="1614">
        <f t="shared" si="5"/>
        <v>0</v>
      </c>
      <c r="F122" s="1614">
        <f t="shared" si="5"/>
        <v>0</v>
      </c>
      <c r="G122" s="1614">
        <f t="shared" si="5"/>
        <v>0</v>
      </c>
      <c r="H122" s="1614">
        <f t="shared" si="5"/>
        <v>0</v>
      </c>
      <c r="I122" s="468"/>
      <c r="J122" s="1614">
        <f>SUM(J117:J121)</f>
        <v>0</v>
      </c>
      <c r="K122" s="1595">
        <f>SUM(K117:K121)</f>
        <v>0</v>
      </c>
    </row>
    <row r="123" spans="1:11" ht="15.75" customHeight="1" thickTop="1">
      <c r="A123" s="1501" t="s">
        <v>1487</v>
      </c>
      <c r="B123" s="1506"/>
      <c r="C123" s="562"/>
      <c r="D123" s="509"/>
      <c r="E123" s="468"/>
      <c r="F123" s="563"/>
      <c r="G123" s="468"/>
      <c r="H123" s="468"/>
      <c r="I123" s="468"/>
      <c r="J123" s="468"/>
      <c r="K123" s="468"/>
    </row>
    <row r="124" spans="1:11" ht="15" customHeight="1">
      <c r="A124" s="1507" t="s">
        <v>666</v>
      </c>
      <c r="B124" s="1508"/>
      <c r="C124" s="521"/>
      <c r="D124" s="509"/>
      <c r="E124" s="468"/>
      <c r="F124" s="521"/>
      <c r="G124" s="468"/>
      <c r="H124" s="468"/>
      <c r="I124" s="468"/>
      <c r="J124" s="468"/>
      <c r="K124" s="468"/>
    </row>
    <row r="125" spans="1:11" ht="12.75" customHeight="1">
      <c r="A125" s="463" t="s">
        <v>865</v>
      </c>
      <c r="B125" s="564">
        <v>3100</v>
      </c>
      <c r="C125" s="1843">
        <v>1843249</v>
      </c>
      <c r="D125" s="1854"/>
      <c r="E125" s="1851"/>
      <c r="F125" s="1842">
        <v>0</v>
      </c>
      <c r="G125" s="468"/>
      <c r="H125" s="468"/>
      <c r="I125" s="468"/>
      <c r="J125" s="468"/>
      <c r="K125" s="468"/>
    </row>
    <row r="126" spans="1:11" ht="12.75" customHeight="1">
      <c r="A126" s="463" t="s">
        <v>1443</v>
      </c>
      <c r="B126" s="559">
        <v>3105</v>
      </c>
      <c r="C126" s="1843">
        <v>0</v>
      </c>
      <c r="D126" s="1854"/>
      <c r="E126" s="1851"/>
      <c r="F126" s="1842">
        <v>0</v>
      </c>
      <c r="G126" s="468"/>
      <c r="H126" s="468"/>
      <c r="I126" s="468"/>
      <c r="J126" s="468"/>
      <c r="K126" s="468"/>
    </row>
    <row r="127" spans="1:11" ht="12.75" customHeight="1">
      <c r="A127" s="463" t="s">
        <v>866</v>
      </c>
      <c r="B127" s="559">
        <v>3110</v>
      </c>
      <c r="C127" s="1843">
        <v>0</v>
      </c>
      <c r="D127" s="1843">
        <v>0</v>
      </c>
      <c r="E127" s="1851"/>
      <c r="F127" s="1842">
        <v>0</v>
      </c>
      <c r="G127" s="468"/>
      <c r="H127" s="468"/>
      <c r="I127" s="468"/>
      <c r="J127" s="468"/>
      <c r="K127" s="468"/>
    </row>
    <row r="128" spans="1:11" ht="12.75" customHeight="1">
      <c r="A128" s="463" t="s">
        <v>105</v>
      </c>
      <c r="B128" s="559">
        <v>3120</v>
      </c>
      <c r="C128" s="1843">
        <v>385068</v>
      </c>
      <c r="D128" s="1854"/>
      <c r="E128" s="1851"/>
      <c r="F128" s="1842">
        <v>0</v>
      </c>
      <c r="G128" s="468"/>
      <c r="H128" s="468"/>
      <c r="I128" s="468"/>
      <c r="J128" s="468"/>
      <c r="K128" s="468"/>
    </row>
    <row r="129" spans="1:11" ht="12.75" customHeight="1">
      <c r="A129" s="463" t="s">
        <v>1444</v>
      </c>
      <c r="B129" s="559">
        <v>3130</v>
      </c>
      <c r="C129" s="1843">
        <v>0</v>
      </c>
      <c r="D129" s="1854"/>
      <c r="E129" s="1851"/>
      <c r="F129" s="1842">
        <v>0</v>
      </c>
      <c r="G129" s="468"/>
      <c r="H129" s="468"/>
      <c r="I129" s="468"/>
      <c r="J129" s="468"/>
      <c r="K129" s="468"/>
    </row>
    <row r="130" spans="1:11" ht="12.75" customHeight="1">
      <c r="A130" s="463" t="s">
        <v>137</v>
      </c>
      <c r="B130" s="559">
        <v>3145</v>
      </c>
      <c r="C130" s="1843">
        <v>0</v>
      </c>
      <c r="D130" s="1854"/>
      <c r="E130" s="1851"/>
      <c r="F130" s="1842">
        <v>0</v>
      </c>
      <c r="G130" s="468"/>
      <c r="H130" s="468"/>
      <c r="I130" s="468"/>
      <c r="J130" s="468"/>
      <c r="K130" s="468"/>
    </row>
    <row r="131" spans="1:11" ht="12.75" customHeight="1">
      <c r="A131" s="463" t="s">
        <v>66</v>
      </c>
      <c r="B131" s="559">
        <v>3199</v>
      </c>
      <c r="C131" s="1843">
        <v>0</v>
      </c>
      <c r="D131" s="1843">
        <v>0</v>
      </c>
      <c r="E131" s="1851"/>
      <c r="F131" s="1842">
        <v>0</v>
      </c>
      <c r="G131" s="468"/>
      <c r="H131" s="468"/>
      <c r="I131" s="468"/>
      <c r="J131" s="468"/>
      <c r="K131" s="468"/>
    </row>
    <row r="132" spans="1:11" ht="12.75" customHeight="1" thickBot="1">
      <c r="A132" s="1615" t="s">
        <v>1031</v>
      </c>
      <c r="B132" s="1627"/>
      <c r="C132" s="1614">
        <f>SUM(C125:C131)</f>
        <v>2228317</v>
      </c>
      <c r="D132" s="1614">
        <f>SUM(D125:D131)</f>
        <v>0</v>
      </c>
      <c r="E132" s="469" t="s">
        <v>1168</v>
      </c>
      <c r="F132" s="1614">
        <f>SUM(F125:F131)</f>
        <v>0</v>
      </c>
      <c r="G132" s="468" t="s">
        <v>1168</v>
      </c>
      <c r="H132" s="468" t="s">
        <v>1168</v>
      </c>
      <c r="I132" s="468" t="s">
        <v>1168</v>
      </c>
      <c r="J132" s="468" t="s">
        <v>1168</v>
      </c>
      <c r="K132" s="468" t="s">
        <v>1168</v>
      </c>
    </row>
    <row r="133" spans="1:11" ht="15.75" customHeight="1" thickTop="1">
      <c r="A133" s="1509" t="s">
        <v>250</v>
      </c>
      <c r="B133" s="1510"/>
      <c r="C133" s="551"/>
      <c r="D133" s="551"/>
      <c r="E133" s="509"/>
      <c r="F133" s="551"/>
      <c r="G133" s="468"/>
      <c r="H133" s="468"/>
      <c r="I133" s="468"/>
      <c r="J133" s="468"/>
      <c r="K133" s="468"/>
    </row>
    <row r="134" spans="1:11">
      <c r="A134" s="463" t="s">
        <v>598</v>
      </c>
      <c r="B134" s="559">
        <v>3200</v>
      </c>
      <c r="C134" s="1843">
        <v>0</v>
      </c>
      <c r="D134" s="1843">
        <v>0</v>
      </c>
      <c r="E134" s="1854"/>
      <c r="F134" s="1851"/>
      <c r="G134" s="1842">
        <v>0</v>
      </c>
      <c r="H134" s="468"/>
      <c r="I134" s="468"/>
      <c r="J134" s="468"/>
      <c r="K134" s="468"/>
    </row>
    <row r="135" spans="1:11" ht="12.75" customHeight="1">
      <c r="A135" s="463" t="s">
        <v>668</v>
      </c>
      <c r="B135" s="559">
        <v>3220</v>
      </c>
      <c r="C135" s="1843">
        <v>179354</v>
      </c>
      <c r="D135" s="1843">
        <v>0</v>
      </c>
      <c r="E135" s="1854"/>
      <c r="F135" s="1851"/>
      <c r="G135" s="1842">
        <v>0</v>
      </c>
      <c r="H135" s="468"/>
      <c r="I135" s="468"/>
      <c r="J135" s="468"/>
      <c r="K135" s="468"/>
    </row>
    <row r="136" spans="1:11" ht="12.75" customHeight="1">
      <c r="A136" s="463" t="s">
        <v>249</v>
      </c>
      <c r="B136" s="559">
        <v>3225</v>
      </c>
      <c r="C136" s="1843">
        <v>0</v>
      </c>
      <c r="D136" s="1843">
        <v>0</v>
      </c>
      <c r="E136" s="1854"/>
      <c r="F136" s="1851"/>
      <c r="G136" s="1842">
        <v>0</v>
      </c>
      <c r="H136" s="468"/>
      <c r="I136" s="468"/>
      <c r="J136" s="468"/>
      <c r="K136" s="468"/>
    </row>
    <row r="137" spans="1:11" ht="12.75" customHeight="1">
      <c r="A137" s="463" t="s">
        <v>599</v>
      </c>
      <c r="B137" s="559">
        <v>3235</v>
      </c>
      <c r="C137" s="1843">
        <v>0</v>
      </c>
      <c r="D137" s="1843">
        <v>0</v>
      </c>
      <c r="E137" s="1854"/>
      <c r="F137" s="1851"/>
      <c r="G137" s="1842">
        <v>0</v>
      </c>
      <c r="H137" s="468"/>
      <c r="I137" s="468"/>
      <c r="J137" s="468"/>
      <c r="K137" s="468"/>
    </row>
    <row r="138" spans="1:11" ht="12.75" customHeight="1">
      <c r="A138" s="463" t="s">
        <v>600</v>
      </c>
      <c r="B138" s="559">
        <v>3240</v>
      </c>
      <c r="C138" s="1843">
        <v>0</v>
      </c>
      <c r="D138" s="1843">
        <v>0</v>
      </c>
      <c r="E138" s="1854"/>
      <c r="F138" s="1851"/>
      <c r="G138" s="1842">
        <v>0</v>
      </c>
      <c r="H138" s="468"/>
      <c r="I138" s="468"/>
      <c r="J138" s="468"/>
      <c r="K138" s="468"/>
    </row>
    <row r="139" spans="1:11" ht="12.75" customHeight="1">
      <c r="A139" s="463" t="s">
        <v>601</v>
      </c>
      <c r="B139" s="559">
        <v>3270</v>
      </c>
      <c r="C139" s="1843">
        <v>0</v>
      </c>
      <c r="D139" s="1843">
        <v>0</v>
      </c>
      <c r="E139" s="1854"/>
      <c r="F139" s="1851"/>
      <c r="G139" s="1842">
        <v>0</v>
      </c>
      <c r="H139" s="468"/>
      <c r="I139" s="468"/>
      <c r="J139" s="468"/>
      <c r="K139" s="468"/>
    </row>
    <row r="140" spans="1:11" ht="12.75" customHeight="1">
      <c r="A140" s="463" t="s">
        <v>67</v>
      </c>
      <c r="B140" s="559">
        <v>3299</v>
      </c>
      <c r="C140" s="1843">
        <v>0</v>
      </c>
      <c r="D140" s="1843">
        <v>0</v>
      </c>
      <c r="E140" s="1854"/>
      <c r="F140" s="1856"/>
      <c r="G140" s="1842">
        <v>0</v>
      </c>
      <c r="H140" s="468"/>
      <c r="I140" s="468"/>
      <c r="J140" s="468"/>
      <c r="K140" s="468"/>
    </row>
    <row r="141" spans="1:11" ht="12.75" customHeight="1" thickBot="1">
      <c r="A141" s="1615" t="s">
        <v>602</v>
      </c>
      <c r="B141" s="1627"/>
      <c r="C141" s="1614">
        <f>SUM(C134:C140)</f>
        <v>179354</v>
      </c>
      <c r="D141" s="1614">
        <f>SUM(D134:D140)</f>
        <v>0</v>
      </c>
      <c r="E141" s="558" t="s">
        <v>1168</v>
      </c>
      <c r="F141" s="477"/>
      <c r="G141" s="1614">
        <f>SUM(G134:G140)</f>
        <v>0</v>
      </c>
      <c r="H141" s="468" t="s">
        <v>1168</v>
      </c>
      <c r="I141" s="468" t="s">
        <v>1168</v>
      </c>
      <c r="J141" s="468" t="s">
        <v>1168</v>
      </c>
      <c r="K141" s="468" t="s">
        <v>1168</v>
      </c>
    </row>
    <row r="142" spans="1:11" ht="15.75" customHeight="1" thickTop="1">
      <c r="A142" s="1509" t="s">
        <v>669</v>
      </c>
      <c r="B142" s="1510"/>
      <c r="C142" s="551"/>
      <c r="D142" s="563"/>
      <c r="E142" s="558"/>
      <c r="F142" s="551"/>
      <c r="G142" s="551"/>
      <c r="H142" s="468"/>
      <c r="I142" s="468"/>
      <c r="J142" s="468"/>
      <c r="K142" s="468"/>
    </row>
    <row r="143" spans="1:11" ht="12.75" customHeight="1">
      <c r="A143" s="463" t="s">
        <v>603</v>
      </c>
      <c r="B143" s="559">
        <v>3305</v>
      </c>
      <c r="C143" s="1843">
        <v>0</v>
      </c>
      <c r="D143" s="1851"/>
      <c r="E143" s="1854"/>
      <c r="F143" s="1851"/>
      <c r="G143" s="1842">
        <v>0</v>
      </c>
      <c r="H143" s="468"/>
      <c r="I143" s="468"/>
      <c r="J143" s="468"/>
      <c r="K143" s="468"/>
    </row>
    <row r="144" spans="1:11" ht="12.75" customHeight="1">
      <c r="A144" s="463" t="s">
        <v>346</v>
      </c>
      <c r="B144" s="559">
        <v>3310</v>
      </c>
      <c r="C144" s="1843">
        <v>0</v>
      </c>
      <c r="D144" s="1851"/>
      <c r="E144" s="1854"/>
      <c r="F144" s="1851"/>
      <c r="G144" s="1842">
        <v>0</v>
      </c>
      <c r="H144" s="468"/>
      <c r="I144" s="468"/>
      <c r="J144" s="468"/>
      <c r="K144" s="468"/>
    </row>
    <row r="145" spans="1:11" s="202" customFormat="1" ht="13.5" thickBot="1">
      <c r="A145" s="1615" t="s">
        <v>395</v>
      </c>
      <c r="B145" s="1627"/>
      <c r="C145" s="1595">
        <f>SUM(C143:C144)</f>
        <v>0</v>
      </c>
      <c r="D145" s="468"/>
      <c r="E145" s="509"/>
      <c r="F145" s="468"/>
      <c r="G145" s="1628">
        <f>SUM(G143:G144)</f>
        <v>0</v>
      </c>
      <c r="H145" s="468"/>
      <c r="I145" s="468"/>
      <c r="J145" s="468"/>
      <c r="K145" s="468"/>
    </row>
    <row r="146" spans="1:11" s="202" customFormat="1" ht="12.75" customHeight="1" thickTop="1">
      <c r="A146" s="1407" t="s">
        <v>1055</v>
      </c>
      <c r="B146" s="565">
        <v>3360</v>
      </c>
      <c r="C146" s="1843">
        <v>23860</v>
      </c>
      <c r="D146" s="1851"/>
      <c r="E146" s="1854"/>
      <c r="F146" s="1851"/>
      <c r="G146" s="1851"/>
      <c r="H146" s="1851"/>
      <c r="I146" s="1851"/>
      <c r="J146" s="1851"/>
      <c r="K146" s="1851"/>
    </row>
    <row r="147" spans="1:11" ht="12.75" customHeight="1" thickBot="1">
      <c r="A147" s="1408" t="s">
        <v>921</v>
      </c>
      <c r="B147" s="567">
        <v>3365</v>
      </c>
      <c r="C147" s="1843">
        <v>0</v>
      </c>
      <c r="D147" s="1843">
        <v>0</v>
      </c>
      <c r="E147" s="1854"/>
      <c r="F147" s="1851"/>
      <c r="G147" s="1842">
        <v>0</v>
      </c>
      <c r="H147" s="1851"/>
      <c r="I147" s="1851"/>
      <c r="J147" s="1851"/>
      <c r="K147" s="1851"/>
    </row>
    <row r="148" spans="1:11" ht="12.75" customHeight="1" thickTop="1" thickBot="1">
      <c r="A148" s="1409" t="s">
        <v>138</v>
      </c>
      <c r="B148" s="568">
        <v>3370</v>
      </c>
      <c r="C148" s="1843">
        <v>151602</v>
      </c>
      <c r="D148" s="1843">
        <v>0</v>
      </c>
      <c r="E148" s="1854"/>
      <c r="F148" s="1851"/>
      <c r="G148" s="1851"/>
      <c r="H148" s="1851"/>
      <c r="I148" s="1851"/>
      <c r="J148" s="1851"/>
      <c r="K148" s="1851"/>
    </row>
    <row r="149" spans="1:11" ht="12.75" customHeight="1" thickTop="1" thickBot="1">
      <c r="A149" s="1409" t="s">
        <v>766</v>
      </c>
      <c r="B149" s="568">
        <v>3410</v>
      </c>
      <c r="C149" s="1843">
        <v>0</v>
      </c>
      <c r="D149" s="1843">
        <v>0</v>
      </c>
      <c r="E149" s="1842">
        <v>0</v>
      </c>
      <c r="F149" s="1842">
        <v>0</v>
      </c>
      <c r="G149" s="1842">
        <v>0</v>
      </c>
      <c r="H149" s="1842">
        <v>0</v>
      </c>
      <c r="I149" s="1842">
        <v>0</v>
      </c>
      <c r="J149" s="1842">
        <v>0</v>
      </c>
      <c r="K149" s="1842">
        <v>0</v>
      </c>
    </row>
    <row r="150" spans="1:11" ht="12.75" customHeight="1" thickTop="1" thickBot="1">
      <c r="A150" s="1409" t="s">
        <v>68</v>
      </c>
      <c r="B150" s="568">
        <v>3499</v>
      </c>
      <c r="C150" s="1843">
        <v>0</v>
      </c>
      <c r="D150" s="1843">
        <v>0</v>
      </c>
      <c r="E150" s="1842">
        <v>0</v>
      </c>
      <c r="F150" s="1842">
        <v>0</v>
      </c>
      <c r="G150" s="1842">
        <v>0</v>
      </c>
      <c r="H150" s="1842">
        <v>0</v>
      </c>
      <c r="I150" s="1842">
        <v>0</v>
      </c>
      <c r="J150" s="1842">
        <v>0</v>
      </c>
      <c r="K150" s="1842">
        <v>0</v>
      </c>
    </row>
    <row r="151" spans="1:11" ht="15.75" customHeight="1" thickTop="1">
      <c r="A151" s="1509" t="s">
        <v>452</v>
      </c>
      <c r="B151" s="1511"/>
      <c r="C151" s="551"/>
      <c r="D151" s="468"/>
      <c r="E151" s="558"/>
      <c r="F151" s="468"/>
      <c r="G151" s="468"/>
      <c r="H151" s="468"/>
      <c r="I151" s="468"/>
      <c r="J151" s="468"/>
      <c r="K151" s="468"/>
    </row>
    <row r="152" spans="1:11" ht="12.75" customHeight="1">
      <c r="A152" s="463" t="s">
        <v>1445</v>
      </c>
      <c r="B152" s="559">
        <v>3500</v>
      </c>
      <c r="C152" s="1843">
        <v>0</v>
      </c>
      <c r="D152" s="1843">
        <v>0</v>
      </c>
      <c r="E152" s="1854"/>
      <c r="F152" s="1842">
        <v>844350</v>
      </c>
      <c r="G152" s="1842">
        <v>0</v>
      </c>
      <c r="H152" s="468"/>
      <c r="I152" s="468"/>
      <c r="J152" s="468"/>
      <c r="K152" s="468"/>
    </row>
    <row r="153" spans="1:11" ht="12.75" customHeight="1">
      <c r="A153" s="463" t="s">
        <v>1056</v>
      </c>
      <c r="B153" s="559">
        <v>3510</v>
      </c>
      <c r="C153" s="1843">
        <v>0</v>
      </c>
      <c r="D153" s="1843">
        <v>0</v>
      </c>
      <c r="E153" s="1854"/>
      <c r="F153" s="1842">
        <v>3257953</v>
      </c>
      <c r="G153" s="1842">
        <v>0</v>
      </c>
      <c r="H153" s="468"/>
      <c r="I153" s="468"/>
      <c r="J153" s="468"/>
      <c r="K153" s="468"/>
    </row>
    <row r="154" spans="1:11" ht="12.75" customHeight="1">
      <c r="A154" s="463" t="s">
        <v>69</v>
      </c>
      <c r="B154" s="559">
        <v>3599</v>
      </c>
      <c r="C154" s="1843">
        <v>0</v>
      </c>
      <c r="D154" s="1843">
        <v>0</v>
      </c>
      <c r="E154" s="1854"/>
      <c r="F154" s="1842">
        <v>0</v>
      </c>
      <c r="G154" s="1842">
        <v>0</v>
      </c>
      <c r="H154" s="468"/>
      <c r="I154" s="468"/>
      <c r="J154" s="468"/>
      <c r="K154" s="468"/>
    </row>
    <row r="155" spans="1:11" ht="12.75" customHeight="1" thickBot="1">
      <c r="A155" s="1615" t="s">
        <v>94</v>
      </c>
      <c r="B155" s="1627"/>
      <c r="C155" s="1614">
        <f>SUM(C152:C154)</f>
        <v>0</v>
      </c>
      <c r="D155" s="1614">
        <f>SUM(D152:D154)</f>
        <v>0</v>
      </c>
      <c r="E155" s="558"/>
      <c r="F155" s="1614">
        <f>SUM(F152:F154)</f>
        <v>4102303</v>
      </c>
      <c r="G155" s="1614">
        <f>SUM(G152:G154)</f>
        <v>0</v>
      </c>
      <c r="H155" s="468"/>
      <c r="I155" s="468"/>
      <c r="J155" s="468"/>
      <c r="K155" s="468"/>
    </row>
    <row r="156" spans="1:11" ht="12.75" customHeight="1" thickTop="1" thickBot="1">
      <c r="A156" s="1409" t="s">
        <v>379</v>
      </c>
      <c r="B156" s="568">
        <v>3610</v>
      </c>
      <c r="C156" s="1843">
        <v>0</v>
      </c>
      <c r="D156" s="1851"/>
      <c r="E156" s="1854"/>
      <c r="F156" s="1851"/>
      <c r="G156" s="1851"/>
      <c r="H156" s="468"/>
      <c r="I156" s="468"/>
      <c r="J156" s="468"/>
      <c r="K156" s="468"/>
    </row>
    <row r="157" spans="1:11" ht="12.75" customHeight="1" thickTop="1" thickBot="1">
      <c r="A157" s="1409" t="s">
        <v>50</v>
      </c>
      <c r="B157" s="568">
        <v>3660</v>
      </c>
      <c r="C157" s="1843">
        <v>0</v>
      </c>
      <c r="D157" s="1843">
        <v>0</v>
      </c>
      <c r="E157" s="1854"/>
      <c r="F157" s="1842">
        <v>0</v>
      </c>
      <c r="G157" s="1842">
        <v>0</v>
      </c>
      <c r="H157" s="468"/>
      <c r="I157" s="468"/>
      <c r="J157" s="468"/>
      <c r="K157" s="468"/>
    </row>
    <row r="158" spans="1:11" ht="12.75" customHeight="1" thickTop="1" thickBot="1">
      <c r="A158" s="1409" t="s">
        <v>999</v>
      </c>
      <c r="B158" s="568">
        <v>3695</v>
      </c>
      <c r="C158" s="1843">
        <v>0</v>
      </c>
      <c r="D158" s="1851"/>
      <c r="E158" s="1854"/>
      <c r="F158" s="1842">
        <v>0</v>
      </c>
      <c r="G158" s="1842">
        <v>0</v>
      </c>
      <c r="H158" s="468"/>
      <c r="I158" s="468"/>
      <c r="J158" s="468"/>
      <c r="K158" s="468"/>
    </row>
    <row r="159" spans="1:11" ht="12.75" customHeight="1" thickTop="1" thickBot="1">
      <c r="A159" s="1409" t="s">
        <v>1050</v>
      </c>
      <c r="B159" s="568">
        <v>3705</v>
      </c>
      <c r="C159" s="1843">
        <v>4471</v>
      </c>
      <c r="D159" s="1843">
        <v>0</v>
      </c>
      <c r="E159" s="1854"/>
      <c r="F159" s="1842">
        <v>0</v>
      </c>
      <c r="G159" s="1842">
        <v>0</v>
      </c>
      <c r="H159" s="468"/>
      <c r="I159" s="468"/>
      <c r="J159" s="468"/>
      <c r="K159" s="468"/>
    </row>
    <row r="160" spans="1:11" ht="12.75" customHeight="1" thickTop="1" thickBot="1">
      <c r="A160" s="1409" t="s">
        <v>39</v>
      </c>
      <c r="B160" s="568">
        <v>3766</v>
      </c>
      <c r="C160" s="1843">
        <v>0</v>
      </c>
      <c r="D160" s="1843">
        <v>0</v>
      </c>
      <c r="E160" s="1854"/>
      <c r="F160" s="1842">
        <v>0</v>
      </c>
      <c r="G160" s="1842">
        <v>0</v>
      </c>
      <c r="H160" s="1851"/>
      <c r="I160" s="1851"/>
      <c r="J160" s="1851"/>
      <c r="K160" s="1851"/>
    </row>
    <row r="161" spans="1:11" ht="12.75" customHeight="1" thickTop="1" thickBot="1">
      <c r="A161" s="1409" t="s">
        <v>984</v>
      </c>
      <c r="B161" s="568">
        <v>3767</v>
      </c>
      <c r="C161" s="1843">
        <v>0</v>
      </c>
      <c r="D161" s="1843">
        <v>0</v>
      </c>
      <c r="E161" s="1854"/>
      <c r="F161" s="1842">
        <v>0</v>
      </c>
      <c r="G161" s="1842">
        <v>0</v>
      </c>
      <c r="H161" s="1851"/>
      <c r="I161" s="1851"/>
      <c r="J161" s="1851"/>
      <c r="K161" s="1851"/>
    </row>
    <row r="162" spans="1:11" ht="12.75" customHeight="1" thickTop="1" thickBot="1">
      <c r="A162" s="1409" t="s">
        <v>985</v>
      </c>
      <c r="B162" s="568">
        <v>3775</v>
      </c>
      <c r="C162" s="1843">
        <v>0</v>
      </c>
      <c r="D162" s="1843">
        <v>0</v>
      </c>
      <c r="E162" s="1842">
        <v>0</v>
      </c>
      <c r="F162" s="1842">
        <v>0</v>
      </c>
      <c r="G162" s="1842">
        <v>0</v>
      </c>
      <c r="H162" s="1842">
        <v>0</v>
      </c>
      <c r="I162" s="1851"/>
      <c r="J162" s="1851"/>
      <c r="K162" s="1842">
        <v>0</v>
      </c>
    </row>
    <row r="163" spans="1:11" ht="12.75" customHeight="1" thickTop="1" thickBot="1">
      <c r="A163" s="1409" t="s">
        <v>1446</v>
      </c>
      <c r="B163" s="568">
        <v>3780</v>
      </c>
      <c r="C163" s="1843">
        <v>0</v>
      </c>
      <c r="D163" s="1843">
        <v>0</v>
      </c>
      <c r="E163" s="1842">
        <v>0</v>
      </c>
      <c r="F163" s="1842">
        <v>0</v>
      </c>
      <c r="G163" s="1842">
        <v>0</v>
      </c>
      <c r="H163" s="1842">
        <v>0</v>
      </c>
      <c r="I163" s="1851"/>
      <c r="J163" s="1851"/>
      <c r="K163" s="1842">
        <v>0</v>
      </c>
    </row>
    <row r="164" spans="1:11" ht="12.75" customHeight="1" thickTop="1" thickBot="1">
      <c r="A164" s="1409" t="s">
        <v>857</v>
      </c>
      <c r="B164" s="568">
        <v>3815</v>
      </c>
      <c r="C164" s="1843">
        <v>0</v>
      </c>
      <c r="D164" s="1851"/>
      <c r="E164" s="1854"/>
      <c r="F164" s="1842">
        <v>0</v>
      </c>
      <c r="G164" s="1851"/>
      <c r="H164" s="1851"/>
      <c r="I164" s="1851"/>
      <c r="J164" s="1851"/>
      <c r="K164" s="1851"/>
    </row>
    <row r="165" spans="1:11" ht="12.75" customHeight="1" thickTop="1" thickBot="1">
      <c r="A165" s="1409" t="s">
        <v>396</v>
      </c>
      <c r="B165" s="568">
        <v>3825</v>
      </c>
      <c r="C165" s="1843">
        <v>0</v>
      </c>
      <c r="D165" s="1851"/>
      <c r="E165" s="1854"/>
      <c r="F165" s="1842">
        <v>0</v>
      </c>
      <c r="G165" s="1851"/>
      <c r="H165" s="1851"/>
      <c r="I165" s="1851"/>
      <c r="J165" s="1851"/>
      <c r="K165" s="1851"/>
    </row>
    <row r="166" spans="1:11" ht="12.75" customHeight="1" thickTop="1" thickBot="1">
      <c r="A166" s="1409" t="s">
        <v>347</v>
      </c>
      <c r="B166" s="568">
        <v>3920</v>
      </c>
      <c r="C166" s="1857"/>
      <c r="D166" s="1843">
        <v>0</v>
      </c>
      <c r="E166" s="1851"/>
      <c r="F166" s="1857"/>
      <c r="G166" s="1851"/>
      <c r="H166" s="1842">
        <v>0</v>
      </c>
      <c r="I166" s="1851"/>
      <c r="J166" s="1851"/>
      <c r="K166" s="1851"/>
    </row>
    <row r="167" spans="1:11" ht="12.75" customHeight="1" thickTop="1" thickBot="1">
      <c r="A167" s="1409" t="s">
        <v>348</v>
      </c>
      <c r="B167" s="568">
        <v>3925</v>
      </c>
      <c r="C167" s="1855"/>
      <c r="D167" s="1843">
        <v>0</v>
      </c>
      <c r="E167" s="1855"/>
      <c r="F167" s="1855"/>
      <c r="G167" s="1851"/>
      <c r="H167" s="1842">
        <v>0</v>
      </c>
      <c r="I167" s="1851"/>
      <c r="J167" s="1851"/>
      <c r="K167" s="1842">
        <v>0</v>
      </c>
    </row>
    <row r="168" spans="1:11" ht="14.25" thickTop="1" thickBot="1">
      <c r="A168" s="1409" t="s">
        <v>70</v>
      </c>
      <c r="B168" s="568">
        <v>3999</v>
      </c>
      <c r="C168" s="1843">
        <v>157362</v>
      </c>
      <c r="D168" s="1843">
        <v>0</v>
      </c>
      <c r="E168" s="1842">
        <v>0</v>
      </c>
      <c r="F168" s="1842">
        <v>0</v>
      </c>
      <c r="G168" s="1842">
        <v>0</v>
      </c>
      <c r="H168" s="1842">
        <v>0</v>
      </c>
      <c r="I168" s="1842">
        <v>0</v>
      </c>
      <c r="J168" s="1842">
        <v>0</v>
      </c>
      <c r="K168" s="1842">
        <v>0</v>
      </c>
    </row>
    <row r="169" spans="1:11" ht="12.75" customHeight="1" thickTop="1" thickBot="1">
      <c r="A169" s="2172" t="s">
        <v>397</v>
      </c>
      <c r="B169" s="2173"/>
      <c r="C169" s="1629">
        <f t="shared" ref="C169:K169" si="6">SUM(C132,C141,C145,C146:C150,C155,C156:C167,C168)</f>
        <v>2744966</v>
      </c>
      <c r="D169" s="1629">
        <f t="shared" si="6"/>
        <v>0</v>
      </c>
      <c r="E169" s="1629">
        <f t="shared" si="6"/>
        <v>0</v>
      </c>
      <c r="F169" s="1629">
        <f t="shared" si="6"/>
        <v>4102303</v>
      </c>
      <c r="G169" s="1629">
        <f t="shared" si="6"/>
        <v>0</v>
      </c>
      <c r="H169" s="1629">
        <f t="shared" si="6"/>
        <v>0</v>
      </c>
      <c r="I169" s="1629">
        <f t="shared" si="6"/>
        <v>0</v>
      </c>
      <c r="J169" s="1629">
        <f t="shared" si="6"/>
        <v>0</v>
      </c>
      <c r="K169" s="1610">
        <f t="shared" si="6"/>
        <v>0</v>
      </c>
    </row>
    <row r="170" spans="1:11" ht="12.75" customHeight="1" thickTop="1" thickBot="1">
      <c r="A170" s="1615" t="s">
        <v>398</v>
      </c>
      <c r="B170" s="1621" t="s">
        <v>574</v>
      </c>
      <c r="C170" s="1622">
        <f t="shared" ref="C170:K170" si="7">SUM(C122,C169)</f>
        <v>19756329</v>
      </c>
      <c r="D170" s="1622">
        <f t="shared" si="7"/>
        <v>0</v>
      </c>
      <c r="E170" s="1622">
        <f t="shared" si="7"/>
        <v>0</v>
      </c>
      <c r="F170" s="1622">
        <f t="shared" si="7"/>
        <v>4102303</v>
      </c>
      <c r="G170" s="1622">
        <f t="shared" si="7"/>
        <v>0</v>
      </c>
      <c r="H170" s="1622">
        <f t="shared" si="7"/>
        <v>0</v>
      </c>
      <c r="I170" s="1622">
        <f t="shared" si="7"/>
        <v>0</v>
      </c>
      <c r="J170" s="1622">
        <f t="shared" si="7"/>
        <v>0</v>
      </c>
      <c r="K170" s="1609">
        <f t="shared" si="7"/>
        <v>0</v>
      </c>
    </row>
    <row r="171" spans="1:11" ht="16.7" customHeight="1" thickTop="1">
      <c r="A171" s="1498" t="s">
        <v>803</v>
      </c>
      <c r="B171" s="1476"/>
      <c r="C171" s="1479"/>
      <c r="D171" s="1480"/>
      <c r="E171" s="1480"/>
      <c r="F171" s="1480"/>
      <c r="G171" s="1480"/>
      <c r="H171" s="1480"/>
      <c r="I171" s="1480"/>
      <c r="J171" s="1480"/>
      <c r="K171" s="1481"/>
    </row>
    <row r="172" spans="1:11" ht="15.75" customHeight="1">
      <c r="A172" s="2174" t="s">
        <v>1489</v>
      </c>
      <c r="B172" s="2175"/>
      <c r="C172" s="520"/>
      <c r="D172" s="520"/>
      <c r="E172" s="509"/>
      <c r="F172" s="468"/>
      <c r="G172" s="468"/>
      <c r="H172" s="468"/>
      <c r="I172" s="468"/>
      <c r="J172" s="468"/>
      <c r="K172" s="468"/>
    </row>
    <row r="173" spans="1:11" ht="12.6" customHeight="1">
      <c r="A173" s="493" t="s">
        <v>1043</v>
      </c>
      <c r="B173" s="491">
        <v>4001</v>
      </c>
      <c r="C173" s="1843">
        <v>0</v>
      </c>
      <c r="D173" s="1843">
        <v>0</v>
      </c>
      <c r="E173" s="1842">
        <v>0</v>
      </c>
      <c r="F173" s="1842">
        <v>0</v>
      </c>
      <c r="G173" s="1842">
        <v>0</v>
      </c>
      <c r="H173" s="1842">
        <v>0</v>
      </c>
      <c r="I173" s="1842">
        <v>0</v>
      </c>
      <c r="J173" s="1842">
        <v>0</v>
      </c>
      <c r="K173" s="1842">
        <v>0</v>
      </c>
    </row>
    <row r="174" spans="1:11" ht="22.5">
      <c r="A174" s="560" t="s">
        <v>804</v>
      </c>
      <c r="B174" s="570">
        <v>4009</v>
      </c>
      <c r="C174" s="1843">
        <v>0</v>
      </c>
      <c r="D174" s="1843">
        <v>0</v>
      </c>
      <c r="E174" s="1842">
        <v>0</v>
      </c>
      <c r="F174" s="1842">
        <v>0</v>
      </c>
      <c r="G174" s="1842">
        <v>0</v>
      </c>
      <c r="H174" s="1842">
        <v>0</v>
      </c>
      <c r="I174" s="1842">
        <v>0</v>
      </c>
      <c r="J174" s="1842">
        <v>0</v>
      </c>
      <c r="K174" s="1842">
        <v>0</v>
      </c>
    </row>
    <row r="175" spans="1:11" ht="13.5" thickBot="1">
      <c r="A175" s="2178" t="s">
        <v>1658</v>
      </c>
      <c r="B175" s="2179"/>
      <c r="C175" s="1614">
        <f>SUM(C173:C174)</f>
        <v>0</v>
      </c>
      <c r="D175" s="1614">
        <f t="shared" ref="D175:K175" si="8">SUM(D173:D174)</f>
        <v>0</v>
      </c>
      <c r="E175" s="1614">
        <f t="shared" si="8"/>
        <v>0</v>
      </c>
      <c r="F175" s="1614">
        <f t="shared" si="8"/>
        <v>0</v>
      </c>
      <c r="G175" s="1614">
        <f t="shared" si="8"/>
        <v>0</v>
      </c>
      <c r="H175" s="1614">
        <f t="shared" si="8"/>
        <v>0</v>
      </c>
      <c r="I175" s="1614">
        <f t="shared" si="8"/>
        <v>0</v>
      </c>
      <c r="J175" s="1614">
        <f t="shared" si="8"/>
        <v>0</v>
      </c>
      <c r="K175" s="1595">
        <f t="shared" si="8"/>
        <v>0</v>
      </c>
    </row>
    <row r="176" spans="1:11" s="457" customFormat="1" ht="15.75" customHeight="1" thickTop="1">
      <c r="A176" s="2182" t="s">
        <v>1657</v>
      </c>
      <c r="B176" s="2183"/>
      <c r="C176" s="581"/>
      <c r="D176" s="582"/>
      <c r="E176" s="583"/>
      <c r="F176" s="584"/>
      <c r="G176" s="584"/>
      <c r="H176" s="584"/>
      <c r="I176" s="584"/>
      <c r="J176" s="584"/>
      <c r="K176" s="584"/>
    </row>
    <row r="177" spans="1:11" ht="12.75" customHeight="1">
      <c r="A177" s="463" t="s">
        <v>1044</v>
      </c>
      <c r="B177" s="470">
        <v>4045</v>
      </c>
      <c r="C177" s="1843">
        <v>0</v>
      </c>
      <c r="D177" s="1851"/>
      <c r="E177" s="1854"/>
      <c r="F177" s="1851"/>
      <c r="G177" s="1851"/>
      <c r="H177" s="1851"/>
      <c r="I177" s="1851"/>
      <c r="J177" s="1851"/>
      <c r="K177" s="1851"/>
    </row>
    <row r="178" spans="1:11" ht="12.75" customHeight="1">
      <c r="A178" s="463" t="s">
        <v>1045</v>
      </c>
      <c r="B178" s="470">
        <v>4050</v>
      </c>
      <c r="C178" s="1843">
        <v>0</v>
      </c>
      <c r="D178" s="1843">
        <v>0</v>
      </c>
      <c r="E178" s="1854"/>
      <c r="F178" s="1851"/>
      <c r="G178" s="1851"/>
      <c r="H178" s="1842">
        <v>0</v>
      </c>
      <c r="I178" s="1851"/>
      <c r="J178" s="1851"/>
      <c r="K178" s="1851"/>
    </row>
    <row r="179" spans="1:11" ht="12.75" customHeight="1">
      <c r="A179" s="463" t="s">
        <v>260</v>
      </c>
      <c r="B179" s="470">
        <v>4060</v>
      </c>
      <c r="C179" s="1843">
        <v>0</v>
      </c>
      <c r="D179" s="1843">
        <v>0</v>
      </c>
      <c r="E179" s="1851"/>
      <c r="F179" s="1842">
        <v>0</v>
      </c>
      <c r="G179" s="1842">
        <v>0</v>
      </c>
      <c r="H179" s="1842">
        <v>0</v>
      </c>
      <c r="I179" s="1851"/>
      <c r="J179" s="1851"/>
      <c r="K179" s="1855"/>
    </row>
    <row r="180" spans="1:11" ht="22.5">
      <c r="A180" s="560" t="s">
        <v>785</v>
      </c>
      <c r="B180" s="570">
        <v>4090</v>
      </c>
      <c r="C180" s="1843">
        <v>0</v>
      </c>
      <c r="D180" s="1843">
        <v>0</v>
      </c>
      <c r="E180" s="1851"/>
      <c r="F180" s="1842">
        <v>0</v>
      </c>
      <c r="G180" s="1842">
        <v>0</v>
      </c>
      <c r="H180" s="1842">
        <v>0</v>
      </c>
      <c r="I180" s="1851"/>
      <c r="J180" s="1851"/>
      <c r="K180" s="1842">
        <v>0</v>
      </c>
    </row>
    <row r="181" spans="1:11" ht="13.5" thickBot="1">
      <c r="A181" s="2180" t="s">
        <v>784</v>
      </c>
      <c r="B181" s="2181"/>
      <c r="C181" s="1614">
        <f>SUM(C177:C180)</f>
        <v>0</v>
      </c>
      <c r="D181" s="1614">
        <f>SUM(D177:D180)</f>
        <v>0</v>
      </c>
      <c r="E181" s="468"/>
      <c r="F181" s="1614">
        <f>SUM(F177:F180)</f>
        <v>0</v>
      </c>
      <c r="G181" s="1614">
        <f>SUM(G177:G180)</f>
        <v>0</v>
      </c>
      <c r="H181" s="1614">
        <f>SUM(H177:H180)</f>
        <v>0</v>
      </c>
      <c r="I181" s="468"/>
      <c r="J181" s="468"/>
      <c r="K181" s="1595">
        <f>SUM(K177:K180)</f>
        <v>0</v>
      </c>
    </row>
    <row r="182" spans="1:11" ht="22.5" customHeight="1" thickTop="1">
      <c r="A182" s="2176" t="s">
        <v>1775</v>
      </c>
      <c r="B182" s="2177"/>
      <c r="C182" s="571"/>
      <c r="D182" s="563"/>
      <c r="E182" s="509"/>
      <c r="F182" s="563"/>
      <c r="G182" s="563"/>
      <c r="H182" s="468"/>
      <c r="I182" s="468"/>
      <c r="J182" s="468"/>
      <c r="K182" s="468"/>
    </row>
    <row r="183" spans="1:11" ht="15.75" customHeight="1">
      <c r="A183" s="1512" t="s">
        <v>1595</v>
      </c>
      <c r="B183" s="1513"/>
      <c r="C183" s="522"/>
      <c r="D183" s="521"/>
      <c r="E183" s="509"/>
      <c r="F183" s="521"/>
      <c r="G183" s="521"/>
      <c r="H183" s="468"/>
      <c r="I183" s="468"/>
      <c r="J183" s="468"/>
      <c r="K183" s="468"/>
    </row>
    <row r="184" spans="1:11" ht="12.75" customHeight="1">
      <c r="A184" s="463" t="s">
        <v>1596</v>
      </c>
      <c r="B184" s="470">
        <v>4100</v>
      </c>
      <c r="C184" s="1843">
        <v>0</v>
      </c>
      <c r="D184" s="1843">
        <v>0</v>
      </c>
      <c r="E184" s="1854"/>
      <c r="F184" s="1842">
        <v>0</v>
      </c>
      <c r="G184" s="1842">
        <v>0</v>
      </c>
      <c r="H184" s="468"/>
      <c r="I184" s="468"/>
      <c r="J184" s="468"/>
      <c r="K184" s="468"/>
    </row>
    <row r="185" spans="1:11" ht="12.75" customHeight="1">
      <c r="A185" s="463" t="s">
        <v>1597</v>
      </c>
      <c r="B185" s="470">
        <v>4105</v>
      </c>
      <c r="C185" s="1843">
        <v>0</v>
      </c>
      <c r="D185" s="1843">
        <v>0</v>
      </c>
      <c r="E185" s="1854"/>
      <c r="F185" s="1842">
        <v>0</v>
      </c>
      <c r="G185" s="1842">
        <v>0</v>
      </c>
      <c r="H185" s="468"/>
      <c r="I185" s="468"/>
      <c r="J185" s="468"/>
      <c r="K185" s="468"/>
    </row>
    <row r="186" spans="1:11" ht="12.75" customHeight="1">
      <c r="A186" s="463" t="s">
        <v>1599</v>
      </c>
      <c r="B186" s="470">
        <v>4107</v>
      </c>
      <c r="C186" s="1843">
        <v>0</v>
      </c>
      <c r="D186" s="1843">
        <v>0</v>
      </c>
      <c r="E186" s="1854"/>
      <c r="F186" s="1842">
        <v>0</v>
      </c>
      <c r="G186" s="1842">
        <v>0</v>
      </c>
      <c r="H186" s="468"/>
      <c r="I186" s="468"/>
      <c r="J186" s="468"/>
      <c r="K186" s="468"/>
    </row>
    <row r="187" spans="1:11" ht="12.75" customHeight="1">
      <c r="A187" s="463" t="s">
        <v>1598</v>
      </c>
      <c r="B187" s="470">
        <v>4199</v>
      </c>
      <c r="C187" s="1843">
        <v>0</v>
      </c>
      <c r="D187" s="1843">
        <v>0</v>
      </c>
      <c r="E187" s="1854"/>
      <c r="F187" s="1842">
        <v>0</v>
      </c>
      <c r="G187" s="1842">
        <v>0</v>
      </c>
      <c r="H187" s="468"/>
      <c r="I187" s="468"/>
      <c r="J187" s="468"/>
      <c r="K187" s="468"/>
    </row>
    <row r="188" spans="1:11" ht="12.75" customHeight="1" thickBot="1">
      <c r="A188" s="1615" t="s">
        <v>1600</v>
      </c>
      <c r="B188" s="1616"/>
      <c r="C188" s="1614">
        <f>SUM(C184:C187)</f>
        <v>0</v>
      </c>
      <c r="D188" s="1614">
        <f>SUM(D184:D187)</f>
        <v>0</v>
      </c>
      <c r="E188" s="558"/>
      <c r="F188" s="1614">
        <f>SUM(F184:F187)</f>
        <v>0</v>
      </c>
      <c r="G188" s="1614">
        <f>SUM(G184:G187)</f>
        <v>0</v>
      </c>
      <c r="H188" s="468"/>
      <c r="I188" s="468"/>
      <c r="J188" s="468"/>
      <c r="K188" s="468"/>
    </row>
    <row r="189" spans="1:11" ht="15.75" customHeight="1" thickTop="1">
      <c r="A189" s="1509" t="s">
        <v>454</v>
      </c>
      <c r="B189" s="1514"/>
      <c r="C189" s="551"/>
      <c r="D189" s="563"/>
      <c r="E189" s="558"/>
      <c r="F189" s="551"/>
      <c r="G189" s="551"/>
      <c r="H189" s="468"/>
      <c r="I189" s="468"/>
      <c r="J189" s="468"/>
      <c r="K189" s="468"/>
    </row>
    <row r="190" spans="1:11">
      <c r="A190" s="463" t="s">
        <v>1447</v>
      </c>
      <c r="B190" s="470">
        <v>4200</v>
      </c>
      <c r="C190" s="1843">
        <v>0</v>
      </c>
      <c r="D190" s="1851"/>
      <c r="E190" s="1854"/>
      <c r="F190" s="1858"/>
      <c r="G190" s="1842">
        <v>0</v>
      </c>
      <c r="H190" s="468"/>
      <c r="I190" s="468"/>
      <c r="J190" s="468"/>
      <c r="K190" s="468"/>
    </row>
    <row r="191" spans="1:11" ht="12.75" customHeight="1">
      <c r="A191" s="463" t="s">
        <v>1057</v>
      </c>
      <c r="B191" s="470">
        <v>4210</v>
      </c>
      <c r="C191" s="1843">
        <v>1291210</v>
      </c>
      <c r="D191" s="1851"/>
      <c r="E191" s="1854"/>
      <c r="F191" s="1851"/>
      <c r="G191" s="1842">
        <v>0</v>
      </c>
      <c r="H191" s="468"/>
      <c r="I191" s="468"/>
      <c r="J191" s="468"/>
      <c r="K191" s="468"/>
    </row>
    <row r="192" spans="1:11" ht="12.75" customHeight="1">
      <c r="A192" s="463" t="s">
        <v>1046</v>
      </c>
      <c r="B192" s="470">
        <v>4215</v>
      </c>
      <c r="C192" s="1843">
        <v>0</v>
      </c>
      <c r="D192" s="1851"/>
      <c r="E192" s="1854"/>
      <c r="F192" s="1851"/>
      <c r="G192" s="1842">
        <v>0</v>
      </c>
      <c r="H192" s="468"/>
      <c r="I192" s="468"/>
      <c r="J192" s="468"/>
      <c r="K192" s="468"/>
    </row>
    <row r="193" spans="1:11" ht="12.75" customHeight="1">
      <c r="A193" s="463" t="s">
        <v>1058</v>
      </c>
      <c r="B193" s="470">
        <v>4220</v>
      </c>
      <c r="C193" s="1843">
        <v>180756</v>
      </c>
      <c r="D193" s="1851"/>
      <c r="E193" s="1854"/>
      <c r="F193" s="1851"/>
      <c r="G193" s="1842">
        <v>0</v>
      </c>
      <c r="H193" s="468"/>
      <c r="I193" s="468"/>
      <c r="J193" s="468"/>
      <c r="K193" s="468"/>
    </row>
    <row r="194" spans="1:11" ht="12.75" customHeight="1">
      <c r="A194" s="463" t="s">
        <v>1448</v>
      </c>
      <c r="B194" s="470">
        <v>4225</v>
      </c>
      <c r="C194" s="1843">
        <v>0</v>
      </c>
      <c r="D194" s="1851"/>
      <c r="E194" s="1854"/>
      <c r="F194" s="1851"/>
      <c r="G194" s="1842">
        <v>0</v>
      </c>
      <c r="H194" s="468"/>
      <c r="I194" s="468"/>
      <c r="J194" s="468"/>
      <c r="K194" s="468"/>
    </row>
    <row r="195" spans="1:11" ht="12.75" customHeight="1">
      <c r="A195" s="463" t="s">
        <v>1449</v>
      </c>
      <c r="B195" s="470">
        <v>4226</v>
      </c>
      <c r="C195" s="1843">
        <v>0</v>
      </c>
      <c r="D195" s="1851"/>
      <c r="E195" s="1854"/>
      <c r="F195" s="1851"/>
      <c r="G195" s="1842">
        <v>0</v>
      </c>
      <c r="H195" s="468"/>
      <c r="I195" s="468"/>
      <c r="J195" s="468"/>
      <c r="K195" s="468"/>
    </row>
    <row r="196" spans="1:11" ht="12.75" customHeight="1">
      <c r="A196" s="463" t="s">
        <v>791</v>
      </c>
      <c r="B196" s="470">
        <v>4240</v>
      </c>
      <c r="C196" s="1843">
        <v>0</v>
      </c>
      <c r="D196" s="1851"/>
      <c r="E196" s="1854"/>
      <c r="F196" s="1851"/>
      <c r="G196" s="1859"/>
      <c r="H196" s="468"/>
      <c r="I196" s="468"/>
      <c r="J196" s="468"/>
      <c r="K196" s="468"/>
    </row>
    <row r="197" spans="1:11" ht="12.75" customHeight="1">
      <c r="A197" s="463" t="s">
        <v>71</v>
      </c>
      <c r="B197" s="470">
        <v>4299</v>
      </c>
      <c r="C197" s="1843">
        <v>0</v>
      </c>
      <c r="D197" s="1851"/>
      <c r="E197" s="1854"/>
      <c r="F197" s="1851"/>
      <c r="G197" s="1842">
        <v>0</v>
      </c>
      <c r="H197" s="468"/>
      <c r="I197" s="468"/>
      <c r="J197" s="468"/>
      <c r="K197" s="468"/>
    </row>
    <row r="198" spans="1:11" ht="12.75" customHeight="1" thickBot="1">
      <c r="A198" s="1615" t="s">
        <v>547</v>
      </c>
      <c r="B198" s="1616"/>
      <c r="C198" s="1595">
        <f>SUM(C190:C197)</f>
        <v>1471966</v>
      </c>
      <c r="D198" s="468"/>
      <c r="E198" s="468"/>
      <c r="F198" s="468"/>
      <c r="G198" s="1595">
        <f>SUM(G190:G197)</f>
        <v>0</v>
      </c>
      <c r="H198" s="468"/>
      <c r="I198" s="468"/>
      <c r="J198" s="468"/>
      <c r="K198" s="468"/>
    </row>
    <row r="199" spans="1:11" ht="15.75" customHeight="1" thickTop="1">
      <c r="A199" s="1509" t="s">
        <v>1137</v>
      </c>
      <c r="B199" s="1514"/>
      <c r="C199" s="551"/>
      <c r="D199" s="468"/>
      <c r="E199" s="468"/>
      <c r="F199" s="468"/>
      <c r="G199" s="468"/>
      <c r="H199" s="468"/>
      <c r="I199" s="468"/>
      <c r="J199" s="468"/>
      <c r="K199" s="468"/>
    </row>
    <row r="200" spans="1:11" ht="12.75" customHeight="1">
      <c r="A200" s="463" t="s">
        <v>917</v>
      </c>
      <c r="B200" s="470">
        <v>4300</v>
      </c>
      <c r="C200" s="1843">
        <v>1511933</v>
      </c>
      <c r="D200" s="1843">
        <v>0</v>
      </c>
      <c r="E200" s="1851"/>
      <c r="F200" s="1842">
        <v>0</v>
      </c>
      <c r="G200" s="1842">
        <v>0</v>
      </c>
      <c r="H200" s="468"/>
      <c r="I200" s="468"/>
      <c r="J200" s="468"/>
      <c r="K200" s="468"/>
    </row>
    <row r="201" spans="1:11" ht="12.75" customHeight="1">
      <c r="A201" s="463" t="s">
        <v>918</v>
      </c>
      <c r="B201" s="470">
        <v>4305</v>
      </c>
      <c r="C201" s="1843">
        <v>0</v>
      </c>
      <c r="D201" s="1843">
        <v>0</v>
      </c>
      <c r="E201" s="1851"/>
      <c r="F201" s="1842">
        <v>0</v>
      </c>
      <c r="G201" s="1842">
        <v>0</v>
      </c>
      <c r="H201" s="468"/>
      <c r="I201" s="468"/>
      <c r="J201" s="468"/>
      <c r="K201" s="468"/>
    </row>
    <row r="202" spans="1:11" ht="12.75" customHeight="1">
      <c r="A202" s="463" t="s">
        <v>1030</v>
      </c>
      <c r="B202" s="470">
        <v>4340</v>
      </c>
      <c r="C202" s="1843">
        <v>0</v>
      </c>
      <c r="D202" s="1843">
        <v>0</v>
      </c>
      <c r="E202" s="1851"/>
      <c r="F202" s="1842">
        <v>0</v>
      </c>
      <c r="G202" s="1842">
        <v>0</v>
      </c>
      <c r="H202" s="468"/>
      <c r="I202" s="468"/>
      <c r="J202" s="468"/>
      <c r="K202" s="468"/>
    </row>
    <row r="203" spans="1:11" ht="12.75" customHeight="1">
      <c r="A203" s="463" t="s">
        <v>72</v>
      </c>
      <c r="B203" s="470">
        <v>4399</v>
      </c>
      <c r="C203" s="1843">
        <v>0</v>
      </c>
      <c r="D203" s="1843">
        <v>0</v>
      </c>
      <c r="E203" s="1851"/>
      <c r="F203" s="1842">
        <v>0</v>
      </c>
      <c r="G203" s="1842">
        <v>0</v>
      </c>
      <c r="H203" s="468"/>
      <c r="I203" s="468"/>
      <c r="J203" s="468"/>
      <c r="K203" s="468"/>
    </row>
    <row r="204" spans="1:11" ht="12.75" customHeight="1" thickBot="1">
      <c r="A204" s="1615" t="s">
        <v>399</v>
      </c>
      <c r="B204" s="1616"/>
      <c r="C204" s="1614">
        <f>SUM(C200:C203)</f>
        <v>1511933</v>
      </c>
      <c r="D204" s="1614">
        <f>SUM(D200:D203)</f>
        <v>0</v>
      </c>
      <c r="E204" s="468"/>
      <c r="F204" s="1614">
        <f>SUM(F200:F203)</f>
        <v>0</v>
      </c>
      <c r="G204" s="1614">
        <f>SUM(G200:G203)</f>
        <v>0</v>
      </c>
      <c r="H204" s="468"/>
      <c r="I204" s="468"/>
      <c r="J204" s="468"/>
      <c r="K204" s="468"/>
    </row>
    <row r="205" spans="1:11" ht="15.75" customHeight="1" thickTop="1">
      <c r="A205" s="1509" t="s">
        <v>1138</v>
      </c>
      <c r="B205" s="1514"/>
      <c r="C205" s="551"/>
      <c r="D205" s="551"/>
      <c r="E205" s="468"/>
      <c r="F205" s="551"/>
      <c r="G205" s="551"/>
      <c r="H205" s="468"/>
      <c r="I205" s="468"/>
      <c r="J205" s="468"/>
      <c r="K205" s="468"/>
    </row>
    <row r="206" spans="1:11" ht="12.75" customHeight="1">
      <c r="A206" s="463" t="s">
        <v>758</v>
      </c>
      <c r="B206" s="470">
        <v>4400</v>
      </c>
      <c r="C206" s="1843">
        <v>61669</v>
      </c>
      <c r="D206" s="1843">
        <v>0</v>
      </c>
      <c r="E206" s="1851"/>
      <c r="F206" s="1842">
        <v>0</v>
      </c>
      <c r="G206" s="1842">
        <v>0</v>
      </c>
      <c r="H206" s="468"/>
      <c r="I206" s="468"/>
      <c r="J206" s="468"/>
      <c r="K206" s="468"/>
    </row>
    <row r="207" spans="1:11" ht="12.75" customHeight="1">
      <c r="A207" s="463" t="s">
        <v>1450</v>
      </c>
      <c r="B207" s="470">
        <v>4421</v>
      </c>
      <c r="C207" s="1843">
        <v>0</v>
      </c>
      <c r="D207" s="1843">
        <v>0</v>
      </c>
      <c r="E207" s="1851"/>
      <c r="F207" s="1842">
        <v>0</v>
      </c>
      <c r="G207" s="1842">
        <v>0</v>
      </c>
      <c r="H207" s="468"/>
      <c r="I207" s="468"/>
      <c r="J207" s="468"/>
      <c r="K207" s="468"/>
    </row>
    <row r="208" spans="1:11" ht="12.75" customHeight="1">
      <c r="A208" s="463" t="s">
        <v>73</v>
      </c>
      <c r="B208" s="470">
        <v>4499</v>
      </c>
      <c r="C208" s="1843">
        <v>0</v>
      </c>
      <c r="D208" s="1843">
        <v>0</v>
      </c>
      <c r="E208" s="1851"/>
      <c r="F208" s="1842">
        <v>0</v>
      </c>
      <c r="G208" s="1842">
        <v>0</v>
      </c>
      <c r="H208" s="468"/>
      <c r="I208" s="468"/>
      <c r="J208" s="468"/>
      <c r="K208" s="468"/>
    </row>
    <row r="209" spans="1:11" ht="12.75" customHeight="1" thickBot="1">
      <c r="A209" s="1615" t="s">
        <v>888</v>
      </c>
      <c r="B209" s="1616"/>
      <c r="C209" s="1614">
        <f>SUM(C206:C208)</f>
        <v>61669</v>
      </c>
      <c r="D209" s="1614">
        <f>SUM(D206:D208)</f>
        <v>0</v>
      </c>
      <c r="E209" s="468" t="s">
        <v>1168</v>
      </c>
      <c r="F209" s="1614">
        <f>SUM(F206:F208)</f>
        <v>0</v>
      </c>
      <c r="G209" s="1614">
        <f>SUM(G206:G208)</f>
        <v>0</v>
      </c>
      <c r="H209" s="468"/>
      <c r="I209" s="468"/>
      <c r="J209" s="468"/>
      <c r="K209" s="468"/>
    </row>
    <row r="210" spans="1:11" ht="15.75" customHeight="1" thickTop="1">
      <c r="A210" s="1509" t="s">
        <v>1091</v>
      </c>
      <c r="B210" s="1514"/>
      <c r="C210" s="551"/>
      <c r="D210" s="551"/>
      <c r="E210" s="468"/>
      <c r="F210" s="551"/>
      <c r="G210" s="551"/>
      <c r="H210" s="468"/>
      <c r="I210" s="468"/>
      <c r="J210" s="468"/>
      <c r="K210" s="468"/>
    </row>
    <row r="211" spans="1:11" ht="12.75" customHeight="1">
      <c r="A211" s="463" t="s">
        <v>1051</v>
      </c>
      <c r="B211" s="470">
        <v>4600</v>
      </c>
      <c r="C211" s="1843">
        <v>0</v>
      </c>
      <c r="D211" s="1843">
        <v>0</v>
      </c>
      <c r="E211" s="1851"/>
      <c r="F211" s="1842">
        <v>0</v>
      </c>
      <c r="G211" s="1842">
        <v>0</v>
      </c>
      <c r="H211" s="468"/>
      <c r="I211" s="468"/>
      <c r="J211" s="468"/>
      <c r="K211" s="468"/>
    </row>
    <row r="212" spans="1:11" ht="12.75" customHeight="1">
      <c r="A212" s="463" t="s">
        <v>1052</v>
      </c>
      <c r="B212" s="470">
        <v>4605</v>
      </c>
      <c r="C212" s="1843">
        <v>0</v>
      </c>
      <c r="D212" s="1843">
        <v>0</v>
      </c>
      <c r="E212" s="1851"/>
      <c r="F212" s="1842">
        <v>0</v>
      </c>
      <c r="G212" s="1842">
        <v>0</v>
      </c>
      <c r="H212" s="468"/>
      <c r="I212" s="468"/>
      <c r="J212" s="468"/>
      <c r="K212" s="468"/>
    </row>
    <row r="213" spans="1:11" ht="12.75" customHeight="1">
      <c r="A213" s="463" t="s">
        <v>1451</v>
      </c>
      <c r="B213" s="555">
        <v>4620</v>
      </c>
      <c r="C213" s="1843">
        <v>1468744</v>
      </c>
      <c r="D213" s="1843">
        <v>0</v>
      </c>
      <c r="E213" s="1851"/>
      <c r="F213" s="1842">
        <v>0</v>
      </c>
      <c r="G213" s="1842">
        <v>0</v>
      </c>
      <c r="H213" s="468"/>
      <c r="I213" s="468"/>
      <c r="J213" s="468"/>
      <c r="K213" s="468"/>
    </row>
    <row r="214" spans="1:11" ht="12.75" customHeight="1">
      <c r="A214" s="463" t="s">
        <v>1053</v>
      </c>
      <c r="B214" s="470">
        <v>4625</v>
      </c>
      <c r="C214" s="1843">
        <v>12452</v>
      </c>
      <c r="D214" s="1843">
        <v>0</v>
      </c>
      <c r="E214" s="1851"/>
      <c r="F214" s="1842">
        <v>0</v>
      </c>
      <c r="G214" s="1842">
        <v>0</v>
      </c>
      <c r="H214" s="468"/>
      <c r="I214" s="468"/>
      <c r="J214" s="468"/>
      <c r="K214" s="468"/>
    </row>
    <row r="215" spans="1:11" ht="12.75" customHeight="1">
      <c r="A215" s="463" t="s">
        <v>1054</v>
      </c>
      <c r="B215" s="470">
        <v>4630</v>
      </c>
      <c r="C215" s="1843">
        <v>0</v>
      </c>
      <c r="D215" s="1843">
        <v>0</v>
      </c>
      <c r="E215" s="1851"/>
      <c r="F215" s="1842">
        <v>0</v>
      </c>
      <c r="G215" s="1842">
        <v>0</v>
      </c>
      <c r="H215" s="468"/>
      <c r="I215" s="468"/>
      <c r="J215" s="468"/>
      <c r="K215" s="468"/>
    </row>
    <row r="216" spans="1:11" ht="12.75" customHeight="1">
      <c r="A216" s="1410" t="s">
        <v>74</v>
      </c>
      <c r="B216" s="555">
        <v>4699</v>
      </c>
      <c r="C216" s="1843">
        <v>0</v>
      </c>
      <c r="D216" s="1843">
        <v>0</v>
      </c>
      <c r="E216" s="1851"/>
      <c r="F216" s="1842">
        <v>0</v>
      </c>
      <c r="G216" s="1842">
        <v>0</v>
      </c>
      <c r="H216" s="468"/>
      <c r="I216" s="468"/>
      <c r="J216" s="468"/>
      <c r="K216" s="468"/>
    </row>
    <row r="217" spans="1:11" ht="12.75" customHeight="1" thickBot="1">
      <c r="A217" s="1615" t="s">
        <v>446</v>
      </c>
      <c r="B217" s="1616"/>
      <c r="C217" s="1614">
        <f>SUM(C211:C216)</f>
        <v>1481196</v>
      </c>
      <c r="D217" s="1614">
        <f>SUM(D211:D216)</f>
        <v>0</v>
      </c>
      <c r="E217" s="468"/>
      <c r="F217" s="1614">
        <f>SUM(F211:F216)</f>
        <v>0</v>
      </c>
      <c r="G217" s="1614">
        <f>SUM(G211:G216)</f>
        <v>0</v>
      </c>
      <c r="H217" s="468"/>
      <c r="I217" s="468"/>
      <c r="J217" s="468"/>
      <c r="K217" s="468"/>
    </row>
    <row r="218" spans="1:11" ht="15.75" customHeight="1" thickTop="1">
      <c r="A218" s="1509" t="s">
        <v>1092</v>
      </c>
      <c r="B218" s="1514"/>
      <c r="C218" s="551"/>
      <c r="D218" s="551"/>
      <c r="E218" s="468"/>
      <c r="F218" s="551"/>
      <c r="G218" s="551"/>
      <c r="H218" s="468"/>
      <c r="I218" s="468"/>
      <c r="J218" s="468"/>
      <c r="K218" s="468"/>
    </row>
    <row r="219" spans="1:11" ht="12.75" customHeight="1">
      <c r="A219" s="463" t="s">
        <v>786</v>
      </c>
      <c r="B219" s="470">
        <v>4770</v>
      </c>
      <c r="C219" s="1843">
        <v>0</v>
      </c>
      <c r="D219" s="1843">
        <v>0</v>
      </c>
      <c r="E219" s="1851"/>
      <c r="F219" s="1851"/>
      <c r="G219" s="1842">
        <v>0</v>
      </c>
      <c r="H219" s="468"/>
      <c r="I219" s="468"/>
      <c r="J219" s="468"/>
      <c r="K219" s="468"/>
    </row>
    <row r="220" spans="1:11" ht="12.75" customHeight="1">
      <c r="A220" s="463" t="s">
        <v>67</v>
      </c>
      <c r="B220" s="470">
        <v>4799</v>
      </c>
      <c r="C220" s="1843">
        <v>218070</v>
      </c>
      <c r="D220" s="1843">
        <v>0</v>
      </c>
      <c r="E220" s="1851"/>
      <c r="F220" s="1851"/>
      <c r="G220" s="1842">
        <v>0</v>
      </c>
      <c r="H220" s="468"/>
      <c r="I220" s="468"/>
      <c r="J220" s="468"/>
      <c r="K220" s="468"/>
    </row>
    <row r="221" spans="1:11" ht="12.75" customHeight="1" thickBot="1">
      <c r="A221" s="1630" t="s">
        <v>1084</v>
      </c>
      <c r="B221" s="1631"/>
      <c r="C221" s="1614">
        <f>SUM(C219:C220)</f>
        <v>218070</v>
      </c>
      <c r="D221" s="1614">
        <f>SUM(D219:D220)</f>
        <v>0</v>
      </c>
      <c r="E221" s="468"/>
      <c r="F221" s="468"/>
      <c r="G221" s="1614">
        <f>SUM(G219:G220)</f>
        <v>0</v>
      </c>
      <c r="H221" s="468"/>
      <c r="I221" s="468"/>
      <c r="J221" s="468"/>
      <c r="K221" s="468"/>
    </row>
    <row r="222" spans="1:11" ht="12.75" customHeight="1" thickTop="1">
      <c r="A222" s="493" t="s">
        <v>756</v>
      </c>
      <c r="B222" s="491">
        <v>4810</v>
      </c>
      <c r="C222" s="1843">
        <v>0</v>
      </c>
      <c r="D222" s="1843">
        <v>0</v>
      </c>
      <c r="E222" s="1851"/>
      <c r="F222" s="1851"/>
      <c r="G222" s="1842">
        <v>0</v>
      </c>
      <c r="H222" s="1851"/>
      <c r="I222" s="1851"/>
      <c r="J222" s="1851"/>
      <c r="K222" s="1851"/>
    </row>
    <row r="223" spans="1:11" ht="12.75" customHeight="1">
      <c r="A223" s="493" t="s">
        <v>349</v>
      </c>
      <c r="B223" s="491">
        <v>4850</v>
      </c>
      <c r="C223" s="1843">
        <v>0</v>
      </c>
      <c r="D223" s="1843">
        <v>0</v>
      </c>
      <c r="E223" s="1842">
        <v>0</v>
      </c>
      <c r="F223" s="1842">
        <v>0</v>
      </c>
      <c r="G223" s="1842">
        <v>0</v>
      </c>
      <c r="H223" s="1842">
        <v>0</v>
      </c>
      <c r="I223" s="1851"/>
      <c r="J223" s="1842">
        <v>0</v>
      </c>
      <c r="K223" s="1842">
        <v>0</v>
      </c>
    </row>
    <row r="224" spans="1:11" ht="12.75" customHeight="1">
      <c r="A224" s="493" t="s">
        <v>350</v>
      </c>
      <c r="B224" s="491">
        <v>4851</v>
      </c>
      <c r="C224" s="1843">
        <v>0</v>
      </c>
      <c r="D224" s="1843">
        <v>0</v>
      </c>
      <c r="E224" s="1851"/>
      <c r="F224" s="1860">
        <v>0</v>
      </c>
      <c r="G224" s="1843">
        <v>0</v>
      </c>
      <c r="H224" s="1851"/>
      <c r="I224" s="1851"/>
      <c r="J224" s="1851"/>
      <c r="K224" s="1851"/>
    </row>
    <row r="225" spans="1:11" ht="12.75" customHeight="1">
      <c r="A225" s="493" t="s">
        <v>351</v>
      </c>
      <c r="B225" s="491">
        <v>4852</v>
      </c>
      <c r="C225" s="1843">
        <v>0</v>
      </c>
      <c r="D225" s="1843">
        <v>0</v>
      </c>
      <c r="E225" s="1842">
        <v>0</v>
      </c>
      <c r="F225" s="1842">
        <v>0</v>
      </c>
      <c r="G225" s="1842">
        <v>0</v>
      </c>
      <c r="H225" s="1842">
        <v>0</v>
      </c>
      <c r="I225" s="1851"/>
      <c r="J225" s="1842">
        <v>0</v>
      </c>
      <c r="K225" s="1842">
        <v>0</v>
      </c>
    </row>
    <row r="226" spans="1:11" ht="12.75" customHeight="1">
      <c r="A226" s="493" t="s">
        <v>352</v>
      </c>
      <c r="B226" s="491">
        <v>4853</v>
      </c>
      <c r="C226" s="1843">
        <v>0</v>
      </c>
      <c r="D226" s="1843">
        <v>0</v>
      </c>
      <c r="E226" s="1842">
        <v>0</v>
      </c>
      <c r="F226" s="1842">
        <v>0</v>
      </c>
      <c r="G226" s="1842">
        <v>0</v>
      </c>
      <c r="H226" s="1842">
        <v>0</v>
      </c>
      <c r="I226" s="1851"/>
      <c r="J226" s="1842">
        <v>0</v>
      </c>
      <c r="K226" s="1842">
        <v>0</v>
      </c>
    </row>
    <row r="227" spans="1:11" ht="12.75" customHeight="1">
      <c r="A227" s="493" t="s">
        <v>353</v>
      </c>
      <c r="B227" s="491">
        <v>4854</v>
      </c>
      <c r="C227" s="1843">
        <v>0</v>
      </c>
      <c r="D227" s="1843">
        <v>0</v>
      </c>
      <c r="E227" s="1842">
        <v>0</v>
      </c>
      <c r="F227" s="1842">
        <v>0</v>
      </c>
      <c r="G227" s="1842">
        <v>0</v>
      </c>
      <c r="H227" s="1842">
        <v>0</v>
      </c>
      <c r="I227" s="1851"/>
      <c r="J227" s="1842">
        <v>0</v>
      </c>
      <c r="K227" s="1842">
        <v>0</v>
      </c>
    </row>
    <row r="228" spans="1:11" ht="12.75" customHeight="1">
      <c r="A228" s="493" t="s">
        <v>463</v>
      </c>
      <c r="B228" s="491">
        <v>4855</v>
      </c>
      <c r="C228" s="1843">
        <v>0</v>
      </c>
      <c r="D228" s="1843">
        <v>0</v>
      </c>
      <c r="E228" s="1842">
        <v>0</v>
      </c>
      <c r="F228" s="1842">
        <v>0</v>
      </c>
      <c r="G228" s="1842">
        <v>0</v>
      </c>
      <c r="H228" s="1842">
        <v>0</v>
      </c>
      <c r="I228" s="1851"/>
      <c r="J228" s="1842">
        <v>0</v>
      </c>
      <c r="K228" s="1842">
        <v>0</v>
      </c>
    </row>
    <row r="229" spans="1:11" ht="12.75" customHeight="1">
      <c r="A229" s="493" t="s">
        <v>354</v>
      </c>
      <c r="B229" s="491">
        <v>4856</v>
      </c>
      <c r="C229" s="1843">
        <v>0</v>
      </c>
      <c r="D229" s="1843">
        <v>0</v>
      </c>
      <c r="E229" s="1842">
        <v>0</v>
      </c>
      <c r="F229" s="1842">
        <v>0</v>
      </c>
      <c r="G229" s="1842">
        <v>0</v>
      </c>
      <c r="H229" s="1842">
        <v>0</v>
      </c>
      <c r="I229" s="1851"/>
      <c r="J229" s="1842">
        <v>0</v>
      </c>
      <c r="K229" s="1842">
        <v>0</v>
      </c>
    </row>
    <row r="230" spans="1:11" ht="12.75" customHeight="1">
      <c r="A230" s="493" t="s">
        <v>355</v>
      </c>
      <c r="B230" s="491">
        <v>4857</v>
      </c>
      <c r="C230" s="1843">
        <v>0</v>
      </c>
      <c r="D230" s="1843">
        <v>0</v>
      </c>
      <c r="E230" s="1842">
        <v>0</v>
      </c>
      <c r="F230" s="1842">
        <v>0</v>
      </c>
      <c r="G230" s="1842">
        <v>0</v>
      </c>
      <c r="H230" s="1842">
        <v>0</v>
      </c>
      <c r="I230" s="1851"/>
      <c r="J230" s="1842">
        <v>0</v>
      </c>
      <c r="K230" s="1842">
        <v>0</v>
      </c>
    </row>
    <row r="231" spans="1:11" ht="12.75" customHeight="1">
      <c r="A231" s="493" t="s">
        <v>356</v>
      </c>
      <c r="B231" s="491">
        <v>4860</v>
      </c>
      <c r="C231" s="1843">
        <v>0</v>
      </c>
      <c r="D231" s="1843">
        <v>0</v>
      </c>
      <c r="E231" s="1842">
        <v>0</v>
      </c>
      <c r="F231" s="1842">
        <v>0</v>
      </c>
      <c r="G231" s="1842">
        <v>0</v>
      </c>
      <c r="H231" s="1842">
        <v>0</v>
      </c>
      <c r="I231" s="1851"/>
      <c r="J231" s="1842">
        <v>0</v>
      </c>
      <c r="K231" s="1842">
        <v>0</v>
      </c>
    </row>
    <row r="232" spans="1:11" ht="12.75" customHeight="1">
      <c r="A232" s="493" t="s">
        <v>357</v>
      </c>
      <c r="B232" s="491">
        <v>4861</v>
      </c>
      <c r="C232" s="1843">
        <v>0</v>
      </c>
      <c r="D232" s="1843">
        <v>0</v>
      </c>
      <c r="E232" s="1842">
        <v>0</v>
      </c>
      <c r="F232" s="1842">
        <v>0</v>
      </c>
      <c r="G232" s="1842">
        <v>0</v>
      </c>
      <c r="H232" s="1842">
        <v>0</v>
      </c>
      <c r="I232" s="1851"/>
      <c r="J232" s="1842">
        <v>0</v>
      </c>
      <c r="K232" s="1842">
        <v>0</v>
      </c>
    </row>
    <row r="233" spans="1:11" ht="12.75" customHeight="1">
      <c r="A233" s="493" t="s">
        <v>358</v>
      </c>
      <c r="B233" s="491">
        <v>4862</v>
      </c>
      <c r="C233" s="1843">
        <v>0</v>
      </c>
      <c r="D233" s="1843">
        <v>0</v>
      </c>
      <c r="E233" s="1846"/>
      <c r="F233" s="1842">
        <v>0</v>
      </c>
      <c r="G233" s="1842">
        <v>0</v>
      </c>
      <c r="H233" s="1846"/>
      <c r="I233" s="1851"/>
      <c r="J233" s="1846"/>
      <c r="K233" s="1846"/>
    </row>
    <row r="234" spans="1:11" ht="12.75" customHeight="1">
      <c r="A234" s="493" t="s">
        <v>359</v>
      </c>
      <c r="B234" s="491">
        <v>4863</v>
      </c>
      <c r="C234" s="1843">
        <v>0</v>
      </c>
      <c r="D234" s="1843">
        <v>0</v>
      </c>
      <c r="E234" s="1851"/>
      <c r="F234" s="1846"/>
      <c r="G234" s="1852"/>
      <c r="H234" s="1851"/>
      <c r="I234" s="1851"/>
      <c r="J234" s="1851"/>
      <c r="K234" s="1851"/>
    </row>
    <row r="235" spans="1:11" ht="12.75" customHeight="1">
      <c r="A235" s="493" t="s">
        <v>468</v>
      </c>
      <c r="B235" s="491">
        <v>4864</v>
      </c>
      <c r="C235" s="1843">
        <v>0</v>
      </c>
      <c r="D235" s="1843">
        <v>0</v>
      </c>
      <c r="E235" s="1842">
        <v>0</v>
      </c>
      <c r="F235" s="1842">
        <v>0</v>
      </c>
      <c r="G235" s="1842">
        <v>0</v>
      </c>
      <c r="H235" s="1842">
        <v>0</v>
      </c>
      <c r="I235" s="1851"/>
      <c r="J235" s="1842">
        <v>0</v>
      </c>
      <c r="K235" s="1842">
        <v>0</v>
      </c>
    </row>
    <row r="236" spans="1:11" ht="12.75" customHeight="1">
      <c r="A236" s="493" t="s">
        <v>469</v>
      </c>
      <c r="B236" s="491">
        <v>4865</v>
      </c>
      <c r="C236" s="1843">
        <v>0</v>
      </c>
      <c r="D236" s="1843">
        <v>0</v>
      </c>
      <c r="E236" s="1842">
        <v>0</v>
      </c>
      <c r="F236" s="1842">
        <v>0</v>
      </c>
      <c r="G236" s="1842">
        <v>0</v>
      </c>
      <c r="H236" s="1842">
        <v>0</v>
      </c>
      <c r="I236" s="1851"/>
      <c r="J236" s="1842">
        <v>0</v>
      </c>
      <c r="K236" s="1842">
        <v>0</v>
      </c>
    </row>
    <row r="237" spans="1:11" ht="12.75" customHeight="1">
      <c r="A237" s="493" t="s">
        <v>467</v>
      </c>
      <c r="B237" s="491">
        <v>4866</v>
      </c>
      <c r="C237" s="1843">
        <v>0</v>
      </c>
      <c r="D237" s="1843">
        <v>0</v>
      </c>
      <c r="E237" s="1842">
        <v>0</v>
      </c>
      <c r="F237" s="1842">
        <v>0</v>
      </c>
      <c r="G237" s="1842">
        <v>0</v>
      </c>
      <c r="H237" s="1842">
        <v>0</v>
      </c>
      <c r="I237" s="1851"/>
      <c r="J237" s="1842">
        <v>0</v>
      </c>
      <c r="K237" s="1842">
        <v>0</v>
      </c>
    </row>
    <row r="238" spans="1:11" ht="12.75" customHeight="1">
      <c r="A238" s="493" t="s">
        <v>466</v>
      </c>
      <c r="B238" s="491">
        <v>4867</v>
      </c>
      <c r="C238" s="1843">
        <v>0</v>
      </c>
      <c r="D238" s="1843">
        <v>0</v>
      </c>
      <c r="E238" s="1842">
        <v>0</v>
      </c>
      <c r="F238" s="1842">
        <v>0</v>
      </c>
      <c r="G238" s="1842">
        <v>0</v>
      </c>
      <c r="H238" s="1842">
        <v>0</v>
      </c>
      <c r="I238" s="1851"/>
      <c r="J238" s="1842">
        <v>0</v>
      </c>
      <c r="K238" s="1842">
        <v>0</v>
      </c>
    </row>
    <row r="239" spans="1:11" ht="12.75" customHeight="1">
      <c r="A239" s="493" t="s">
        <v>465</v>
      </c>
      <c r="B239" s="491">
        <v>4868</v>
      </c>
      <c r="C239" s="1843">
        <v>0</v>
      </c>
      <c r="D239" s="1843">
        <v>0</v>
      </c>
      <c r="E239" s="1842">
        <v>0</v>
      </c>
      <c r="F239" s="1842">
        <v>0</v>
      </c>
      <c r="G239" s="1842">
        <v>0</v>
      </c>
      <c r="H239" s="1842">
        <v>0</v>
      </c>
      <c r="I239" s="1851"/>
      <c r="J239" s="1842">
        <v>0</v>
      </c>
      <c r="K239" s="1842">
        <v>0</v>
      </c>
    </row>
    <row r="240" spans="1:11" ht="12.75" customHeight="1">
      <c r="A240" s="493" t="s">
        <v>464</v>
      </c>
      <c r="B240" s="491">
        <v>4869</v>
      </c>
      <c r="C240" s="1843">
        <v>0</v>
      </c>
      <c r="D240" s="1843">
        <v>0</v>
      </c>
      <c r="E240" s="1842">
        <v>314076</v>
      </c>
      <c r="F240" s="1842">
        <v>0</v>
      </c>
      <c r="G240" s="1842">
        <v>0</v>
      </c>
      <c r="H240" s="1842">
        <v>0</v>
      </c>
      <c r="I240" s="1851"/>
      <c r="J240" s="1842">
        <v>0</v>
      </c>
      <c r="K240" s="1842">
        <v>0</v>
      </c>
    </row>
    <row r="241" spans="1:11" ht="12.75" customHeight="1">
      <c r="A241" s="493" t="s">
        <v>1127</v>
      </c>
      <c r="B241" s="491">
        <v>4870</v>
      </c>
      <c r="C241" s="1843">
        <v>0</v>
      </c>
      <c r="D241" s="1843">
        <v>0</v>
      </c>
      <c r="E241" s="1842">
        <v>0</v>
      </c>
      <c r="F241" s="1842">
        <v>0</v>
      </c>
      <c r="G241" s="1842">
        <v>0</v>
      </c>
      <c r="H241" s="1842">
        <v>0</v>
      </c>
      <c r="I241" s="1851"/>
      <c r="J241" s="1842">
        <v>0</v>
      </c>
      <c r="K241" s="1842">
        <v>0</v>
      </c>
    </row>
    <row r="242" spans="1:11" ht="12.75" customHeight="1">
      <c r="A242" s="493" t="s">
        <v>787</v>
      </c>
      <c r="B242" s="491">
        <v>4871</v>
      </c>
      <c r="C242" s="1843">
        <v>0</v>
      </c>
      <c r="D242" s="1843">
        <v>0</v>
      </c>
      <c r="E242" s="1842">
        <v>0</v>
      </c>
      <c r="F242" s="1842">
        <v>0</v>
      </c>
      <c r="G242" s="1842">
        <v>0</v>
      </c>
      <c r="H242" s="1842">
        <v>0</v>
      </c>
      <c r="I242" s="1851"/>
      <c r="J242" s="1842">
        <v>0</v>
      </c>
      <c r="K242" s="1842">
        <v>0</v>
      </c>
    </row>
    <row r="243" spans="1:11" ht="12.75" customHeight="1">
      <c r="A243" s="493" t="s">
        <v>788</v>
      </c>
      <c r="B243" s="491">
        <v>4872</v>
      </c>
      <c r="C243" s="1843">
        <v>0</v>
      </c>
      <c r="D243" s="1843">
        <v>0</v>
      </c>
      <c r="E243" s="1842">
        <v>0</v>
      </c>
      <c r="F243" s="1842">
        <v>0</v>
      </c>
      <c r="G243" s="1842">
        <v>0</v>
      </c>
      <c r="H243" s="1842">
        <v>0</v>
      </c>
      <c r="I243" s="1851"/>
      <c r="J243" s="1842">
        <v>0</v>
      </c>
      <c r="K243" s="1842">
        <v>0</v>
      </c>
    </row>
    <row r="244" spans="1:11" ht="12.75" customHeight="1">
      <c r="A244" s="493" t="s">
        <v>789</v>
      </c>
      <c r="B244" s="491">
        <v>4873</v>
      </c>
      <c r="C244" s="1843">
        <v>0</v>
      </c>
      <c r="D244" s="1843">
        <v>0</v>
      </c>
      <c r="E244" s="1842">
        <v>0</v>
      </c>
      <c r="F244" s="1842">
        <v>0</v>
      </c>
      <c r="G244" s="1842">
        <v>0</v>
      </c>
      <c r="H244" s="1842">
        <v>0</v>
      </c>
      <c r="I244" s="1851"/>
      <c r="J244" s="1842">
        <v>0</v>
      </c>
      <c r="K244" s="1842">
        <v>0</v>
      </c>
    </row>
    <row r="245" spans="1:11" ht="12.75" customHeight="1">
      <c r="A245" s="493" t="s">
        <v>790</v>
      </c>
      <c r="B245" s="491">
        <v>4874</v>
      </c>
      <c r="C245" s="1843">
        <v>0</v>
      </c>
      <c r="D245" s="1843">
        <v>0</v>
      </c>
      <c r="E245" s="1842">
        <v>0</v>
      </c>
      <c r="F245" s="1842">
        <v>0</v>
      </c>
      <c r="G245" s="1842">
        <v>0</v>
      </c>
      <c r="H245" s="1842">
        <v>0</v>
      </c>
      <c r="I245" s="1851"/>
      <c r="J245" s="1842">
        <v>0</v>
      </c>
      <c r="K245" s="1842">
        <v>0</v>
      </c>
    </row>
    <row r="246" spans="1:11" ht="12.75" customHeight="1">
      <c r="A246" s="493" t="s">
        <v>470</v>
      </c>
      <c r="B246" s="491">
        <v>4875</v>
      </c>
      <c r="C246" s="1843">
        <v>0</v>
      </c>
      <c r="D246" s="1843">
        <v>0</v>
      </c>
      <c r="E246" s="1842">
        <v>0</v>
      </c>
      <c r="F246" s="1842">
        <v>0</v>
      </c>
      <c r="G246" s="1842">
        <v>0</v>
      </c>
      <c r="H246" s="1842">
        <v>0</v>
      </c>
      <c r="I246" s="1851"/>
      <c r="J246" s="1842">
        <v>0</v>
      </c>
      <c r="K246" s="1842">
        <v>0</v>
      </c>
    </row>
    <row r="247" spans="1:11" ht="12.75" customHeight="1">
      <c r="A247" s="493" t="s">
        <v>769</v>
      </c>
      <c r="B247" s="491">
        <v>4876</v>
      </c>
      <c r="C247" s="1843">
        <v>0</v>
      </c>
      <c r="D247" s="1843">
        <v>0</v>
      </c>
      <c r="E247" s="1842">
        <v>0</v>
      </c>
      <c r="F247" s="1842">
        <v>0</v>
      </c>
      <c r="G247" s="1842">
        <v>0</v>
      </c>
      <c r="H247" s="1842">
        <v>0</v>
      </c>
      <c r="I247" s="1851"/>
      <c r="J247" s="1842">
        <v>0</v>
      </c>
      <c r="K247" s="1842">
        <v>0</v>
      </c>
    </row>
    <row r="248" spans="1:11" ht="12.75" customHeight="1">
      <c r="A248" s="493" t="s">
        <v>770</v>
      </c>
      <c r="B248" s="491">
        <v>4877</v>
      </c>
      <c r="C248" s="1843">
        <v>0</v>
      </c>
      <c r="D248" s="1843">
        <v>0</v>
      </c>
      <c r="E248" s="1842">
        <v>0</v>
      </c>
      <c r="F248" s="1842">
        <v>0</v>
      </c>
      <c r="G248" s="1842">
        <v>0</v>
      </c>
      <c r="H248" s="1842">
        <v>0</v>
      </c>
      <c r="I248" s="1851"/>
      <c r="J248" s="1842">
        <v>0</v>
      </c>
      <c r="K248" s="1842">
        <v>0</v>
      </c>
    </row>
    <row r="249" spans="1:11" ht="12.75" customHeight="1">
      <c r="A249" s="493" t="s">
        <v>771</v>
      </c>
      <c r="B249" s="491">
        <v>4878</v>
      </c>
      <c r="C249" s="1843">
        <v>0</v>
      </c>
      <c r="D249" s="1843">
        <v>0</v>
      </c>
      <c r="E249" s="1842">
        <v>0</v>
      </c>
      <c r="F249" s="1842">
        <v>0</v>
      </c>
      <c r="G249" s="1842">
        <v>0</v>
      </c>
      <c r="H249" s="1842">
        <v>0</v>
      </c>
      <c r="I249" s="1851"/>
      <c r="J249" s="1842">
        <v>0</v>
      </c>
      <c r="K249" s="1842">
        <v>0</v>
      </c>
    </row>
    <row r="250" spans="1:11" ht="12.75" customHeight="1">
      <c r="A250" s="493" t="s">
        <v>772</v>
      </c>
      <c r="B250" s="491">
        <v>4879</v>
      </c>
      <c r="C250" s="1843">
        <v>0</v>
      </c>
      <c r="D250" s="1843">
        <v>0</v>
      </c>
      <c r="E250" s="1842">
        <v>0</v>
      </c>
      <c r="F250" s="1842">
        <v>0</v>
      </c>
      <c r="G250" s="1842">
        <v>0</v>
      </c>
      <c r="H250" s="1842">
        <v>0</v>
      </c>
      <c r="I250" s="1851"/>
      <c r="J250" s="1842">
        <v>0</v>
      </c>
      <c r="K250" s="1842">
        <v>0</v>
      </c>
    </row>
    <row r="251" spans="1:11" ht="12.75" customHeight="1">
      <c r="A251" s="225" t="s">
        <v>1452</v>
      </c>
      <c r="B251" s="573">
        <v>4880</v>
      </c>
      <c r="C251" s="1843">
        <v>0</v>
      </c>
      <c r="D251" s="1843">
        <v>0</v>
      </c>
      <c r="E251" s="1842">
        <v>0</v>
      </c>
      <c r="F251" s="1842">
        <v>0</v>
      </c>
      <c r="G251" s="1842">
        <v>0</v>
      </c>
      <c r="H251" s="1842">
        <v>0</v>
      </c>
      <c r="I251" s="1851"/>
      <c r="J251" s="1842">
        <v>0</v>
      </c>
      <c r="K251" s="1842">
        <v>0</v>
      </c>
    </row>
    <row r="252" spans="1:11" ht="12.75" customHeight="1" thickBot="1">
      <c r="A252" s="1632" t="s">
        <v>773</v>
      </c>
      <c r="B252" s="1633"/>
      <c r="C252" s="1625">
        <f t="shared" ref="C252:H252" si="9">SUM(C223:C251)</f>
        <v>0</v>
      </c>
      <c r="D252" s="1614">
        <f t="shared" si="9"/>
        <v>0</v>
      </c>
      <c r="E252" s="1614">
        <f t="shared" si="9"/>
        <v>314076</v>
      </c>
      <c r="F252" s="1614">
        <f t="shared" si="9"/>
        <v>0</v>
      </c>
      <c r="G252" s="1614">
        <f t="shared" si="9"/>
        <v>0</v>
      </c>
      <c r="H252" s="1614">
        <f t="shared" si="9"/>
        <v>0</v>
      </c>
      <c r="I252" s="551"/>
      <c r="J252" s="1614">
        <f>SUM(J223:J251)</f>
        <v>0</v>
      </c>
      <c r="K252" s="1595">
        <f>SUM(K223:K251)</f>
        <v>0</v>
      </c>
    </row>
    <row r="253" spans="1:11" ht="12.75" customHeight="1" thickTop="1">
      <c r="A253" s="1411" t="s">
        <v>1418</v>
      </c>
      <c r="B253" s="574">
        <v>4901</v>
      </c>
      <c r="C253" s="1843">
        <v>0</v>
      </c>
      <c r="D253" s="1845"/>
      <c r="E253" s="1851"/>
      <c r="F253" s="1851"/>
      <c r="G253" s="1851"/>
      <c r="H253" s="1851"/>
      <c r="I253" s="1851"/>
      <c r="J253" s="1851"/>
      <c r="K253" s="1851"/>
    </row>
    <row r="254" spans="1:11" ht="12.75" customHeight="1">
      <c r="A254" s="1412" t="s">
        <v>1460</v>
      </c>
      <c r="B254" s="575">
        <v>4902</v>
      </c>
      <c r="C254" s="1843">
        <v>0</v>
      </c>
      <c r="D254" s="1843">
        <v>0</v>
      </c>
      <c r="E254" s="1845"/>
      <c r="F254" s="1843">
        <v>0</v>
      </c>
      <c r="G254" s="1843">
        <v>0</v>
      </c>
      <c r="H254" s="1845"/>
      <c r="I254" s="1851"/>
      <c r="J254" s="1845"/>
      <c r="K254" s="1845"/>
    </row>
    <row r="255" spans="1:11" ht="12.75" customHeight="1" thickBot="1">
      <c r="A255" s="463" t="s">
        <v>1453</v>
      </c>
      <c r="B255" s="470">
        <v>4905</v>
      </c>
      <c r="C255" s="1843">
        <v>2470</v>
      </c>
      <c r="D255" s="1843">
        <v>0</v>
      </c>
      <c r="E255" s="1845"/>
      <c r="F255" s="1858"/>
      <c r="G255" s="1861">
        <v>0</v>
      </c>
      <c r="H255" s="1845"/>
      <c r="I255" s="1851"/>
      <c r="J255" s="1851"/>
      <c r="K255" s="1851"/>
    </row>
    <row r="256" spans="1:11" ht="12.75" customHeight="1" thickTop="1">
      <c r="A256" s="463" t="s">
        <v>1454</v>
      </c>
      <c r="B256" s="470">
        <v>4909</v>
      </c>
      <c r="C256" s="1843">
        <v>23496</v>
      </c>
      <c r="D256" s="1851"/>
      <c r="E256" s="1851"/>
      <c r="F256" s="1842">
        <v>0</v>
      </c>
      <c r="G256" s="1842">
        <v>0</v>
      </c>
      <c r="H256" s="1851"/>
      <c r="I256" s="1851"/>
      <c r="J256" s="1851"/>
      <c r="K256" s="1851"/>
    </row>
    <row r="257" spans="1:11" ht="12.75" customHeight="1">
      <c r="A257" s="463" t="s">
        <v>193</v>
      </c>
      <c r="B257" s="470">
        <v>4920</v>
      </c>
      <c r="C257" s="1843">
        <v>0</v>
      </c>
      <c r="D257" s="1851"/>
      <c r="E257" s="1851"/>
      <c r="F257" s="1842">
        <v>0</v>
      </c>
      <c r="G257" s="1842">
        <v>0</v>
      </c>
      <c r="H257" s="1851"/>
      <c r="I257" s="1851"/>
      <c r="J257" s="1851"/>
      <c r="K257" s="1851"/>
    </row>
    <row r="258" spans="1:11" ht="12.75" customHeight="1">
      <c r="A258" s="463" t="s">
        <v>420</v>
      </c>
      <c r="B258" s="470">
        <v>4930</v>
      </c>
      <c r="C258" s="1843">
        <v>0</v>
      </c>
      <c r="D258" s="1851"/>
      <c r="E258" s="1851"/>
      <c r="F258" s="1842">
        <v>0</v>
      </c>
      <c r="G258" s="1842">
        <v>0</v>
      </c>
      <c r="H258" s="1851"/>
      <c r="I258" s="1851"/>
      <c r="J258" s="1851"/>
      <c r="K258" s="1851"/>
    </row>
    <row r="259" spans="1:11" ht="12.75" customHeight="1">
      <c r="A259" s="463" t="s">
        <v>757</v>
      </c>
      <c r="B259" s="470">
        <v>4932</v>
      </c>
      <c r="C259" s="1843">
        <v>199204</v>
      </c>
      <c r="D259" s="1843">
        <v>0</v>
      </c>
      <c r="E259" s="1851"/>
      <c r="F259" s="1842">
        <v>0</v>
      </c>
      <c r="G259" s="1842">
        <v>0</v>
      </c>
      <c r="H259" s="1851"/>
      <c r="I259" s="1851"/>
      <c r="J259" s="1851"/>
      <c r="K259" s="1851"/>
    </row>
    <row r="260" spans="1:11" ht="12.75" customHeight="1">
      <c r="A260" s="463" t="s">
        <v>889</v>
      </c>
      <c r="B260" s="470">
        <v>4960</v>
      </c>
      <c r="C260" s="1843">
        <v>0</v>
      </c>
      <c r="D260" s="1843">
        <v>0</v>
      </c>
      <c r="E260" s="1851"/>
      <c r="F260" s="1842">
        <v>0</v>
      </c>
      <c r="G260" s="1842">
        <v>0</v>
      </c>
      <c r="H260" s="1851"/>
      <c r="I260" s="1851"/>
      <c r="J260" s="1851"/>
      <c r="K260" s="1851"/>
    </row>
    <row r="261" spans="1:11" ht="12.75" customHeight="1">
      <c r="A261" s="1836" t="s">
        <v>1908</v>
      </c>
      <c r="B261" s="470">
        <v>4981</v>
      </c>
      <c r="C261" s="1843">
        <v>0</v>
      </c>
      <c r="D261" s="1843">
        <v>0</v>
      </c>
      <c r="E261" s="1851"/>
      <c r="F261" s="1842">
        <v>0</v>
      </c>
      <c r="G261" s="1842">
        <v>0</v>
      </c>
      <c r="H261" s="1851"/>
      <c r="I261" s="1851"/>
      <c r="J261" s="1851"/>
      <c r="K261" s="1851"/>
    </row>
    <row r="262" spans="1:11" ht="12.75" customHeight="1">
      <c r="A262" s="1837" t="s">
        <v>1909</v>
      </c>
      <c r="B262" s="470">
        <v>4982</v>
      </c>
      <c r="C262" s="1843">
        <v>0</v>
      </c>
      <c r="D262" s="1843">
        <v>0</v>
      </c>
      <c r="E262" s="1851"/>
      <c r="F262" s="1842">
        <v>0</v>
      </c>
      <c r="G262" s="1842">
        <v>0</v>
      </c>
      <c r="H262" s="1851"/>
      <c r="I262" s="1851"/>
      <c r="J262" s="1851"/>
      <c r="K262" s="1851"/>
    </row>
    <row r="263" spans="1:11" ht="12.75" customHeight="1">
      <c r="A263" s="463" t="s">
        <v>567</v>
      </c>
      <c r="B263" s="470">
        <v>4991</v>
      </c>
      <c r="C263" s="1843">
        <v>0</v>
      </c>
      <c r="D263" s="1843">
        <v>0</v>
      </c>
      <c r="E263" s="1851"/>
      <c r="F263" s="1842">
        <v>0</v>
      </c>
      <c r="G263" s="1842">
        <v>0</v>
      </c>
      <c r="H263" s="1851"/>
      <c r="I263" s="1851"/>
      <c r="J263" s="1851"/>
      <c r="K263" s="1851"/>
    </row>
    <row r="264" spans="1:11" ht="12.75" customHeight="1">
      <c r="A264" s="463" t="s">
        <v>376</v>
      </c>
      <c r="B264" s="470">
        <v>4992</v>
      </c>
      <c r="C264" s="1843">
        <v>155290</v>
      </c>
      <c r="D264" s="1843">
        <v>0</v>
      </c>
      <c r="E264" s="1851"/>
      <c r="F264" s="1842">
        <v>0</v>
      </c>
      <c r="G264" s="1842">
        <v>0</v>
      </c>
      <c r="H264" s="1851"/>
      <c r="I264" s="1851"/>
      <c r="J264" s="1851"/>
      <c r="K264" s="1851"/>
    </row>
    <row r="265" spans="1:11" s="576" customFormat="1" ht="12.75" customHeight="1" thickBot="1">
      <c r="A265" s="560" t="s">
        <v>75</v>
      </c>
      <c r="B265" s="555">
        <v>4999</v>
      </c>
      <c r="C265" s="1843">
        <v>654408</v>
      </c>
      <c r="D265" s="1843">
        <v>0</v>
      </c>
      <c r="E265" s="1851"/>
      <c r="F265" s="1842">
        <v>0</v>
      </c>
      <c r="G265" s="1842">
        <v>0</v>
      </c>
      <c r="H265" s="1842">
        <v>0</v>
      </c>
      <c r="I265" s="1851"/>
      <c r="J265" s="1851"/>
      <c r="K265" s="1842">
        <v>0</v>
      </c>
    </row>
    <row r="266" spans="1:11" ht="14.25" thickTop="1" thickBot="1">
      <c r="A266" s="1615" t="s">
        <v>1659</v>
      </c>
      <c r="B266" s="1634"/>
      <c r="C266" s="1622">
        <f t="shared" ref="C266:H266" si="10">SUM(C188,C198,C204,C209,C217,C221,C222,C252:C265)</f>
        <v>5779702</v>
      </c>
      <c r="D266" s="1622">
        <f t="shared" si="10"/>
        <v>0</v>
      </c>
      <c r="E266" s="1622">
        <f t="shared" si="10"/>
        <v>314076</v>
      </c>
      <c r="F266" s="1622">
        <f t="shared" si="10"/>
        <v>0</v>
      </c>
      <c r="G266" s="1622">
        <f t="shared" si="10"/>
        <v>0</v>
      </c>
      <c r="H266" s="1622">
        <f t="shared" si="10"/>
        <v>0</v>
      </c>
      <c r="I266" s="468"/>
      <c r="J266" s="1622">
        <f>SUM(J188,J198,J204,J209,J217,J221,J222,J252:J265)</f>
        <v>0</v>
      </c>
      <c r="K266" s="1609">
        <f>SUM(K188,K198,K204,K209,K217,K221,K222,K252:K265)</f>
        <v>0</v>
      </c>
    </row>
    <row r="267" spans="1:11" ht="14.25" thickTop="1" thickBot="1">
      <c r="A267" s="1635" t="s">
        <v>1085</v>
      </c>
      <c r="B267" s="1636" t="s">
        <v>859</v>
      </c>
      <c r="C267" s="1622">
        <f>SUM(C175,C181,C266)</f>
        <v>5779702</v>
      </c>
      <c r="D267" s="1622">
        <f>SUM(D175,D181,D266)</f>
        <v>0</v>
      </c>
      <c r="E267" s="1622">
        <f>SUM(E175,E266)</f>
        <v>314076</v>
      </c>
      <c r="F267" s="1622">
        <f t="shared" ref="F267:K267" si="11">SUM(F175,F181,F266)</f>
        <v>0</v>
      </c>
      <c r="G267" s="1622">
        <f t="shared" si="11"/>
        <v>0</v>
      </c>
      <c r="H267" s="1622">
        <f t="shared" si="11"/>
        <v>0</v>
      </c>
      <c r="I267" s="1622">
        <f t="shared" si="11"/>
        <v>0</v>
      </c>
      <c r="J267" s="1622">
        <f t="shared" si="11"/>
        <v>0</v>
      </c>
      <c r="K267" s="1609">
        <f t="shared" si="11"/>
        <v>0</v>
      </c>
    </row>
    <row r="268" spans="1:11" ht="14.25" thickTop="1" thickBot="1">
      <c r="A268" s="1637" t="s">
        <v>251</v>
      </c>
      <c r="B268" s="1638"/>
      <c r="C268" s="1622">
        <f t="shared" ref="C268:K268" si="12">SUM(C109,C114,C170,C267)</f>
        <v>81968771</v>
      </c>
      <c r="D268" s="1622">
        <f t="shared" si="12"/>
        <v>9971994</v>
      </c>
      <c r="E268" s="1622">
        <f t="shared" si="12"/>
        <v>7837365</v>
      </c>
      <c r="F268" s="1622">
        <f t="shared" si="12"/>
        <v>8282657</v>
      </c>
      <c r="G268" s="1622">
        <f t="shared" si="12"/>
        <v>3802054</v>
      </c>
      <c r="H268" s="1622">
        <f t="shared" si="12"/>
        <v>197153</v>
      </c>
      <c r="I268" s="1622">
        <f t="shared" si="12"/>
        <v>1273500</v>
      </c>
      <c r="J268" s="1622">
        <f t="shared" si="12"/>
        <v>4361898</v>
      </c>
      <c r="K268" s="1609">
        <f t="shared" si="12"/>
        <v>0</v>
      </c>
    </row>
    <row r="269" spans="1:11" ht="13.5" thickTop="1">
      <c r="C269" s="579"/>
      <c r="D269" s="579"/>
      <c r="E269" s="579"/>
      <c r="F269" s="579"/>
      <c r="G269" s="579"/>
      <c r="H269" s="579"/>
      <c r="I269" s="579"/>
      <c r="J269" s="579"/>
      <c r="K269" s="579"/>
    </row>
    <row r="270" spans="1:11">
      <c r="C270" s="579"/>
      <c r="D270" s="579"/>
      <c r="E270" s="579"/>
      <c r="F270" s="579"/>
      <c r="G270" s="579"/>
      <c r="H270" s="579"/>
      <c r="I270" s="579"/>
      <c r="J270" s="579"/>
      <c r="K270" s="579"/>
    </row>
    <row r="271" spans="1:11">
      <c r="C271" s="579"/>
      <c r="D271" s="579"/>
      <c r="E271" s="579"/>
      <c r="F271" s="579"/>
      <c r="G271" s="579"/>
      <c r="H271" s="579"/>
      <c r="I271" s="579"/>
      <c r="J271" s="579"/>
      <c r="K271" s="579"/>
    </row>
    <row r="272" spans="1:11">
      <c r="C272" s="579"/>
      <c r="D272" s="579"/>
      <c r="E272" s="579"/>
      <c r="F272" s="579"/>
      <c r="G272" s="579"/>
      <c r="H272" s="579"/>
      <c r="I272" s="579"/>
      <c r="J272" s="579"/>
      <c r="K272" s="579"/>
    </row>
    <row r="273" spans="1:11">
      <c r="C273" s="579"/>
      <c r="D273" s="579"/>
      <c r="E273" s="579"/>
      <c r="F273" s="579"/>
      <c r="G273" s="579"/>
      <c r="H273" s="579"/>
      <c r="I273" s="579"/>
      <c r="J273" s="579"/>
      <c r="K273" s="579"/>
    </row>
    <row r="274" spans="1:11">
      <c r="C274" s="579"/>
      <c r="D274" s="579"/>
      <c r="E274" s="579"/>
      <c r="F274" s="579"/>
      <c r="G274" s="579"/>
      <c r="H274" s="579"/>
      <c r="I274" s="579"/>
      <c r="J274" s="579"/>
      <c r="K274" s="579"/>
    </row>
    <row r="275" spans="1:11" s="329" customFormat="1">
      <c r="A275" s="577"/>
      <c r="B275" s="578"/>
      <c r="C275" s="579"/>
      <c r="D275" s="579"/>
      <c r="E275" s="579"/>
      <c r="F275" s="579"/>
      <c r="G275" s="579"/>
      <c r="H275" s="579"/>
      <c r="I275" s="579"/>
      <c r="J275" s="579"/>
      <c r="K275" s="579"/>
    </row>
    <row r="276" spans="1:11" s="329" customFormat="1">
      <c r="A276" s="577"/>
    </row>
    <row r="277" spans="1:11" s="329" customFormat="1">
      <c r="A277" s="580"/>
    </row>
    <row r="278" spans="1:11" s="329" customFormat="1">
      <c r="A278" s="580"/>
    </row>
    <row r="279" spans="1:11" s="329" customFormat="1">
      <c r="A279" s="580"/>
    </row>
  </sheetData>
  <mergeCells count="7">
    <mergeCell ref="A1:A2"/>
    <mergeCell ref="A169:B169"/>
    <mergeCell ref="A172:B172"/>
    <mergeCell ref="A182:B182"/>
    <mergeCell ref="A175:B175"/>
    <mergeCell ref="A181:B181"/>
    <mergeCell ref="A176:B176"/>
  </mergeCells>
  <phoneticPr fontId="17"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25:F131 C134:G140 C146:K150 C152:G154 C156:G159 C160:K168 C173:K174 C177:K180 C184:G187 C190:G197 C200:G203 C206:G208 C211:G216 C219:G220 C222:K251 C255:K265 C254 D253:K254 C117:K121">
      <formula1>0</formula1>
    </dataValidation>
    <dataValidation type="whole" operator="greaterThanOrEqual" allowBlank="1" showInputMessage="1" showErrorMessage="1" error="Please enter a whole number.  Decimals not allowed." sqref="C65:K66">
      <formula1>-99999999999999</formula1>
    </dataValidation>
    <dataValidation type="whole" operator="greaterThan" allowBlank="1" showInputMessage="1" showErrorMessage="1" error="Please enter a whole number.  Decimals not allowed." sqref="D143:F144">
      <formula1>0</formula1>
    </dataValidation>
    <dataValidation type="whole" operator="greaterThan" allowBlank="1" showInputMessage="1" showErrorMessage="1" error="Please enter a whole number.  Decimals not allowed." sqref="C143:C144 G143:G144">
      <formula1>-9999999999999</formula1>
    </dataValidation>
    <dataValidation operator="greaterThanOrEqual" allowBlank="1" showInputMessage="1" showErrorMessage="1" error="Please enter a whole number.  Decimals not allowed." sqref="C253"/>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Normal="100" workbookViewId="0">
      <pane ySplit="2" topLeftCell="A3" activePane="bottomLeft" state="frozen"/>
      <selection activeCell="A4" sqref="A4:F4"/>
      <selection pane="bottomLeft" activeCell="A4" sqref="A4:F4"/>
    </sheetView>
  </sheetViews>
  <sheetFormatPr defaultColWidth="9.140625" defaultRowHeight="12.75"/>
  <cols>
    <col min="1" max="1" width="48.5703125" style="687" customWidth="1"/>
    <col min="2" max="2" width="5" style="688" customWidth="1"/>
    <col min="3" max="8" width="13.28515625" style="592" customWidth="1"/>
    <col min="9" max="10" width="13.28515625" style="343" customWidth="1"/>
    <col min="11" max="11" width="13.28515625" style="689" customWidth="1"/>
    <col min="12" max="12" width="11.85546875" style="343" customWidth="1"/>
    <col min="13" max="13" width="1.5703125" style="210" customWidth="1"/>
    <col min="14" max="14" width="9.140625" style="210"/>
    <col min="15" max="16384" width="9.140625" style="329"/>
  </cols>
  <sheetData>
    <row r="1" spans="1:14">
      <c r="A1" s="2152" t="s">
        <v>1774</v>
      </c>
      <c r="B1" s="585"/>
      <c r="C1" s="586" t="s">
        <v>774</v>
      </c>
      <c r="D1" s="586" t="s">
        <v>1077</v>
      </c>
      <c r="E1" s="586" t="s">
        <v>1078</v>
      </c>
      <c r="F1" s="586" t="s">
        <v>1079</v>
      </c>
      <c r="G1" s="586" t="s">
        <v>1080</v>
      </c>
      <c r="H1" s="586" t="s">
        <v>1081</v>
      </c>
      <c r="I1" s="586" t="s">
        <v>1082</v>
      </c>
      <c r="J1" s="586" t="s">
        <v>1083</v>
      </c>
      <c r="K1" s="586" t="s">
        <v>252</v>
      </c>
      <c r="L1" s="587"/>
    </row>
    <row r="2" spans="1:14" s="591" customFormat="1" ht="28.5" customHeight="1">
      <c r="A2" s="2186"/>
      <c r="B2" s="588" t="s">
        <v>45</v>
      </c>
      <c r="C2" s="589" t="s">
        <v>194</v>
      </c>
      <c r="D2" s="590" t="s">
        <v>49</v>
      </c>
      <c r="E2" s="590" t="s">
        <v>1099</v>
      </c>
      <c r="F2" s="590" t="s">
        <v>1093</v>
      </c>
      <c r="G2" s="589" t="s">
        <v>1094</v>
      </c>
      <c r="H2" s="589" t="s">
        <v>1095</v>
      </c>
      <c r="I2" s="590" t="s">
        <v>290</v>
      </c>
      <c r="J2" s="590" t="s">
        <v>291</v>
      </c>
      <c r="K2" s="589" t="s">
        <v>156</v>
      </c>
      <c r="L2" s="589" t="s">
        <v>30</v>
      </c>
      <c r="M2" s="257"/>
      <c r="N2" s="257"/>
    </row>
    <row r="3" spans="1:14" s="343" customFormat="1" ht="16.7" customHeight="1">
      <c r="A3" s="2192" t="s">
        <v>296</v>
      </c>
      <c r="B3" s="2193"/>
      <c r="C3" s="1457"/>
      <c r="D3" s="1457"/>
      <c r="E3" s="1457"/>
      <c r="F3" s="1457"/>
      <c r="G3" s="1457"/>
      <c r="H3" s="1457"/>
      <c r="I3" s="1457"/>
      <c r="J3" s="1457"/>
      <c r="K3" s="1458"/>
      <c r="L3" s="1459"/>
      <c r="M3" s="592"/>
      <c r="N3" s="592"/>
    </row>
    <row r="4" spans="1:14" s="259" customFormat="1" ht="15.75" customHeight="1">
      <c r="A4" s="1515" t="s">
        <v>44</v>
      </c>
      <c r="B4" s="1516" t="s">
        <v>569</v>
      </c>
      <c r="C4" s="593"/>
      <c r="D4" s="593"/>
      <c r="E4" s="593"/>
      <c r="F4" s="593"/>
      <c r="G4" s="593"/>
      <c r="H4" s="593"/>
      <c r="I4" s="594"/>
      <c r="J4" s="593"/>
      <c r="K4" s="595"/>
      <c r="L4" s="593"/>
      <c r="M4" s="596"/>
      <c r="N4" s="596"/>
    </row>
    <row r="5" spans="1:14">
      <c r="A5" s="1413" t="s">
        <v>960</v>
      </c>
      <c r="B5" s="597">
        <v>1100</v>
      </c>
      <c r="C5" s="1843">
        <v>21092929</v>
      </c>
      <c r="D5" s="1843">
        <v>4195900</v>
      </c>
      <c r="E5" s="1843">
        <v>605567</v>
      </c>
      <c r="F5" s="1843">
        <v>702710</v>
      </c>
      <c r="G5" s="1843">
        <v>49296</v>
      </c>
      <c r="H5" s="1843">
        <v>9628</v>
      </c>
      <c r="I5" s="1843">
        <v>144156</v>
      </c>
      <c r="J5" s="1843">
        <v>0</v>
      </c>
      <c r="K5" s="1578">
        <f>SUM(C5:J5)</f>
        <v>26800186</v>
      </c>
      <c r="L5" s="1843">
        <v>27504681</v>
      </c>
    </row>
    <row r="6" spans="1:14">
      <c r="A6" s="1413" t="s">
        <v>1430</v>
      </c>
      <c r="B6" s="597" t="s">
        <v>1428</v>
      </c>
      <c r="C6" s="1856"/>
      <c r="D6" s="1856"/>
      <c r="E6" s="1843">
        <v>0</v>
      </c>
      <c r="F6" s="1856"/>
      <c r="G6" s="1856"/>
      <c r="H6" s="1856"/>
      <c r="I6" s="1856"/>
      <c r="J6" s="1856"/>
      <c r="K6" s="1578">
        <f>SUM(C6,E6)</f>
        <v>0</v>
      </c>
      <c r="L6" s="1843">
        <v>0</v>
      </c>
    </row>
    <row r="7" spans="1:14">
      <c r="A7" s="1413" t="s">
        <v>163</v>
      </c>
      <c r="B7" s="597" t="s">
        <v>966</v>
      </c>
      <c r="C7" s="1843">
        <v>0</v>
      </c>
      <c r="D7" s="1843">
        <v>0</v>
      </c>
      <c r="E7" s="1843">
        <v>0</v>
      </c>
      <c r="F7" s="1843">
        <v>0</v>
      </c>
      <c r="G7" s="1843">
        <v>0</v>
      </c>
      <c r="H7" s="1843">
        <v>0</v>
      </c>
      <c r="I7" s="1843">
        <v>0</v>
      </c>
      <c r="J7" s="1843">
        <v>0</v>
      </c>
      <c r="K7" s="1578">
        <f t="shared" ref="K7:K32" si="0">SUM(C7:J7)</f>
        <v>0</v>
      </c>
      <c r="L7" s="1843">
        <v>0</v>
      </c>
    </row>
    <row r="8" spans="1:14">
      <c r="A8" s="1413" t="s">
        <v>164</v>
      </c>
      <c r="B8" s="597">
        <v>1200</v>
      </c>
      <c r="C8" s="1843">
        <v>8611027</v>
      </c>
      <c r="D8" s="1843">
        <v>1894799</v>
      </c>
      <c r="E8" s="1843">
        <v>84614</v>
      </c>
      <c r="F8" s="1843">
        <v>24803</v>
      </c>
      <c r="G8" s="1843">
        <v>0</v>
      </c>
      <c r="H8" s="1843">
        <v>19</v>
      </c>
      <c r="I8" s="1843">
        <v>1418</v>
      </c>
      <c r="J8" s="1843">
        <v>0</v>
      </c>
      <c r="K8" s="1578">
        <f t="shared" si="0"/>
        <v>10616680</v>
      </c>
      <c r="L8" s="1843">
        <v>11568944</v>
      </c>
    </row>
    <row r="9" spans="1:14">
      <c r="A9" s="1413" t="s">
        <v>720</v>
      </c>
      <c r="B9" s="597" t="s">
        <v>967</v>
      </c>
      <c r="C9" s="1843">
        <v>0</v>
      </c>
      <c r="D9" s="1843">
        <v>0</v>
      </c>
      <c r="E9" s="1843">
        <v>0</v>
      </c>
      <c r="F9" s="1843">
        <v>0</v>
      </c>
      <c r="G9" s="1843">
        <v>0</v>
      </c>
      <c r="H9" s="1843">
        <v>0</v>
      </c>
      <c r="I9" s="1843">
        <v>0</v>
      </c>
      <c r="J9" s="1843">
        <v>0</v>
      </c>
      <c r="K9" s="1578">
        <f t="shared" si="0"/>
        <v>0</v>
      </c>
      <c r="L9" s="1843">
        <v>0</v>
      </c>
    </row>
    <row r="10" spans="1:14">
      <c r="A10" s="1413" t="s">
        <v>721</v>
      </c>
      <c r="B10" s="597">
        <v>1250</v>
      </c>
      <c r="C10" s="1843">
        <v>0</v>
      </c>
      <c r="D10" s="1843">
        <v>0</v>
      </c>
      <c r="E10" s="1843">
        <v>0</v>
      </c>
      <c r="F10" s="1843">
        <v>0</v>
      </c>
      <c r="G10" s="1843">
        <v>0</v>
      </c>
      <c r="H10" s="1843">
        <v>0</v>
      </c>
      <c r="I10" s="1843">
        <v>0</v>
      </c>
      <c r="J10" s="1843">
        <v>0</v>
      </c>
      <c r="K10" s="1578">
        <f t="shared" si="0"/>
        <v>0</v>
      </c>
      <c r="L10" s="1843">
        <v>0</v>
      </c>
    </row>
    <row r="11" spans="1:14">
      <c r="A11" s="1413" t="s">
        <v>1129</v>
      </c>
      <c r="B11" s="597" t="s">
        <v>161</v>
      </c>
      <c r="C11" s="1843">
        <v>0</v>
      </c>
      <c r="D11" s="1843">
        <v>0</v>
      </c>
      <c r="E11" s="1843">
        <v>0</v>
      </c>
      <c r="F11" s="1843">
        <v>0</v>
      </c>
      <c r="G11" s="1843">
        <v>0</v>
      </c>
      <c r="H11" s="1843">
        <v>0</v>
      </c>
      <c r="I11" s="1843">
        <v>0</v>
      </c>
      <c r="J11" s="1843">
        <v>0</v>
      </c>
      <c r="K11" s="1578">
        <f t="shared" si="0"/>
        <v>0</v>
      </c>
      <c r="L11" s="1843">
        <v>0</v>
      </c>
    </row>
    <row r="12" spans="1:14">
      <c r="A12" s="1413" t="s">
        <v>961</v>
      </c>
      <c r="B12" s="597">
        <v>1300</v>
      </c>
      <c r="C12" s="1843">
        <v>0</v>
      </c>
      <c r="D12" s="1843">
        <v>0</v>
      </c>
      <c r="E12" s="1843">
        <v>0</v>
      </c>
      <c r="F12" s="1843">
        <v>0</v>
      </c>
      <c r="G12" s="1843">
        <v>0</v>
      </c>
      <c r="H12" s="1843">
        <v>0</v>
      </c>
      <c r="I12" s="1843">
        <v>0</v>
      </c>
      <c r="J12" s="1843">
        <v>97</v>
      </c>
      <c r="K12" s="1578">
        <f t="shared" si="0"/>
        <v>97</v>
      </c>
      <c r="L12" s="1843">
        <v>0</v>
      </c>
    </row>
    <row r="13" spans="1:14">
      <c r="A13" s="1413" t="s">
        <v>722</v>
      </c>
      <c r="B13" s="597">
        <v>1400</v>
      </c>
      <c r="C13" s="1843">
        <v>4191582</v>
      </c>
      <c r="D13" s="1843">
        <v>896039</v>
      </c>
      <c r="E13" s="1843">
        <v>4455</v>
      </c>
      <c r="F13" s="1843">
        <v>51353</v>
      </c>
      <c r="G13" s="1843">
        <v>0</v>
      </c>
      <c r="H13" s="1843">
        <v>0</v>
      </c>
      <c r="I13" s="1843">
        <v>0</v>
      </c>
      <c r="J13" s="1843">
        <v>0</v>
      </c>
      <c r="K13" s="1578">
        <f t="shared" si="0"/>
        <v>5143429</v>
      </c>
      <c r="L13" s="1843">
        <v>4630198</v>
      </c>
    </row>
    <row r="14" spans="1:14">
      <c r="A14" s="1413" t="s">
        <v>962</v>
      </c>
      <c r="B14" s="597">
        <v>1500</v>
      </c>
      <c r="C14" s="1843">
        <v>1536194</v>
      </c>
      <c r="D14" s="1843">
        <v>91009</v>
      </c>
      <c r="E14" s="1843">
        <v>291316</v>
      </c>
      <c r="F14" s="1843">
        <v>243563</v>
      </c>
      <c r="G14" s="1843">
        <v>11079</v>
      </c>
      <c r="H14" s="1843">
        <v>99988</v>
      </c>
      <c r="I14" s="1843">
        <v>0</v>
      </c>
      <c r="J14" s="1843">
        <v>0</v>
      </c>
      <c r="K14" s="1578">
        <f t="shared" si="0"/>
        <v>2273149</v>
      </c>
      <c r="L14" s="1843">
        <v>2350189</v>
      </c>
    </row>
    <row r="15" spans="1:14">
      <c r="A15" s="1413" t="s">
        <v>963</v>
      </c>
      <c r="B15" s="597">
        <v>1600</v>
      </c>
      <c r="C15" s="1843">
        <v>78111</v>
      </c>
      <c r="D15" s="1843">
        <v>1099</v>
      </c>
      <c r="E15" s="1843">
        <v>0</v>
      </c>
      <c r="F15" s="1843">
        <v>60</v>
      </c>
      <c r="G15" s="1843">
        <v>0</v>
      </c>
      <c r="H15" s="1843">
        <v>0</v>
      </c>
      <c r="I15" s="1843">
        <v>0</v>
      </c>
      <c r="J15" s="1843">
        <v>0</v>
      </c>
      <c r="K15" s="1578">
        <f t="shared" si="0"/>
        <v>79270</v>
      </c>
      <c r="L15" s="1843">
        <v>89840</v>
      </c>
    </row>
    <row r="16" spans="1:14">
      <c r="A16" s="1413" t="s">
        <v>986</v>
      </c>
      <c r="B16" s="597" t="s">
        <v>423</v>
      </c>
      <c r="C16" s="1843">
        <v>0</v>
      </c>
      <c r="D16" s="1843">
        <v>0</v>
      </c>
      <c r="E16" s="1843">
        <v>0</v>
      </c>
      <c r="F16" s="1843">
        <v>0</v>
      </c>
      <c r="G16" s="1843">
        <v>0</v>
      </c>
      <c r="H16" s="1843">
        <v>0</v>
      </c>
      <c r="I16" s="1843">
        <v>0</v>
      </c>
      <c r="J16" s="1843">
        <v>0</v>
      </c>
      <c r="K16" s="1578">
        <f t="shared" si="0"/>
        <v>0</v>
      </c>
      <c r="L16" s="1843">
        <v>0</v>
      </c>
    </row>
    <row r="17" spans="1:12">
      <c r="A17" s="1413" t="s">
        <v>723</v>
      </c>
      <c r="B17" s="597" t="s">
        <v>162</v>
      </c>
      <c r="C17" s="1843">
        <v>306532</v>
      </c>
      <c r="D17" s="1843">
        <v>3535</v>
      </c>
      <c r="E17" s="1843">
        <v>5071</v>
      </c>
      <c r="F17" s="1843">
        <v>12786</v>
      </c>
      <c r="G17" s="1843">
        <v>19265</v>
      </c>
      <c r="H17" s="1843">
        <v>0</v>
      </c>
      <c r="I17" s="1843">
        <v>0</v>
      </c>
      <c r="J17" s="1843">
        <v>0</v>
      </c>
      <c r="K17" s="1578">
        <f t="shared" si="0"/>
        <v>347189</v>
      </c>
      <c r="L17" s="1843">
        <v>337116</v>
      </c>
    </row>
    <row r="18" spans="1:12">
      <c r="A18" s="1413" t="s">
        <v>1086</v>
      </c>
      <c r="B18" s="597">
        <v>1800</v>
      </c>
      <c r="C18" s="1843">
        <v>2432</v>
      </c>
      <c r="D18" s="1843">
        <v>78</v>
      </c>
      <c r="E18" s="1843">
        <v>15510</v>
      </c>
      <c r="F18" s="1843">
        <v>1618</v>
      </c>
      <c r="G18" s="1843">
        <v>0</v>
      </c>
      <c r="H18" s="1843">
        <v>0</v>
      </c>
      <c r="I18" s="1843">
        <v>0</v>
      </c>
      <c r="J18" s="1843">
        <v>0</v>
      </c>
      <c r="K18" s="1578">
        <f t="shared" si="0"/>
        <v>19638</v>
      </c>
      <c r="L18" s="1843">
        <v>143771</v>
      </c>
    </row>
    <row r="19" spans="1:12">
      <c r="A19" s="1413" t="s">
        <v>134</v>
      </c>
      <c r="B19" s="597">
        <v>1900</v>
      </c>
      <c r="C19" s="1843">
        <v>0</v>
      </c>
      <c r="D19" s="1843">
        <v>0</v>
      </c>
      <c r="E19" s="1843">
        <v>0</v>
      </c>
      <c r="F19" s="1843">
        <v>0</v>
      </c>
      <c r="G19" s="1843">
        <v>0</v>
      </c>
      <c r="H19" s="1843">
        <v>0</v>
      </c>
      <c r="I19" s="1843">
        <v>0</v>
      </c>
      <c r="J19" s="1843">
        <v>0</v>
      </c>
      <c r="K19" s="1578">
        <f t="shared" si="0"/>
        <v>0</v>
      </c>
      <c r="L19" s="1843">
        <v>0</v>
      </c>
    </row>
    <row r="20" spans="1:12">
      <c r="A20" s="1414" t="s">
        <v>737</v>
      </c>
      <c r="B20" s="585" t="s">
        <v>724</v>
      </c>
      <c r="C20" s="1856"/>
      <c r="D20" s="1856"/>
      <c r="E20" s="1856"/>
      <c r="F20" s="1856"/>
      <c r="G20" s="1856"/>
      <c r="H20" s="1843">
        <v>0</v>
      </c>
      <c r="I20" s="1851"/>
      <c r="J20" s="1846"/>
      <c r="K20" s="1578">
        <f t="shared" si="0"/>
        <v>0</v>
      </c>
      <c r="L20" s="1843">
        <v>0</v>
      </c>
    </row>
    <row r="21" spans="1:12">
      <c r="A21" s="1414" t="s">
        <v>738</v>
      </c>
      <c r="B21" s="585" t="s">
        <v>725</v>
      </c>
      <c r="C21" s="1856"/>
      <c r="D21" s="1856"/>
      <c r="E21" s="1856"/>
      <c r="F21" s="1856"/>
      <c r="G21" s="1856"/>
      <c r="H21" s="1843">
        <v>0</v>
      </c>
      <c r="I21" s="1851"/>
      <c r="J21" s="1856"/>
      <c r="K21" s="1578">
        <f t="shared" si="0"/>
        <v>0</v>
      </c>
      <c r="L21" s="1843">
        <v>0</v>
      </c>
    </row>
    <row r="22" spans="1:12">
      <c r="A22" s="1414" t="s">
        <v>739</v>
      </c>
      <c r="B22" s="585" t="s">
        <v>726</v>
      </c>
      <c r="C22" s="1856"/>
      <c r="D22" s="1856"/>
      <c r="E22" s="1856"/>
      <c r="F22" s="1856"/>
      <c r="G22" s="1856"/>
      <c r="H22" s="1843">
        <v>4386755</v>
      </c>
      <c r="I22" s="1851"/>
      <c r="J22" s="1856"/>
      <c r="K22" s="1578">
        <f t="shared" si="0"/>
        <v>4386755</v>
      </c>
      <c r="L22" s="1843">
        <v>4800000</v>
      </c>
    </row>
    <row r="23" spans="1:12">
      <c r="A23" s="1414" t="s">
        <v>740</v>
      </c>
      <c r="B23" s="585" t="s">
        <v>727</v>
      </c>
      <c r="C23" s="1856"/>
      <c r="D23" s="1856"/>
      <c r="E23" s="1856"/>
      <c r="F23" s="1856"/>
      <c r="G23" s="1856"/>
      <c r="H23" s="1843">
        <v>0</v>
      </c>
      <c r="I23" s="1851"/>
      <c r="J23" s="1856"/>
      <c r="K23" s="1578">
        <f t="shared" si="0"/>
        <v>0</v>
      </c>
      <c r="L23" s="1843">
        <v>0</v>
      </c>
    </row>
    <row r="24" spans="1:12" ht="12.75" customHeight="1">
      <c r="A24" s="1414" t="s">
        <v>741</v>
      </c>
      <c r="B24" s="585" t="s">
        <v>728</v>
      </c>
      <c r="C24" s="1856"/>
      <c r="D24" s="1856"/>
      <c r="E24" s="1856"/>
      <c r="F24" s="1856"/>
      <c r="G24" s="1856"/>
      <c r="H24" s="1843">
        <v>0</v>
      </c>
      <c r="I24" s="1851"/>
      <c r="J24" s="1856"/>
      <c r="K24" s="1578">
        <f t="shared" si="0"/>
        <v>0</v>
      </c>
      <c r="L24" s="1843">
        <v>0</v>
      </c>
    </row>
    <row r="25" spans="1:12" ht="12.75" customHeight="1">
      <c r="A25" s="1414" t="s">
        <v>801</v>
      </c>
      <c r="B25" s="585" t="s">
        <v>729</v>
      </c>
      <c r="C25" s="1856"/>
      <c r="D25" s="1856"/>
      <c r="E25" s="1856"/>
      <c r="F25" s="1856"/>
      <c r="G25" s="1856"/>
      <c r="H25" s="1843">
        <v>0</v>
      </c>
      <c r="I25" s="1851"/>
      <c r="J25" s="1856"/>
      <c r="K25" s="1578">
        <f t="shared" si="0"/>
        <v>0</v>
      </c>
      <c r="L25" s="1843">
        <v>0</v>
      </c>
    </row>
    <row r="26" spans="1:12">
      <c r="A26" s="1414" t="s">
        <v>621</v>
      </c>
      <c r="B26" s="585" t="s">
        <v>730</v>
      </c>
      <c r="C26" s="1856"/>
      <c r="D26" s="1856"/>
      <c r="E26" s="1856"/>
      <c r="F26" s="1856"/>
      <c r="G26" s="1856"/>
      <c r="H26" s="1843">
        <v>0</v>
      </c>
      <c r="I26" s="1851"/>
      <c r="J26" s="1856"/>
      <c r="K26" s="1578">
        <f t="shared" si="0"/>
        <v>0</v>
      </c>
      <c r="L26" s="1843">
        <v>0</v>
      </c>
    </row>
    <row r="27" spans="1:12">
      <c r="A27" s="1414" t="s">
        <v>622</v>
      </c>
      <c r="B27" s="585" t="s">
        <v>731</v>
      </c>
      <c r="C27" s="1856"/>
      <c r="D27" s="1856"/>
      <c r="E27" s="1856"/>
      <c r="F27" s="1856"/>
      <c r="G27" s="1856"/>
      <c r="H27" s="1843">
        <v>0</v>
      </c>
      <c r="I27" s="1851"/>
      <c r="J27" s="1856"/>
      <c r="K27" s="1578">
        <f t="shared" si="0"/>
        <v>0</v>
      </c>
      <c r="L27" s="1843">
        <v>0</v>
      </c>
    </row>
    <row r="28" spans="1:12">
      <c r="A28" s="1414" t="s">
        <v>150</v>
      </c>
      <c r="B28" s="585" t="s">
        <v>732</v>
      </c>
      <c r="C28" s="1856"/>
      <c r="D28" s="1856"/>
      <c r="E28" s="1856"/>
      <c r="F28" s="1856"/>
      <c r="G28" s="1856"/>
      <c r="H28" s="1843">
        <v>0</v>
      </c>
      <c r="I28" s="1851"/>
      <c r="J28" s="1856"/>
      <c r="K28" s="1578">
        <f t="shared" si="0"/>
        <v>0</v>
      </c>
      <c r="L28" s="1843">
        <v>0</v>
      </c>
    </row>
    <row r="29" spans="1:12">
      <c r="A29" s="1414" t="s">
        <v>151</v>
      </c>
      <c r="B29" s="585" t="s">
        <v>733</v>
      </c>
      <c r="C29" s="1856"/>
      <c r="D29" s="1856"/>
      <c r="E29" s="1856"/>
      <c r="F29" s="1856"/>
      <c r="G29" s="1856"/>
      <c r="H29" s="1843">
        <v>0</v>
      </c>
      <c r="I29" s="1851"/>
      <c r="J29" s="1856"/>
      <c r="K29" s="1578">
        <f t="shared" si="0"/>
        <v>0</v>
      </c>
      <c r="L29" s="1843">
        <v>0</v>
      </c>
    </row>
    <row r="30" spans="1:12">
      <c r="A30" s="1414" t="s">
        <v>152</v>
      </c>
      <c r="B30" s="585" t="s">
        <v>734</v>
      </c>
      <c r="C30" s="1856"/>
      <c r="D30" s="1856"/>
      <c r="E30" s="1856"/>
      <c r="F30" s="1856"/>
      <c r="G30" s="1856"/>
      <c r="H30" s="1843">
        <v>0</v>
      </c>
      <c r="I30" s="1851"/>
      <c r="J30" s="1856"/>
      <c r="K30" s="1578">
        <f t="shared" si="0"/>
        <v>0</v>
      </c>
      <c r="L30" s="1843">
        <v>0</v>
      </c>
    </row>
    <row r="31" spans="1:12">
      <c r="A31" s="1414" t="s">
        <v>153</v>
      </c>
      <c r="B31" s="585" t="s">
        <v>735</v>
      </c>
      <c r="C31" s="1856"/>
      <c r="D31" s="1856"/>
      <c r="E31" s="1856"/>
      <c r="F31" s="1856"/>
      <c r="G31" s="1856"/>
      <c r="H31" s="1843">
        <v>0</v>
      </c>
      <c r="I31" s="1851"/>
      <c r="J31" s="1856"/>
      <c r="K31" s="1578">
        <f t="shared" si="0"/>
        <v>0</v>
      </c>
      <c r="L31" s="1843">
        <v>0</v>
      </c>
    </row>
    <row r="32" spans="1:12">
      <c r="A32" s="1415" t="s">
        <v>1128</v>
      </c>
      <c r="B32" s="597" t="s">
        <v>736</v>
      </c>
      <c r="C32" s="1856"/>
      <c r="D32" s="1856"/>
      <c r="E32" s="1856"/>
      <c r="F32" s="1856"/>
      <c r="G32" s="1856"/>
      <c r="H32" s="1843">
        <v>0</v>
      </c>
      <c r="I32" s="1851"/>
      <c r="J32" s="1853"/>
      <c r="K32" s="1578">
        <f t="shared" si="0"/>
        <v>0</v>
      </c>
      <c r="L32" s="1843">
        <v>0</v>
      </c>
    </row>
    <row r="33" spans="1:14" ht="12.75" customHeight="1" thickBot="1">
      <c r="A33" s="1575" t="s">
        <v>1661</v>
      </c>
      <c r="B33" s="1576" t="s">
        <v>569</v>
      </c>
      <c r="C33" s="1577">
        <f>SUM(C5:C32)</f>
        <v>35818807</v>
      </c>
      <c r="D33" s="1577">
        <f t="shared" ref="D33:L33" si="1">SUM(D5:D32)</f>
        <v>7082459</v>
      </c>
      <c r="E33" s="1577">
        <f t="shared" si="1"/>
        <v>1006533</v>
      </c>
      <c r="F33" s="1577">
        <f t="shared" si="1"/>
        <v>1036893</v>
      </c>
      <c r="G33" s="1577">
        <f t="shared" si="1"/>
        <v>79640</v>
      </c>
      <c r="H33" s="1577">
        <f t="shared" si="1"/>
        <v>4496390</v>
      </c>
      <c r="I33" s="1577">
        <f t="shared" si="1"/>
        <v>145574</v>
      </c>
      <c r="J33" s="1577">
        <f t="shared" si="1"/>
        <v>97</v>
      </c>
      <c r="K33" s="1577">
        <f t="shared" si="1"/>
        <v>49666393</v>
      </c>
      <c r="L33" s="1577">
        <f t="shared" si="1"/>
        <v>51424739</v>
      </c>
    </row>
    <row r="34" spans="1:14" s="603" customFormat="1" ht="15.75" customHeight="1" thickTop="1">
      <c r="A34" s="1517" t="s">
        <v>46</v>
      </c>
      <c r="B34" s="1518" t="s">
        <v>568</v>
      </c>
      <c r="C34" s="601"/>
      <c r="D34" s="601"/>
      <c r="E34" s="601"/>
      <c r="F34" s="601"/>
      <c r="G34" s="601"/>
      <c r="H34" s="601"/>
      <c r="I34" s="599"/>
      <c r="J34" s="599"/>
      <c r="K34" s="599"/>
      <c r="L34" s="599"/>
      <c r="M34" s="602"/>
      <c r="N34" s="602"/>
    </row>
    <row r="35" spans="1:14" s="603" customFormat="1" ht="15.75" customHeight="1">
      <c r="A35" s="604" t="s">
        <v>590</v>
      </c>
      <c r="B35" s="605"/>
      <c r="C35" s="606"/>
      <c r="D35" s="606"/>
      <c r="E35" s="606"/>
      <c r="F35" s="606"/>
      <c r="G35" s="606"/>
      <c r="H35" s="606"/>
      <c r="I35" s="599"/>
      <c r="J35" s="599"/>
      <c r="K35" s="599"/>
      <c r="L35" s="599"/>
      <c r="M35" s="602"/>
      <c r="N35" s="602"/>
    </row>
    <row r="36" spans="1:14">
      <c r="A36" s="1413" t="s">
        <v>1088</v>
      </c>
      <c r="B36" s="597">
        <v>2110</v>
      </c>
      <c r="C36" s="1843">
        <v>608500</v>
      </c>
      <c r="D36" s="1843">
        <v>132971</v>
      </c>
      <c r="E36" s="1843">
        <v>14253</v>
      </c>
      <c r="F36" s="1843">
        <v>1515</v>
      </c>
      <c r="G36" s="1843">
        <v>0</v>
      </c>
      <c r="H36" s="1843">
        <v>0</v>
      </c>
      <c r="I36" s="1843">
        <v>0</v>
      </c>
      <c r="J36" s="1843">
        <v>0</v>
      </c>
      <c r="K36" s="1578">
        <f t="shared" ref="K36:K41" si="2">SUM(C36:J36)</f>
        <v>757239</v>
      </c>
      <c r="L36" s="1843">
        <v>737646</v>
      </c>
    </row>
    <row r="37" spans="1:14">
      <c r="A37" s="1413" t="s">
        <v>1089</v>
      </c>
      <c r="B37" s="597">
        <v>2120</v>
      </c>
      <c r="C37" s="1843">
        <v>3285698</v>
      </c>
      <c r="D37" s="1843">
        <v>624209</v>
      </c>
      <c r="E37" s="1843">
        <v>22223</v>
      </c>
      <c r="F37" s="1843">
        <v>8061</v>
      </c>
      <c r="G37" s="1843">
        <v>0</v>
      </c>
      <c r="H37" s="1843">
        <v>653</v>
      </c>
      <c r="I37" s="1843">
        <v>0</v>
      </c>
      <c r="J37" s="1843">
        <v>0</v>
      </c>
      <c r="K37" s="1578">
        <f t="shared" si="2"/>
        <v>3940844</v>
      </c>
      <c r="L37" s="1843">
        <v>3970686</v>
      </c>
    </row>
    <row r="38" spans="1:14">
      <c r="A38" s="1413" t="s">
        <v>198</v>
      </c>
      <c r="B38" s="597">
        <v>2130</v>
      </c>
      <c r="C38" s="1843">
        <v>33201</v>
      </c>
      <c r="D38" s="1843">
        <v>16243</v>
      </c>
      <c r="E38" s="1843">
        <v>249050</v>
      </c>
      <c r="F38" s="1843">
        <v>700</v>
      </c>
      <c r="G38" s="1843">
        <v>0</v>
      </c>
      <c r="H38" s="1843">
        <v>0</v>
      </c>
      <c r="I38" s="1843">
        <v>0</v>
      </c>
      <c r="J38" s="1843">
        <v>0</v>
      </c>
      <c r="K38" s="1578">
        <f t="shared" si="2"/>
        <v>299194</v>
      </c>
      <c r="L38" s="1843">
        <v>435141</v>
      </c>
    </row>
    <row r="39" spans="1:14">
      <c r="A39" s="1413" t="s">
        <v>199</v>
      </c>
      <c r="B39" s="597">
        <v>2140</v>
      </c>
      <c r="C39" s="1843">
        <v>311841</v>
      </c>
      <c r="D39" s="1843">
        <v>61497</v>
      </c>
      <c r="E39" s="1843">
        <v>10421</v>
      </c>
      <c r="F39" s="1843">
        <v>0</v>
      </c>
      <c r="G39" s="1843">
        <v>0</v>
      </c>
      <c r="H39" s="1843">
        <v>0</v>
      </c>
      <c r="I39" s="1843">
        <v>0</v>
      </c>
      <c r="J39" s="1843">
        <v>0</v>
      </c>
      <c r="K39" s="1578">
        <f t="shared" si="2"/>
        <v>383759</v>
      </c>
      <c r="L39" s="1843">
        <v>383843</v>
      </c>
    </row>
    <row r="40" spans="1:14">
      <c r="A40" s="1413" t="s">
        <v>200</v>
      </c>
      <c r="B40" s="597">
        <v>2150</v>
      </c>
      <c r="C40" s="1843">
        <v>2660</v>
      </c>
      <c r="D40" s="1843">
        <v>388</v>
      </c>
      <c r="E40" s="1843">
        <v>0</v>
      </c>
      <c r="F40" s="1843">
        <v>0</v>
      </c>
      <c r="G40" s="1843">
        <v>0</v>
      </c>
      <c r="H40" s="1843">
        <v>0</v>
      </c>
      <c r="I40" s="1843">
        <v>0</v>
      </c>
      <c r="J40" s="1843">
        <v>0</v>
      </c>
      <c r="K40" s="1578">
        <f t="shared" si="2"/>
        <v>3048</v>
      </c>
      <c r="L40" s="1843">
        <v>7500</v>
      </c>
    </row>
    <row r="41" spans="1:14">
      <c r="A41" s="1413" t="s">
        <v>1662</v>
      </c>
      <c r="B41" s="597">
        <v>2190</v>
      </c>
      <c r="C41" s="1843">
        <v>0</v>
      </c>
      <c r="D41" s="1843">
        <v>0</v>
      </c>
      <c r="E41" s="1843">
        <v>0</v>
      </c>
      <c r="F41" s="1843">
        <v>0</v>
      </c>
      <c r="G41" s="1843">
        <v>0</v>
      </c>
      <c r="H41" s="1843">
        <v>0</v>
      </c>
      <c r="I41" s="1843">
        <v>0</v>
      </c>
      <c r="J41" s="1843">
        <v>0</v>
      </c>
      <c r="K41" s="1578">
        <f t="shared" si="2"/>
        <v>0</v>
      </c>
      <c r="L41" s="1843">
        <v>0</v>
      </c>
    </row>
    <row r="42" spans="1:14" ht="12.75" customHeight="1" thickBot="1">
      <c r="A42" s="1575" t="s">
        <v>559</v>
      </c>
      <c r="B42" s="1576" t="s">
        <v>715</v>
      </c>
      <c r="C42" s="1577">
        <f>SUM(C36:C41)</f>
        <v>4241900</v>
      </c>
      <c r="D42" s="1577">
        <f t="shared" ref="D42:L42" si="3">SUM(D36:D41)</f>
        <v>835308</v>
      </c>
      <c r="E42" s="1577">
        <f t="shared" si="3"/>
        <v>295947</v>
      </c>
      <c r="F42" s="1577">
        <f t="shared" si="3"/>
        <v>10276</v>
      </c>
      <c r="G42" s="1577">
        <f t="shared" si="3"/>
        <v>0</v>
      </c>
      <c r="H42" s="1577">
        <f t="shared" si="3"/>
        <v>653</v>
      </c>
      <c r="I42" s="1577">
        <f t="shared" si="3"/>
        <v>0</v>
      </c>
      <c r="J42" s="1577">
        <f t="shared" si="3"/>
        <v>0</v>
      </c>
      <c r="K42" s="1577">
        <f t="shared" si="3"/>
        <v>5384084</v>
      </c>
      <c r="L42" s="1577">
        <f t="shared" si="3"/>
        <v>5534816</v>
      </c>
    </row>
    <row r="43" spans="1:14" ht="15.75" customHeight="1" thickTop="1">
      <c r="A43" s="607" t="s">
        <v>591</v>
      </c>
      <c r="B43" s="608"/>
      <c r="C43" s="609"/>
      <c r="D43" s="609"/>
      <c r="E43" s="609"/>
      <c r="F43" s="609"/>
      <c r="G43" s="609"/>
      <c r="H43" s="609"/>
      <c r="I43" s="599"/>
      <c r="J43" s="599"/>
      <c r="K43" s="609"/>
      <c r="L43" s="609"/>
    </row>
    <row r="44" spans="1:14">
      <c r="A44" s="1413" t="s">
        <v>813</v>
      </c>
      <c r="B44" s="597">
        <v>2210</v>
      </c>
      <c r="C44" s="1843">
        <v>1067050</v>
      </c>
      <c r="D44" s="1843">
        <v>263293</v>
      </c>
      <c r="E44" s="1843">
        <v>233110</v>
      </c>
      <c r="F44" s="1843">
        <v>154447</v>
      </c>
      <c r="G44" s="1843">
        <v>0</v>
      </c>
      <c r="H44" s="1843">
        <v>2875</v>
      </c>
      <c r="I44" s="1843">
        <v>0</v>
      </c>
      <c r="J44" s="1843">
        <v>0</v>
      </c>
      <c r="K44" s="1579">
        <f>SUM(C44:J44)</f>
        <v>1720775</v>
      </c>
      <c r="L44" s="1843">
        <v>2019271</v>
      </c>
    </row>
    <row r="45" spans="1:14">
      <c r="A45" s="1413" t="s">
        <v>814</v>
      </c>
      <c r="B45" s="597">
        <v>2220</v>
      </c>
      <c r="C45" s="1843">
        <v>129355</v>
      </c>
      <c r="D45" s="1843">
        <v>19023</v>
      </c>
      <c r="E45" s="1843">
        <v>24919</v>
      </c>
      <c r="F45" s="1843">
        <v>22479</v>
      </c>
      <c r="G45" s="1843">
        <v>0</v>
      </c>
      <c r="H45" s="1843">
        <v>0</v>
      </c>
      <c r="I45" s="1843">
        <v>0</v>
      </c>
      <c r="J45" s="1843">
        <v>0</v>
      </c>
      <c r="K45" s="1579">
        <f>SUM(C45:J45)</f>
        <v>195776</v>
      </c>
      <c r="L45" s="1843">
        <v>372225</v>
      </c>
    </row>
    <row r="46" spans="1:14">
      <c r="A46" s="1413" t="s">
        <v>815</v>
      </c>
      <c r="B46" s="597">
        <v>2230</v>
      </c>
      <c r="C46" s="1843">
        <v>0</v>
      </c>
      <c r="D46" s="1843">
        <v>0</v>
      </c>
      <c r="E46" s="1843">
        <v>104312</v>
      </c>
      <c r="F46" s="1843">
        <v>10899</v>
      </c>
      <c r="G46" s="1843">
        <v>0</v>
      </c>
      <c r="H46" s="1843">
        <v>0</v>
      </c>
      <c r="I46" s="1843">
        <v>0</v>
      </c>
      <c r="J46" s="1843">
        <v>0</v>
      </c>
      <c r="K46" s="1579">
        <f>SUM(C46:J46)</f>
        <v>115211</v>
      </c>
      <c r="L46" s="1843">
        <v>191574</v>
      </c>
    </row>
    <row r="47" spans="1:14" ht="12.75" customHeight="1" thickBot="1">
      <c r="A47" s="1575" t="s">
        <v>560</v>
      </c>
      <c r="B47" s="1576" t="s">
        <v>32</v>
      </c>
      <c r="C47" s="1577">
        <f>SUM(C44:C46)</f>
        <v>1196405</v>
      </c>
      <c r="D47" s="1577">
        <f t="shared" ref="D47:K47" si="4">SUM(D44:D46)</f>
        <v>282316</v>
      </c>
      <c r="E47" s="1577">
        <f t="shared" si="4"/>
        <v>362341</v>
      </c>
      <c r="F47" s="1577">
        <f t="shared" si="4"/>
        <v>187825</v>
      </c>
      <c r="G47" s="1577">
        <f t="shared" si="4"/>
        <v>0</v>
      </c>
      <c r="H47" s="1577">
        <f t="shared" si="4"/>
        <v>2875</v>
      </c>
      <c r="I47" s="1577">
        <f t="shared" si="4"/>
        <v>0</v>
      </c>
      <c r="J47" s="1577">
        <f t="shared" si="4"/>
        <v>0</v>
      </c>
      <c r="K47" s="1577">
        <f t="shared" si="4"/>
        <v>2031762</v>
      </c>
      <c r="L47" s="1577">
        <f>SUM(L44:L46)</f>
        <v>2583070</v>
      </c>
    </row>
    <row r="48" spans="1:14" ht="15.75" customHeight="1" thickTop="1">
      <c r="A48" s="607" t="s">
        <v>609</v>
      </c>
      <c r="B48" s="608"/>
      <c r="C48" s="609"/>
      <c r="D48" s="609"/>
      <c r="E48" s="609"/>
      <c r="F48" s="609"/>
      <c r="G48" s="609"/>
      <c r="H48" s="609"/>
      <c r="I48" s="599"/>
      <c r="J48" s="599"/>
      <c r="K48" s="609"/>
      <c r="L48" s="609"/>
    </row>
    <row r="49" spans="1:14">
      <c r="A49" s="1413" t="s">
        <v>816</v>
      </c>
      <c r="B49" s="597">
        <v>2310</v>
      </c>
      <c r="C49" s="1843">
        <v>0</v>
      </c>
      <c r="D49" s="1843">
        <v>0</v>
      </c>
      <c r="E49" s="1843">
        <v>75130</v>
      </c>
      <c r="F49" s="1843">
        <v>0</v>
      </c>
      <c r="G49" s="1843">
        <v>0</v>
      </c>
      <c r="H49" s="1843">
        <v>28123</v>
      </c>
      <c r="I49" s="1843">
        <v>0</v>
      </c>
      <c r="J49" s="1843">
        <v>0</v>
      </c>
      <c r="K49" s="1579">
        <f>SUM(C49:J49)</f>
        <v>103253</v>
      </c>
      <c r="L49" s="1843">
        <v>98044</v>
      </c>
    </row>
    <row r="50" spans="1:14">
      <c r="A50" s="1413" t="s">
        <v>817</v>
      </c>
      <c r="B50" s="597">
        <v>2320</v>
      </c>
      <c r="C50" s="1843">
        <v>394730</v>
      </c>
      <c r="D50" s="1843">
        <v>73875</v>
      </c>
      <c r="E50" s="1843">
        <v>7751</v>
      </c>
      <c r="F50" s="1843">
        <v>1421</v>
      </c>
      <c r="G50" s="1843">
        <v>0</v>
      </c>
      <c r="H50" s="1843">
        <v>23839</v>
      </c>
      <c r="I50" s="1843">
        <v>0</v>
      </c>
      <c r="J50" s="1843">
        <v>0</v>
      </c>
      <c r="K50" s="1579">
        <f>SUM(C50:J50)</f>
        <v>501616</v>
      </c>
      <c r="L50" s="1843">
        <v>438266</v>
      </c>
    </row>
    <row r="51" spans="1:14">
      <c r="A51" s="1413" t="s">
        <v>42</v>
      </c>
      <c r="B51" s="597">
        <v>2330</v>
      </c>
      <c r="C51" s="1843">
        <v>0</v>
      </c>
      <c r="D51" s="1843">
        <v>0</v>
      </c>
      <c r="E51" s="1843">
        <v>0</v>
      </c>
      <c r="F51" s="1843">
        <v>0</v>
      </c>
      <c r="G51" s="1843">
        <v>0</v>
      </c>
      <c r="H51" s="1843">
        <v>450</v>
      </c>
      <c r="I51" s="1843">
        <v>0</v>
      </c>
      <c r="J51" s="1843">
        <v>0</v>
      </c>
      <c r="K51" s="1579">
        <f>SUM(C51:J51)</f>
        <v>450</v>
      </c>
      <c r="L51" s="1843">
        <v>0</v>
      </c>
    </row>
    <row r="52" spans="1:14" ht="22.5">
      <c r="A52" s="1414" t="s">
        <v>297</v>
      </c>
      <c r="B52" s="610" t="s">
        <v>365</v>
      </c>
      <c r="C52" s="1860"/>
      <c r="D52" s="1860"/>
      <c r="E52" s="1860"/>
      <c r="F52" s="1860"/>
      <c r="G52" s="1860"/>
      <c r="H52" s="1860"/>
      <c r="I52" s="1860"/>
      <c r="J52" s="1860"/>
      <c r="K52" s="1579">
        <f>SUM(C52:J52)</f>
        <v>0</v>
      </c>
      <c r="L52" s="1860">
        <v>0</v>
      </c>
    </row>
    <row r="53" spans="1:14" ht="12.75" customHeight="1" thickBot="1">
      <c r="A53" s="1575" t="s">
        <v>716</v>
      </c>
      <c r="B53" s="1576" t="s">
        <v>33</v>
      </c>
      <c r="C53" s="1577">
        <f>SUM(C49:C52)</f>
        <v>394730</v>
      </c>
      <c r="D53" s="1577">
        <f t="shared" ref="D53:L53" si="5">SUM(D49:D52)</f>
        <v>73875</v>
      </c>
      <c r="E53" s="1577">
        <f t="shared" si="5"/>
        <v>82881</v>
      </c>
      <c r="F53" s="1577">
        <f t="shared" si="5"/>
        <v>1421</v>
      </c>
      <c r="G53" s="1577">
        <f t="shared" si="5"/>
        <v>0</v>
      </c>
      <c r="H53" s="1577">
        <f t="shared" si="5"/>
        <v>52412</v>
      </c>
      <c r="I53" s="1577">
        <f t="shared" si="5"/>
        <v>0</v>
      </c>
      <c r="J53" s="1577">
        <f t="shared" si="5"/>
        <v>0</v>
      </c>
      <c r="K53" s="1577">
        <f t="shared" si="5"/>
        <v>605319</v>
      </c>
      <c r="L53" s="1577">
        <f t="shared" si="5"/>
        <v>536310</v>
      </c>
    </row>
    <row r="54" spans="1:14" ht="15.75" customHeight="1" thickTop="1">
      <c r="A54" s="607" t="s">
        <v>610</v>
      </c>
      <c r="B54" s="608"/>
      <c r="C54" s="609"/>
      <c r="D54" s="609"/>
      <c r="E54" s="609"/>
      <c r="F54" s="609"/>
      <c r="G54" s="609"/>
      <c r="H54" s="609"/>
      <c r="I54" s="599"/>
      <c r="J54" s="599"/>
      <c r="K54" s="609"/>
      <c r="L54" s="609"/>
    </row>
    <row r="55" spans="1:14">
      <c r="A55" s="1413" t="s">
        <v>1066</v>
      </c>
      <c r="B55" s="597">
        <v>2410</v>
      </c>
      <c r="C55" s="1843">
        <v>2528093</v>
      </c>
      <c r="D55" s="1843">
        <v>609699</v>
      </c>
      <c r="E55" s="1843">
        <v>29254</v>
      </c>
      <c r="F55" s="1843">
        <v>50180</v>
      </c>
      <c r="G55" s="1843">
        <v>0</v>
      </c>
      <c r="H55" s="1843">
        <v>15766</v>
      </c>
      <c r="I55" s="1843">
        <v>0</v>
      </c>
      <c r="J55" s="1843">
        <v>0</v>
      </c>
      <c r="K55" s="1579">
        <f>SUM(C55:J55)</f>
        <v>3232992</v>
      </c>
      <c r="L55" s="1842">
        <v>3345130</v>
      </c>
    </row>
    <row r="56" spans="1:14" ht="12.75" customHeight="1">
      <c r="A56" s="1417" t="s">
        <v>375</v>
      </c>
      <c r="B56" s="611">
        <v>2490</v>
      </c>
      <c r="C56" s="1843">
        <v>0</v>
      </c>
      <c r="D56" s="1843">
        <v>0</v>
      </c>
      <c r="E56" s="1843">
        <v>0</v>
      </c>
      <c r="F56" s="1843">
        <v>0</v>
      </c>
      <c r="G56" s="1843">
        <v>0</v>
      </c>
      <c r="H56" s="1843">
        <v>0</v>
      </c>
      <c r="I56" s="1843">
        <v>0</v>
      </c>
      <c r="J56" s="1843">
        <v>0</v>
      </c>
      <c r="K56" s="1579">
        <f>SUM(C56:J56)</f>
        <v>0</v>
      </c>
      <c r="L56" s="1843">
        <v>0</v>
      </c>
    </row>
    <row r="57" spans="1:14" s="343" customFormat="1" ht="12.75" customHeight="1" thickBot="1">
      <c r="A57" s="1575" t="s">
        <v>263</v>
      </c>
      <c r="B57" s="1580" t="s">
        <v>34</v>
      </c>
      <c r="C57" s="1581">
        <f>SUM(C55:C56)</f>
        <v>2528093</v>
      </c>
      <c r="D57" s="1581">
        <f t="shared" ref="D57:K57" si="6">SUM(D55:D56)</f>
        <v>609699</v>
      </c>
      <c r="E57" s="1581">
        <f t="shared" si="6"/>
        <v>29254</v>
      </c>
      <c r="F57" s="1581">
        <f t="shared" si="6"/>
        <v>50180</v>
      </c>
      <c r="G57" s="1581">
        <f t="shared" si="6"/>
        <v>0</v>
      </c>
      <c r="H57" s="1581">
        <f t="shared" si="6"/>
        <v>15766</v>
      </c>
      <c r="I57" s="1581">
        <f t="shared" si="6"/>
        <v>0</v>
      </c>
      <c r="J57" s="1581">
        <f t="shared" si="6"/>
        <v>0</v>
      </c>
      <c r="K57" s="1581">
        <f t="shared" si="6"/>
        <v>3232992</v>
      </c>
      <c r="L57" s="1577">
        <f>SUM(L55:L56)</f>
        <v>3345130</v>
      </c>
      <c r="M57" s="592"/>
      <c r="N57" s="592"/>
    </row>
    <row r="58" spans="1:14" s="343" customFormat="1" ht="15.75" customHeight="1" thickTop="1">
      <c r="A58" s="607" t="s">
        <v>611</v>
      </c>
      <c r="B58" s="608"/>
      <c r="C58" s="612"/>
      <c r="D58" s="609"/>
      <c r="E58" s="609"/>
      <c r="F58" s="609"/>
      <c r="G58" s="609"/>
      <c r="H58" s="609"/>
      <c r="I58" s="599"/>
      <c r="J58" s="599"/>
      <c r="K58" s="609"/>
      <c r="L58" s="609"/>
      <c r="M58" s="592"/>
      <c r="N58" s="592"/>
    </row>
    <row r="59" spans="1:14" s="343" customFormat="1">
      <c r="A59" s="1413" t="s">
        <v>1067</v>
      </c>
      <c r="B59" s="597">
        <v>2510</v>
      </c>
      <c r="C59" s="1843">
        <v>228518</v>
      </c>
      <c r="D59" s="1843">
        <v>18379</v>
      </c>
      <c r="E59" s="1843">
        <v>0</v>
      </c>
      <c r="F59" s="1843">
        <v>0</v>
      </c>
      <c r="G59" s="1843">
        <v>0</v>
      </c>
      <c r="H59" s="1843">
        <v>0</v>
      </c>
      <c r="I59" s="1843">
        <v>0</v>
      </c>
      <c r="J59" s="1843">
        <v>0</v>
      </c>
      <c r="K59" s="1579">
        <f t="shared" ref="K59:K64" si="7">SUM(C59:J59)</f>
        <v>246897</v>
      </c>
      <c r="L59" s="1842">
        <v>240751</v>
      </c>
      <c r="M59" s="592"/>
      <c r="N59" s="592"/>
    </row>
    <row r="60" spans="1:14" s="343" customFormat="1">
      <c r="A60" s="1413" t="s">
        <v>462</v>
      </c>
      <c r="B60" s="597">
        <v>2520</v>
      </c>
      <c r="C60" s="1843">
        <v>388938</v>
      </c>
      <c r="D60" s="1843">
        <v>140760</v>
      </c>
      <c r="E60" s="1843">
        <v>208118</v>
      </c>
      <c r="F60" s="1843">
        <v>5858</v>
      </c>
      <c r="G60" s="1843">
        <v>0</v>
      </c>
      <c r="H60" s="1843">
        <v>3112</v>
      </c>
      <c r="I60" s="1843">
        <v>0</v>
      </c>
      <c r="J60" s="1843">
        <v>0</v>
      </c>
      <c r="K60" s="1579">
        <f t="shared" si="7"/>
        <v>746786</v>
      </c>
      <c r="L60" s="1842">
        <v>741749</v>
      </c>
      <c r="M60" s="592"/>
      <c r="N60" s="592"/>
    </row>
    <row r="61" spans="1:14" s="343" customFormat="1">
      <c r="A61" s="1413" t="s">
        <v>197</v>
      </c>
      <c r="B61" s="597">
        <v>2540</v>
      </c>
      <c r="C61" s="1843">
        <v>0</v>
      </c>
      <c r="D61" s="1843">
        <v>0</v>
      </c>
      <c r="E61" s="1843">
        <v>0</v>
      </c>
      <c r="F61" s="1843">
        <v>0</v>
      </c>
      <c r="G61" s="1843">
        <v>0</v>
      </c>
      <c r="H61" s="1843">
        <v>0</v>
      </c>
      <c r="I61" s="1843">
        <v>0</v>
      </c>
      <c r="J61" s="1843">
        <v>0</v>
      </c>
      <c r="K61" s="1579">
        <f t="shared" si="7"/>
        <v>0</v>
      </c>
      <c r="L61" s="1842">
        <v>5000</v>
      </c>
      <c r="M61" s="592"/>
      <c r="N61" s="592"/>
    </row>
    <row r="62" spans="1:14" s="343" customFormat="1">
      <c r="A62" s="1413" t="s">
        <v>952</v>
      </c>
      <c r="B62" s="597">
        <v>2550</v>
      </c>
      <c r="C62" s="1843">
        <v>0</v>
      </c>
      <c r="D62" s="1843">
        <v>0</v>
      </c>
      <c r="E62" s="1843">
        <v>0</v>
      </c>
      <c r="F62" s="1843">
        <v>0</v>
      </c>
      <c r="G62" s="1843">
        <v>0</v>
      </c>
      <c r="H62" s="1843">
        <v>0</v>
      </c>
      <c r="I62" s="1843">
        <v>0</v>
      </c>
      <c r="J62" s="1843">
        <v>0</v>
      </c>
      <c r="K62" s="1579">
        <f t="shared" si="7"/>
        <v>0</v>
      </c>
      <c r="L62" s="1842">
        <v>0</v>
      </c>
      <c r="M62" s="592"/>
      <c r="N62" s="592"/>
    </row>
    <row r="63" spans="1:14" s="592" customFormat="1">
      <c r="A63" s="1413" t="s">
        <v>100</v>
      </c>
      <c r="B63" s="597">
        <v>2560</v>
      </c>
      <c r="C63" s="1843">
        <v>733437</v>
      </c>
      <c r="D63" s="1843">
        <v>108693</v>
      </c>
      <c r="E63" s="1843">
        <v>611</v>
      </c>
      <c r="F63" s="1843">
        <v>1106099</v>
      </c>
      <c r="G63" s="1843">
        <v>22416</v>
      </c>
      <c r="H63" s="1843">
        <v>45817</v>
      </c>
      <c r="I63" s="1843">
        <v>0</v>
      </c>
      <c r="J63" s="1843">
        <v>0</v>
      </c>
      <c r="K63" s="1579">
        <f t="shared" si="7"/>
        <v>2017073</v>
      </c>
      <c r="L63" s="1842">
        <v>1982217</v>
      </c>
    </row>
    <row r="64" spans="1:14" s="592" customFormat="1">
      <c r="A64" s="1418" t="s">
        <v>101</v>
      </c>
      <c r="B64" s="613">
        <v>2570</v>
      </c>
      <c r="C64" s="1843">
        <v>0</v>
      </c>
      <c r="D64" s="1843">
        <v>0</v>
      </c>
      <c r="E64" s="1843">
        <v>0</v>
      </c>
      <c r="F64" s="1843">
        <v>0</v>
      </c>
      <c r="G64" s="1843">
        <v>0</v>
      </c>
      <c r="H64" s="1843">
        <v>0</v>
      </c>
      <c r="I64" s="1843">
        <v>0</v>
      </c>
      <c r="J64" s="1843">
        <v>0</v>
      </c>
      <c r="K64" s="1579">
        <f t="shared" si="7"/>
        <v>0</v>
      </c>
      <c r="L64" s="1842">
        <v>0</v>
      </c>
    </row>
    <row r="65" spans="1:14" s="343" customFormat="1" ht="12.75" customHeight="1" thickBot="1">
      <c r="A65" s="1575" t="s">
        <v>718</v>
      </c>
      <c r="B65" s="1576" t="s">
        <v>35</v>
      </c>
      <c r="C65" s="1577">
        <f>SUM(C59:C64)</f>
        <v>1350893</v>
      </c>
      <c r="D65" s="1577">
        <f t="shared" ref="D65:L65" si="8">SUM(D59:D64)</f>
        <v>267832</v>
      </c>
      <c r="E65" s="1577">
        <f t="shared" si="8"/>
        <v>208729</v>
      </c>
      <c r="F65" s="1577">
        <f t="shared" si="8"/>
        <v>1111957</v>
      </c>
      <c r="G65" s="1577">
        <f t="shared" si="8"/>
        <v>22416</v>
      </c>
      <c r="H65" s="1577">
        <f t="shared" si="8"/>
        <v>48929</v>
      </c>
      <c r="I65" s="1577">
        <f t="shared" si="8"/>
        <v>0</v>
      </c>
      <c r="J65" s="1577">
        <f t="shared" si="8"/>
        <v>0</v>
      </c>
      <c r="K65" s="1577">
        <f t="shared" si="8"/>
        <v>3010756</v>
      </c>
      <c r="L65" s="1577">
        <f t="shared" si="8"/>
        <v>2969717</v>
      </c>
      <c r="M65" s="592"/>
      <c r="N65" s="592"/>
    </row>
    <row r="66" spans="1:14" s="343" customFormat="1" ht="15.75" customHeight="1" thickTop="1">
      <c r="A66" s="607" t="s">
        <v>612</v>
      </c>
      <c r="B66" s="614"/>
      <c r="C66" s="599"/>
      <c r="D66" s="599"/>
      <c r="E66" s="599"/>
      <c r="F66" s="599"/>
      <c r="G66" s="599"/>
      <c r="H66" s="599"/>
      <c r="I66" s="599"/>
      <c r="J66" s="599"/>
      <c r="K66" s="609"/>
      <c r="L66" s="609"/>
      <c r="M66" s="592"/>
      <c r="N66" s="592"/>
    </row>
    <row r="67" spans="1:14" s="343" customFormat="1">
      <c r="A67" s="1413" t="s">
        <v>1059</v>
      </c>
      <c r="B67" s="597">
        <v>2610</v>
      </c>
      <c r="C67" s="1843">
        <v>0</v>
      </c>
      <c r="D67" s="1843">
        <v>0</v>
      </c>
      <c r="E67" s="1843">
        <v>0</v>
      </c>
      <c r="F67" s="1843">
        <v>0</v>
      </c>
      <c r="G67" s="1843">
        <v>0</v>
      </c>
      <c r="H67" s="1843">
        <v>0</v>
      </c>
      <c r="I67" s="1843">
        <v>0</v>
      </c>
      <c r="J67" s="1843">
        <v>0</v>
      </c>
      <c r="K67" s="1579">
        <f>SUM(C67:J67)</f>
        <v>0</v>
      </c>
      <c r="L67" s="1842">
        <v>0</v>
      </c>
      <c r="M67" s="592"/>
      <c r="N67" s="592"/>
    </row>
    <row r="68" spans="1:14" s="343" customFormat="1">
      <c r="A68" s="1413" t="s">
        <v>606</v>
      </c>
      <c r="B68" s="597">
        <v>2620</v>
      </c>
      <c r="C68" s="1843">
        <v>0</v>
      </c>
      <c r="D68" s="1843">
        <v>0</v>
      </c>
      <c r="E68" s="1843">
        <v>0</v>
      </c>
      <c r="F68" s="1843">
        <v>0</v>
      </c>
      <c r="G68" s="1843">
        <v>0</v>
      </c>
      <c r="H68" s="1843">
        <v>0</v>
      </c>
      <c r="I68" s="1843">
        <v>0</v>
      </c>
      <c r="J68" s="1843">
        <v>0</v>
      </c>
      <c r="K68" s="1579">
        <f>SUM(C68:J68)</f>
        <v>0</v>
      </c>
      <c r="L68" s="1842">
        <v>0</v>
      </c>
      <c r="M68" s="592"/>
      <c r="N68" s="592"/>
    </row>
    <row r="69" spans="1:14" s="343" customFormat="1">
      <c r="A69" s="1413" t="s">
        <v>1060</v>
      </c>
      <c r="B69" s="597">
        <v>2630</v>
      </c>
      <c r="C69" s="1843">
        <v>332573</v>
      </c>
      <c r="D69" s="1843">
        <v>82799</v>
      </c>
      <c r="E69" s="1843">
        <v>61015</v>
      </c>
      <c r="F69" s="1843">
        <v>1275</v>
      </c>
      <c r="G69" s="1843">
        <v>0</v>
      </c>
      <c r="H69" s="1843">
        <v>2036</v>
      </c>
      <c r="I69" s="1843">
        <v>0</v>
      </c>
      <c r="J69" s="1843">
        <v>0</v>
      </c>
      <c r="K69" s="1579">
        <f>SUM(C69:J69)</f>
        <v>479698</v>
      </c>
      <c r="L69" s="1842">
        <v>367350</v>
      </c>
      <c r="M69" s="592"/>
      <c r="N69" s="592"/>
    </row>
    <row r="70" spans="1:14" s="343" customFormat="1">
      <c r="A70" s="1413" t="s">
        <v>402</v>
      </c>
      <c r="B70" s="597">
        <v>2640</v>
      </c>
      <c r="C70" s="1843">
        <v>127087</v>
      </c>
      <c r="D70" s="1843">
        <v>56542</v>
      </c>
      <c r="E70" s="1843">
        <v>34111</v>
      </c>
      <c r="F70" s="1843">
        <v>3167</v>
      </c>
      <c r="G70" s="1843">
        <v>0</v>
      </c>
      <c r="H70" s="1843">
        <v>29320</v>
      </c>
      <c r="I70" s="1843">
        <v>0</v>
      </c>
      <c r="J70" s="1843">
        <v>0</v>
      </c>
      <c r="K70" s="1579">
        <f>SUM(C70:J70)</f>
        <v>250227</v>
      </c>
      <c r="L70" s="1842">
        <v>259035</v>
      </c>
      <c r="M70" s="592"/>
      <c r="N70" s="592"/>
    </row>
    <row r="71" spans="1:14" s="343" customFormat="1">
      <c r="A71" s="1413" t="s">
        <v>403</v>
      </c>
      <c r="B71" s="597">
        <v>2660</v>
      </c>
      <c r="C71" s="1843">
        <v>1150011</v>
      </c>
      <c r="D71" s="1843">
        <v>248086</v>
      </c>
      <c r="E71" s="1843">
        <v>2446806</v>
      </c>
      <c r="F71" s="1843">
        <v>105700</v>
      </c>
      <c r="G71" s="1843">
        <v>40078</v>
      </c>
      <c r="H71" s="1843">
        <v>185588</v>
      </c>
      <c r="I71" s="1843">
        <v>0</v>
      </c>
      <c r="J71" s="1843">
        <v>0</v>
      </c>
      <c r="K71" s="1579">
        <f>SUM(C71:J71)</f>
        <v>4176269</v>
      </c>
      <c r="L71" s="1842">
        <v>4379620</v>
      </c>
      <c r="M71" s="592"/>
      <c r="N71" s="592"/>
    </row>
    <row r="72" spans="1:14" s="343" customFormat="1" ht="12.75" customHeight="1" thickBot="1">
      <c r="A72" s="1575" t="s">
        <v>37</v>
      </c>
      <c r="B72" s="1582" t="s">
        <v>36</v>
      </c>
      <c r="C72" s="1577">
        <f>SUM(C67:C71)</f>
        <v>1609671</v>
      </c>
      <c r="D72" s="1577">
        <f t="shared" ref="D72:K72" si="9">SUM(D67:D71)</f>
        <v>387427</v>
      </c>
      <c r="E72" s="1577">
        <f t="shared" si="9"/>
        <v>2541932</v>
      </c>
      <c r="F72" s="1577">
        <f t="shared" si="9"/>
        <v>110142</v>
      </c>
      <c r="G72" s="1577">
        <f t="shared" si="9"/>
        <v>40078</v>
      </c>
      <c r="H72" s="1577">
        <f t="shared" si="9"/>
        <v>216944</v>
      </c>
      <c r="I72" s="1577">
        <f t="shared" si="9"/>
        <v>0</v>
      </c>
      <c r="J72" s="1577">
        <f t="shared" si="9"/>
        <v>0</v>
      </c>
      <c r="K72" s="1577">
        <f t="shared" si="9"/>
        <v>4906194</v>
      </c>
      <c r="L72" s="1577">
        <f>SUM(L67:L71)</f>
        <v>5006005</v>
      </c>
      <c r="M72" s="592"/>
      <c r="N72" s="592"/>
    </row>
    <row r="73" spans="1:14" s="343" customFormat="1" ht="14.25" thickTop="1" thickBot="1">
      <c r="A73" s="1419" t="s">
        <v>979</v>
      </c>
      <c r="B73" s="615" t="s">
        <v>573</v>
      </c>
      <c r="C73" s="1843">
        <v>17428</v>
      </c>
      <c r="D73" s="1843">
        <v>12085</v>
      </c>
      <c r="E73" s="1843">
        <v>51925</v>
      </c>
      <c r="F73" s="1843">
        <v>2302</v>
      </c>
      <c r="G73" s="1843">
        <v>0</v>
      </c>
      <c r="H73" s="1843">
        <v>0</v>
      </c>
      <c r="I73" s="1843">
        <v>0</v>
      </c>
      <c r="J73" s="1843">
        <v>272567</v>
      </c>
      <c r="K73" s="1577">
        <f>SUM(C73:J73)</f>
        <v>356307</v>
      </c>
      <c r="L73" s="1862">
        <v>449686</v>
      </c>
      <c r="M73" s="592"/>
      <c r="N73" s="592"/>
    </row>
    <row r="74" spans="1:14" ht="12.75" customHeight="1" thickTop="1" thickBot="1">
      <c r="A74" s="1575" t="s">
        <v>810</v>
      </c>
      <c r="B74" s="1583">
        <v>2000</v>
      </c>
      <c r="C74" s="1584">
        <f>SUM(C42,C47,C53,C57,C65,C72,C73)</f>
        <v>11339120</v>
      </c>
      <c r="D74" s="1584">
        <f t="shared" ref="D74:K74" si="10">SUM(D42,D47,D53,D57,D65,D72,D73)</f>
        <v>2468542</v>
      </c>
      <c r="E74" s="1584">
        <f t="shared" si="10"/>
        <v>3573009</v>
      </c>
      <c r="F74" s="1584">
        <f t="shared" si="10"/>
        <v>1474103</v>
      </c>
      <c r="G74" s="1584">
        <f t="shared" si="10"/>
        <v>62494</v>
      </c>
      <c r="H74" s="1584">
        <f t="shared" si="10"/>
        <v>337579</v>
      </c>
      <c r="I74" s="1584">
        <f t="shared" si="10"/>
        <v>0</v>
      </c>
      <c r="J74" s="1584">
        <f t="shared" si="10"/>
        <v>272567</v>
      </c>
      <c r="K74" s="1584">
        <f t="shared" si="10"/>
        <v>19527414</v>
      </c>
      <c r="L74" s="1584">
        <f>SUM(L42,L47,L53,L57,L65,L72,L73)</f>
        <v>20424734</v>
      </c>
    </row>
    <row r="75" spans="1:14" s="259" customFormat="1" ht="15.75" customHeight="1" thickTop="1" thickBot="1">
      <c r="A75" s="1519" t="s">
        <v>47</v>
      </c>
      <c r="B75" s="1520" t="s">
        <v>574</v>
      </c>
      <c r="C75" s="1843">
        <v>127247</v>
      </c>
      <c r="D75" s="1843">
        <v>9197</v>
      </c>
      <c r="E75" s="1843">
        <v>12985</v>
      </c>
      <c r="F75" s="1843">
        <v>2376</v>
      </c>
      <c r="G75" s="1843">
        <v>0</v>
      </c>
      <c r="H75" s="1843">
        <v>0</v>
      </c>
      <c r="I75" s="1843">
        <v>0</v>
      </c>
      <c r="J75" s="1843">
        <v>0</v>
      </c>
      <c r="K75" s="1577">
        <f>SUM(C75:J75)</f>
        <v>151805</v>
      </c>
      <c r="L75" s="1862">
        <v>188741</v>
      </c>
      <c r="M75" s="596"/>
      <c r="N75" s="596"/>
    </row>
    <row r="76" spans="1:14" s="616" customFormat="1" ht="15.75" customHeight="1" thickTop="1">
      <c r="A76" s="1521" t="s">
        <v>364</v>
      </c>
      <c r="B76" s="1518" t="s">
        <v>859</v>
      </c>
      <c r="C76" s="601"/>
      <c r="D76" s="601"/>
      <c r="E76" s="599"/>
      <c r="F76" s="601"/>
      <c r="G76" s="601"/>
      <c r="H76" s="599"/>
      <c r="I76" s="599"/>
      <c r="J76" s="599"/>
      <c r="K76" s="599"/>
      <c r="L76" s="599"/>
      <c r="M76" s="184"/>
      <c r="N76" s="184"/>
    </row>
    <row r="77" spans="1:14" s="259" customFormat="1" ht="15.75" customHeight="1">
      <c r="A77" s="604" t="s">
        <v>613</v>
      </c>
      <c r="B77" s="605"/>
      <c r="C77" s="599"/>
      <c r="D77" s="599"/>
      <c r="E77" s="606"/>
      <c r="F77" s="599"/>
      <c r="G77" s="599"/>
      <c r="H77" s="606"/>
      <c r="I77" s="599"/>
      <c r="J77" s="599"/>
      <c r="K77" s="606"/>
      <c r="L77" s="606"/>
      <c r="M77" s="596"/>
      <c r="N77" s="596"/>
    </row>
    <row r="78" spans="1:14">
      <c r="A78" s="1413" t="s">
        <v>495</v>
      </c>
      <c r="B78" s="597">
        <v>4110</v>
      </c>
      <c r="C78" s="599"/>
      <c r="D78" s="599"/>
      <c r="E78" s="1843">
        <v>1800</v>
      </c>
      <c r="F78" s="599"/>
      <c r="G78" s="599"/>
      <c r="H78" s="1843">
        <v>0</v>
      </c>
      <c r="I78" s="477"/>
      <c r="J78" s="477"/>
      <c r="K78" s="1578">
        <f t="shared" ref="K78:K83" si="11">SUM(C78:J78)</f>
        <v>1800</v>
      </c>
      <c r="L78" s="1842">
        <v>2600</v>
      </c>
    </row>
    <row r="79" spans="1:14">
      <c r="A79" s="1413" t="s">
        <v>303</v>
      </c>
      <c r="B79" s="597">
        <v>4120</v>
      </c>
      <c r="C79" s="599"/>
      <c r="D79" s="599"/>
      <c r="E79" s="1843">
        <v>0</v>
      </c>
      <c r="F79" s="599"/>
      <c r="G79" s="599"/>
      <c r="H79" s="1843">
        <v>0</v>
      </c>
      <c r="I79" s="477"/>
      <c r="J79" s="477"/>
      <c r="K79" s="1578">
        <f t="shared" si="11"/>
        <v>0</v>
      </c>
      <c r="L79" s="1842">
        <v>0</v>
      </c>
    </row>
    <row r="80" spans="1:14">
      <c r="A80" s="1413" t="s">
        <v>304</v>
      </c>
      <c r="B80" s="597">
        <v>4130</v>
      </c>
      <c r="C80" s="599"/>
      <c r="D80" s="599"/>
      <c r="E80" s="1843">
        <v>0</v>
      </c>
      <c r="F80" s="599"/>
      <c r="G80" s="599"/>
      <c r="H80" s="1843">
        <v>0</v>
      </c>
      <c r="I80" s="477"/>
      <c r="J80" s="477"/>
      <c r="K80" s="1578">
        <f t="shared" si="11"/>
        <v>0</v>
      </c>
      <c r="L80" s="1842">
        <v>0</v>
      </c>
    </row>
    <row r="81" spans="1:12">
      <c r="A81" s="1413" t="s">
        <v>696</v>
      </c>
      <c r="B81" s="597">
        <v>4140</v>
      </c>
      <c r="C81" s="599"/>
      <c r="D81" s="599"/>
      <c r="E81" s="1843">
        <v>0</v>
      </c>
      <c r="F81" s="599"/>
      <c r="G81" s="599"/>
      <c r="H81" s="1843">
        <v>0</v>
      </c>
      <c r="I81" s="477"/>
      <c r="J81" s="477"/>
      <c r="K81" s="1578">
        <f t="shared" si="11"/>
        <v>0</v>
      </c>
      <c r="L81" s="1842">
        <v>0</v>
      </c>
    </row>
    <row r="82" spans="1:12">
      <c r="A82" s="1413" t="s">
        <v>86</v>
      </c>
      <c r="B82" s="597">
        <v>4170</v>
      </c>
      <c r="C82" s="599"/>
      <c r="D82" s="599"/>
      <c r="E82" s="1843">
        <v>0</v>
      </c>
      <c r="F82" s="599"/>
      <c r="G82" s="599"/>
      <c r="H82" s="1843">
        <v>0</v>
      </c>
      <c r="I82" s="477"/>
      <c r="J82" s="477"/>
      <c r="K82" s="1578">
        <f t="shared" si="11"/>
        <v>0</v>
      </c>
      <c r="L82" s="1842">
        <v>0</v>
      </c>
    </row>
    <row r="83" spans="1:12">
      <c r="A83" s="1417" t="s">
        <v>697</v>
      </c>
      <c r="B83" s="611">
        <v>4190</v>
      </c>
      <c r="C83" s="599"/>
      <c r="D83" s="599"/>
      <c r="E83" s="1843">
        <v>0</v>
      </c>
      <c r="F83" s="599"/>
      <c r="G83" s="599"/>
      <c r="H83" s="1843">
        <v>0</v>
      </c>
      <c r="I83" s="477"/>
      <c r="J83" s="477"/>
      <c r="K83" s="1578">
        <f t="shared" si="11"/>
        <v>0</v>
      </c>
      <c r="L83" s="1842">
        <v>0</v>
      </c>
    </row>
    <row r="84" spans="1:12" ht="13.5" thickBot="1">
      <c r="A84" s="1575" t="s">
        <v>1482</v>
      </c>
      <c r="B84" s="1585">
        <v>4100</v>
      </c>
      <c r="C84" s="599"/>
      <c r="D84" s="599"/>
      <c r="E84" s="1577">
        <f>SUM(E78:E83)</f>
        <v>1800</v>
      </c>
      <c r="F84" s="599"/>
      <c r="G84" s="599"/>
      <c r="H84" s="1577">
        <f>SUM(H78:H83)</f>
        <v>0</v>
      </c>
      <c r="I84" s="477"/>
      <c r="J84" s="477"/>
      <c r="K84" s="1577">
        <f>SUM(K78:K83)</f>
        <v>1800</v>
      </c>
      <c r="L84" s="1577">
        <f>SUM(L78:L83)</f>
        <v>2600</v>
      </c>
    </row>
    <row r="85" spans="1:12" ht="12.75" customHeight="1" thickTop="1" thickBot="1">
      <c r="A85" s="1420" t="s">
        <v>255</v>
      </c>
      <c r="B85" s="617">
        <v>4210</v>
      </c>
      <c r="C85" s="599"/>
      <c r="D85" s="599"/>
      <c r="E85" s="618"/>
      <c r="F85" s="599"/>
      <c r="G85" s="599"/>
      <c r="H85" s="1843">
        <v>0</v>
      </c>
      <c r="I85" s="477"/>
      <c r="J85" s="477"/>
      <c r="K85" s="1584">
        <f>H85</f>
        <v>0</v>
      </c>
      <c r="L85" s="1863">
        <v>0</v>
      </c>
    </row>
    <row r="86" spans="1:12" ht="12.75" customHeight="1" thickTop="1" thickBot="1">
      <c r="A86" s="1421" t="s">
        <v>698</v>
      </c>
      <c r="B86" s="619">
        <v>4220</v>
      </c>
      <c r="C86" s="599"/>
      <c r="D86" s="599"/>
      <c r="E86" s="620"/>
      <c r="F86" s="599"/>
      <c r="G86" s="599"/>
      <c r="H86" s="1843">
        <v>213042</v>
      </c>
      <c r="I86" s="477"/>
      <c r="J86" s="477"/>
      <c r="K86" s="1584">
        <f t="shared" ref="K86:K98" si="12">H86</f>
        <v>213042</v>
      </c>
      <c r="L86" s="1863">
        <v>232682</v>
      </c>
    </row>
    <row r="87" spans="1:12" ht="14.25" thickTop="1" thickBot="1">
      <c r="A87" s="1422" t="s">
        <v>699</v>
      </c>
      <c r="B87" s="621">
        <v>4230</v>
      </c>
      <c r="C87" s="599"/>
      <c r="D87" s="599"/>
      <c r="E87" s="620"/>
      <c r="F87" s="599"/>
      <c r="G87" s="599"/>
      <c r="H87" s="1843">
        <v>0</v>
      </c>
      <c r="I87" s="477"/>
      <c r="J87" s="477"/>
      <c r="K87" s="1584">
        <f t="shared" si="12"/>
        <v>0</v>
      </c>
      <c r="L87" s="1863">
        <v>0</v>
      </c>
    </row>
    <row r="88" spans="1:12" ht="12.75" customHeight="1" thickTop="1" thickBot="1">
      <c r="A88" s="1422" t="s">
        <v>764</v>
      </c>
      <c r="B88" s="621">
        <v>4240</v>
      </c>
      <c r="C88" s="599"/>
      <c r="D88" s="599"/>
      <c r="E88" s="620"/>
      <c r="F88" s="599"/>
      <c r="G88" s="599"/>
      <c r="H88" s="1843">
        <v>0</v>
      </c>
      <c r="I88" s="477"/>
      <c r="J88" s="477"/>
      <c r="K88" s="1584">
        <f t="shared" si="12"/>
        <v>0</v>
      </c>
      <c r="L88" s="1863">
        <v>0</v>
      </c>
    </row>
    <row r="89" spans="1:12" ht="12.75" customHeight="1" thickTop="1" thickBot="1">
      <c r="A89" s="1422" t="s">
        <v>700</v>
      </c>
      <c r="B89" s="621">
        <v>4270</v>
      </c>
      <c r="C89" s="599"/>
      <c r="D89" s="599"/>
      <c r="E89" s="620"/>
      <c r="F89" s="599"/>
      <c r="G89" s="599"/>
      <c r="H89" s="1843">
        <v>0</v>
      </c>
      <c r="I89" s="477"/>
      <c r="J89" s="477"/>
      <c r="K89" s="1584">
        <f t="shared" si="12"/>
        <v>0</v>
      </c>
      <c r="L89" s="1863">
        <v>0</v>
      </c>
    </row>
    <row r="90" spans="1:12" ht="12.75" customHeight="1" thickTop="1" thickBot="1">
      <c r="A90" s="1422" t="s">
        <v>685</v>
      </c>
      <c r="B90" s="621">
        <v>4280</v>
      </c>
      <c r="C90" s="599"/>
      <c r="D90" s="599"/>
      <c r="E90" s="620"/>
      <c r="F90" s="599"/>
      <c r="G90" s="599"/>
      <c r="H90" s="1843">
        <v>23513</v>
      </c>
      <c r="I90" s="477"/>
      <c r="J90" s="477"/>
      <c r="K90" s="1584">
        <f t="shared" si="12"/>
        <v>23513</v>
      </c>
      <c r="L90" s="1863">
        <v>35000</v>
      </c>
    </row>
    <row r="91" spans="1:12" ht="12.75" customHeight="1" thickTop="1" thickBot="1">
      <c r="A91" s="1422" t="s">
        <v>686</v>
      </c>
      <c r="B91" s="621">
        <v>4290</v>
      </c>
      <c r="C91" s="599"/>
      <c r="D91" s="599"/>
      <c r="E91" s="620"/>
      <c r="F91" s="599"/>
      <c r="G91" s="599"/>
      <c r="H91" s="1843">
        <v>0</v>
      </c>
      <c r="I91" s="477"/>
      <c r="J91" s="477"/>
      <c r="K91" s="1584">
        <f t="shared" si="12"/>
        <v>0</v>
      </c>
      <c r="L91" s="1863">
        <v>0</v>
      </c>
    </row>
    <row r="92" spans="1:12" ht="14.25" thickTop="1" thickBot="1">
      <c r="A92" s="1587" t="s">
        <v>1557</v>
      </c>
      <c r="B92" s="1585">
        <v>4200</v>
      </c>
      <c r="C92" s="599"/>
      <c r="D92" s="599"/>
      <c r="E92" s="620"/>
      <c r="F92" s="599"/>
      <c r="G92" s="599"/>
      <c r="H92" s="1577">
        <f>SUM(H85:H91)</f>
        <v>236555</v>
      </c>
      <c r="I92" s="477"/>
      <c r="J92" s="477"/>
      <c r="K92" s="1584">
        <f t="shared" si="12"/>
        <v>236555</v>
      </c>
      <c r="L92" s="1577">
        <f>SUM(L85:L91)</f>
        <v>267682</v>
      </c>
    </row>
    <row r="93" spans="1:12" ht="14.25" thickTop="1" thickBot="1">
      <c r="A93" s="1421" t="s">
        <v>687</v>
      </c>
      <c r="B93" s="622">
        <v>4310</v>
      </c>
      <c r="C93" s="599"/>
      <c r="D93" s="599"/>
      <c r="E93" s="620"/>
      <c r="F93" s="599"/>
      <c r="G93" s="599"/>
      <c r="H93" s="1843">
        <v>0</v>
      </c>
      <c r="I93" s="477"/>
      <c r="J93" s="477"/>
      <c r="K93" s="1584">
        <f t="shared" si="12"/>
        <v>0</v>
      </c>
      <c r="L93" s="1864">
        <v>0</v>
      </c>
    </row>
    <row r="94" spans="1:12" ht="12.75" customHeight="1" thickTop="1" thickBot="1">
      <c r="A94" s="1422" t="s">
        <v>688</v>
      </c>
      <c r="B94" s="621">
        <v>4320</v>
      </c>
      <c r="C94" s="599"/>
      <c r="D94" s="599"/>
      <c r="E94" s="620"/>
      <c r="F94" s="599"/>
      <c r="G94" s="599"/>
      <c r="H94" s="1843">
        <v>0</v>
      </c>
      <c r="I94" s="477"/>
      <c r="J94" s="477"/>
      <c r="K94" s="1584">
        <f t="shared" si="12"/>
        <v>0</v>
      </c>
      <c r="L94" s="1864">
        <v>0</v>
      </c>
    </row>
    <row r="95" spans="1:12" ht="15" customHeight="1" thickTop="1" thickBot="1">
      <c r="A95" s="1422" t="s">
        <v>1485</v>
      </c>
      <c r="B95" s="621">
        <v>4330</v>
      </c>
      <c r="C95" s="599"/>
      <c r="D95" s="599"/>
      <c r="E95" s="620"/>
      <c r="F95" s="599"/>
      <c r="G95" s="599"/>
      <c r="H95" s="1843">
        <v>0</v>
      </c>
      <c r="I95" s="477"/>
      <c r="J95" s="477"/>
      <c r="K95" s="1584">
        <f t="shared" si="12"/>
        <v>0</v>
      </c>
      <c r="L95" s="1864">
        <v>0</v>
      </c>
    </row>
    <row r="96" spans="1:12" ht="14.25" thickTop="1" thickBot="1">
      <c r="A96" s="1422" t="s">
        <v>689</v>
      </c>
      <c r="B96" s="621">
        <v>4340</v>
      </c>
      <c r="C96" s="599"/>
      <c r="D96" s="599"/>
      <c r="E96" s="620"/>
      <c r="F96" s="599"/>
      <c r="G96" s="599"/>
      <c r="H96" s="1843">
        <v>0</v>
      </c>
      <c r="I96" s="477"/>
      <c r="J96" s="477"/>
      <c r="K96" s="1584">
        <f t="shared" si="12"/>
        <v>0</v>
      </c>
      <c r="L96" s="1864">
        <v>0</v>
      </c>
    </row>
    <row r="97" spans="1:14" ht="12.75" customHeight="1" thickTop="1" thickBot="1">
      <c r="A97" s="1422" t="s">
        <v>762</v>
      </c>
      <c r="B97" s="621">
        <v>4370</v>
      </c>
      <c r="C97" s="599"/>
      <c r="D97" s="599"/>
      <c r="E97" s="620"/>
      <c r="F97" s="599"/>
      <c r="G97" s="599"/>
      <c r="H97" s="1843">
        <v>0</v>
      </c>
      <c r="I97" s="477"/>
      <c r="J97" s="477"/>
      <c r="K97" s="1584">
        <f t="shared" si="12"/>
        <v>0</v>
      </c>
      <c r="L97" s="1864">
        <v>0</v>
      </c>
    </row>
    <row r="98" spans="1:14" ht="14.25" thickTop="1" thickBot="1">
      <c r="A98" s="1422" t="s">
        <v>763</v>
      </c>
      <c r="B98" s="621">
        <v>4380</v>
      </c>
      <c r="C98" s="599"/>
      <c r="D98" s="599"/>
      <c r="E98" s="623"/>
      <c r="F98" s="599"/>
      <c r="G98" s="599"/>
      <c r="H98" s="1843">
        <v>0</v>
      </c>
      <c r="I98" s="477"/>
      <c r="J98" s="477"/>
      <c r="K98" s="1584">
        <f t="shared" si="12"/>
        <v>0</v>
      </c>
      <c r="L98" s="1864">
        <v>0</v>
      </c>
    </row>
    <row r="99" spans="1:14" ht="14.25" thickTop="1" thickBot="1">
      <c r="A99" s="1422" t="s">
        <v>366</v>
      </c>
      <c r="B99" s="621">
        <v>4390</v>
      </c>
      <c r="C99" s="599"/>
      <c r="D99" s="599"/>
      <c r="E99" s="1843">
        <v>0</v>
      </c>
      <c r="F99" s="599"/>
      <c r="G99" s="599"/>
      <c r="H99" s="1843">
        <v>0</v>
      </c>
      <c r="I99" s="477"/>
      <c r="J99" s="477"/>
      <c r="K99" s="1584">
        <f>SUM(E99,H99)</f>
        <v>0</v>
      </c>
      <c r="L99" s="1863">
        <v>0</v>
      </c>
    </row>
    <row r="100" spans="1:14" ht="14.25" thickTop="1" thickBot="1">
      <c r="A100" s="1587" t="s">
        <v>1483</v>
      </c>
      <c r="B100" s="1588">
        <v>4300</v>
      </c>
      <c r="C100" s="599"/>
      <c r="D100" s="599"/>
      <c r="E100" s="1584">
        <f>SUM(E93:E99)</f>
        <v>0</v>
      </c>
      <c r="F100" s="599"/>
      <c r="G100" s="599"/>
      <c r="H100" s="1584">
        <f>SUM(H93:H99)</f>
        <v>0</v>
      </c>
      <c r="I100" s="477"/>
      <c r="J100" s="477"/>
      <c r="K100" s="1584">
        <f>SUM(K93:K99)</f>
        <v>0</v>
      </c>
      <c r="L100" s="1584">
        <f>SUM(L93:L99)</f>
        <v>0</v>
      </c>
    </row>
    <row r="101" spans="1:14" ht="12.75" customHeight="1" thickTop="1" thickBot="1">
      <c r="A101" s="1419" t="s">
        <v>1486</v>
      </c>
      <c r="B101" s="624" t="s">
        <v>930</v>
      </c>
      <c r="C101" s="599"/>
      <c r="D101" s="599"/>
      <c r="E101" s="1843">
        <v>0</v>
      </c>
      <c r="F101" s="599"/>
      <c r="G101" s="599"/>
      <c r="H101" s="1843">
        <v>0</v>
      </c>
      <c r="I101" s="477"/>
      <c r="J101" s="477"/>
      <c r="K101" s="1586">
        <f>SUM(C101:J101)</f>
        <v>0</v>
      </c>
      <c r="L101" s="1863">
        <v>0</v>
      </c>
    </row>
    <row r="102" spans="1:14" ht="12.75" customHeight="1" thickTop="1" thickBot="1">
      <c r="A102" s="1575" t="s">
        <v>1484</v>
      </c>
      <c r="B102" s="1585">
        <v>4000</v>
      </c>
      <c r="C102" s="599"/>
      <c r="D102" s="599"/>
      <c r="E102" s="1584">
        <f>SUM(E84,E92,E100,E101)</f>
        <v>1800</v>
      </c>
      <c r="F102" s="599"/>
      <c r="G102" s="599"/>
      <c r="H102" s="1584">
        <f>SUM(H84,H92,H100,H101)</f>
        <v>236555</v>
      </c>
      <c r="I102" s="477"/>
      <c r="J102" s="477"/>
      <c r="K102" s="1584">
        <f>SUM(K84,K92,K100,K101)</f>
        <v>238355</v>
      </c>
      <c r="L102" s="1584">
        <f>SUM(L84,L92,L100,L101)</f>
        <v>270282</v>
      </c>
    </row>
    <row r="103" spans="1:14" s="616" customFormat="1" ht="15.75" customHeight="1" thickTop="1">
      <c r="A103" s="1521" t="s">
        <v>512</v>
      </c>
      <c r="B103" s="1518" t="s">
        <v>491</v>
      </c>
      <c r="C103" s="599"/>
      <c r="D103" s="599"/>
      <c r="E103" s="599"/>
      <c r="F103" s="599"/>
      <c r="G103" s="599"/>
      <c r="H103" s="601"/>
      <c r="I103" s="468"/>
      <c r="J103" s="468"/>
      <c r="K103" s="601"/>
      <c r="L103" s="601"/>
      <c r="M103" s="184"/>
      <c r="N103" s="184"/>
    </row>
    <row r="104" spans="1:14" s="627" customFormat="1" ht="15.75" customHeight="1">
      <c r="A104" s="625" t="s">
        <v>614</v>
      </c>
      <c r="B104" s="626"/>
      <c r="C104" s="599"/>
      <c r="D104" s="599"/>
      <c r="E104" s="599"/>
      <c r="F104" s="599"/>
      <c r="G104" s="599"/>
      <c r="H104" s="606"/>
      <c r="I104" s="468"/>
      <c r="J104" s="468"/>
      <c r="K104" s="606"/>
      <c r="L104" s="606"/>
      <c r="M104" s="596"/>
      <c r="N104" s="596"/>
    </row>
    <row r="105" spans="1:14" s="580" customFormat="1">
      <c r="A105" s="1413" t="s">
        <v>87</v>
      </c>
      <c r="B105" s="597">
        <v>5110</v>
      </c>
      <c r="C105" s="599"/>
      <c r="D105" s="599"/>
      <c r="E105" s="599"/>
      <c r="F105" s="599"/>
      <c r="G105" s="599"/>
      <c r="H105" s="1843">
        <v>0</v>
      </c>
      <c r="I105" s="468"/>
      <c r="J105" s="468"/>
      <c r="K105" s="1578">
        <f>H105</f>
        <v>0</v>
      </c>
      <c r="L105" s="1842">
        <v>0</v>
      </c>
      <c r="M105" s="210"/>
      <c r="N105" s="210"/>
    </row>
    <row r="106" spans="1:14" s="580" customFormat="1">
      <c r="A106" s="1413" t="s">
        <v>88</v>
      </c>
      <c r="B106" s="597">
        <v>5120</v>
      </c>
      <c r="C106" s="599"/>
      <c r="D106" s="599"/>
      <c r="E106" s="599"/>
      <c r="F106" s="599"/>
      <c r="G106" s="599"/>
      <c r="H106" s="1843">
        <v>0</v>
      </c>
      <c r="I106" s="468"/>
      <c r="J106" s="468"/>
      <c r="K106" s="1578">
        <f>H106</f>
        <v>0</v>
      </c>
      <c r="L106" s="1843">
        <v>0</v>
      </c>
      <c r="M106" s="210"/>
      <c r="N106" s="210"/>
    </row>
    <row r="107" spans="1:14" s="580" customFormat="1" ht="12.75" customHeight="1">
      <c r="A107" s="1413" t="s">
        <v>1169</v>
      </c>
      <c r="B107" s="597">
        <v>5130</v>
      </c>
      <c r="C107" s="599"/>
      <c r="D107" s="599"/>
      <c r="E107" s="599"/>
      <c r="F107" s="599"/>
      <c r="G107" s="599"/>
      <c r="H107" s="1843">
        <v>0</v>
      </c>
      <c r="I107" s="468"/>
      <c r="J107" s="468"/>
      <c r="K107" s="1578">
        <f>H107</f>
        <v>0</v>
      </c>
      <c r="L107" s="1843">
        <v>0</v>
      </c>
      <c r="M107" s="210"/>
      <c r="N107" s="210"/>
    </row>
    <row r="108" spans="1:14" s="580" customFormat="1">
      <c r="A108" s="1413" t="s">
        <v>89</v>
      </c>
      <c r="B108" s="597" t="s">
        <v>588</v>
      </c>
      <c r="C108" s="599"/>
      <c r="D108" s="599"/>
      <c r="E108" s="599"/>
      <c r="F108" s="599"/>
      <c r="G108" s="599"/>
      <c r="H108" s="1843">
        <v>0</v>
      </c>
      <c r="I108" s="468"/>
      <c r="J108" s="468"/>
      <c r="K108" s="1578">
        <f>H108</f>
        <v>0</v>
      </c>
      <c r="L108" s="1843">
        <v>0</v>
      </c>
      <c r="M108" s="210"/>
      <c r="N108" s="210"/>
    </row>
    <row r="109" spans="1:14" s="580" customFormat="1">
      <c r="A109" s="1413" t="s">
        <v>254</v>
      </c>
      <c r="B109" s="611">
        <v>5150</v>
      </c>
      <c r="C109" s="599"/>
      <c r="D109" s="599"/>
      <c r="E109" s="599"/>
      <c r="F109" s="599"/>
      <c r="G109" s="599"/>
      <c r="H109" s="1843">
        <v>0</v>
      </c>
      <c r="I109" s="468"/>
      <c r="J109" s="468"/>
      <c r="K109" s="1578">
        <f>H109</f>
        <v>0</v>
      </c>
      <c r="L109" s="1843">
        <v>0</v>
      </c>
      <c r="M109" s="210"/>
      <c r="N109" s="210"/>
    </row>
    <row r="110" spans="1:14" s="580" customFormat="1" ht="12.75" customHeight="1" thickBot="1">
      <c r="A110" s="1575" t="s">
        <v>1101</v>
      </c>
      <c r="B110" s="1582" t="s">
        <v>717</v>
      </c>
      <c r="C110" s="599"/>
      <c r="D110" s="599"/>
      <c r="E110" s="599"/>
      <c r="F110" s="599"/>
      <c r="G110" s="599"/>
      <c r="H110" s="1577">
        <f>SUM(H105:H109)</f>
        <v>0</v>
      </c>
      <c r="I110" s="468"/>
      <c r="J110" s="468"/>
      <c r="K110" s="1577">
        <f>SUM(K105:K109)</f>
        <v>0</v>
      </c>
      <c r="L110" s="1577">
        <f>SUM(L105:L109)</f>
        <v>0</v>
      </c>
      <c r="M110" s="210"/>
      <c r="N110" s="210"/>
    </row>
    <row r="111" spans="1:14" s="580" customFormat="1" ht="12.75" customHeight="1" thickTop="1" thickBot="1">
      <c r="A111" s="1423" t="s">
        <v>367</v>
      </c>
      <c r="B111" s="628" t="s">
        <v>38</v>
      </c>
      <c r="C111" s="599"/>
      <c r="D111" s="599"/>
      <c r="E111" s="599"/>
      <c r="F111" s="599"/>
      <c r="G111" s="599"/>
      <c r="H111" s="1843">
        <v>0</v>
      </c>
      <c r="I111" s="468"/>
      <c r="J111" s="468"/>
      <c r="K111" s="1590">
        <f>H111</f>
        <v>0</v>
      </c>
      <c r="L111" s="1864">
        <v>0</v>
      </c>
      <c r="M111" s="210"/>
      <c r="N111" s="210"/>
    </row>
    <row r="112" spans="1:14" s="580" customFormat="1" ht="12.75" customHeight="1" thickTop="1" thickBot="1">
      <c r="A112" s="1575" t="s">
        <v>637</v>
      </c>
      <c r="B112" s="1576" t="s">
        <v>491</v>
      </c>
      <c r="C112" s="599"/>
      <c r="D112" s="599"/>
      <c r="E112" s="599"/>
      <c r="F112" s="599"/>
      <c r="G112" s="599"/>
      <c r="H112" s="1577">
        <f>SUM(H110:H111)</f>
        <v>0</v>
      </c>
      <c r="I112" s="468"/>
      <c r="J112" s="468"/>
      <c r="K112" s="1577">
        <f>SUM(K110:K111)</f>
        <v>0</v>
      </c>
      <c r="L112" s="1584">
        <f>SUM(L110,L111)</f>
        <v>0</v>
      </c>
      <c r="M112" s="210"/>
      <c r="N112" s="210"/>
    </row>
    <row r="113" spans="1:14" s="259" customFormat="1" ht="15.75" customHeight="1" thickTop="1" thickBot="1">
      <c r="A113" s="1515" t="s">
        <v>513</v>
      </c>
      <c r="B113" s="1522" t="s">
        <v>860</v>
      </c>
      <c r="C113" s="606"/>
      <c r="D113" s="606"/>
      <c r="E113" s="599"/>
      <c r="F113" s="599"/>
      <c r="G113" s="599"/>
      <c r="H113" s="606"/>
      <c r="I113" s="468"/>
      <c r="J113" s="468"/>
      <c r="K113" s="606"/>
      <c r="L113" s="1862">
        <v>1068002</v>
      </c>
      <c r="M113" s="596"/>
      <c r="N113" s="596"/>
    </row>
    <row r="114" spans="1:14" ht="12.75" customHeight="1" thickTop="1" thickBot="1">
      <c r="A114" s="1575" t="s">
        <v>48</v>
      </c>
      <c r="B114" s="1589"/>
      <c r="C114" s="1577">
        <f>SUM(C33,C74,C75,C102,C112,C113)</f>
        <v>47285174</v>
      </c>
      <c r="D114" s="1577">
        <f t="shared" ref="D114:K114" si="13">SUM(D33,D74,D75,D102,D112,D113)</f>
        <v>9560198</v>
      </c>
      <c r="E114" s="1577">
        <f t="shared" si="13"/>
        <v>4594327</v>
      </c>
      <c r="F114" s="1577">
        <f t="shared" si="13"/>
        <v>2513372</v>
      </c>
      <c r="G114" s="1577">
        <f t="shared" si="13"/>
        <v>142134</v>
      </c>
      <c r="H114" s="1577">
        <f>SUM(H33,H74,H75,H102,H112,H113)</f>
        <v>5070524</v>
      </c>
      <c r="I114" s="1577">
        <f t="shared" si="13"/>
        <v>145574</v>
      </c>
      <c r="J114" s="1577">
        <f t="shared" si="13"/>
        <v>272664</v>
      </c>
      <c r="K114" s="1577">
        <f t="shared" si="13"/>
        <v>69583967</v>
      </c>
      <c r="L114" s="1577">
        <f>SUM(L33,L74,L75,L102,L112,L113)</f>
        <v>73376498</v>
      </c>
    </row>
    <row r="115" spans="1:14" ht="13.5" thickTop="1">
      <c r="A115" s="2184" t="s">
        <v>995</v>
      </c>
      <c r="B115" s="2185"/>
      <c r="C115" s="601"/>
      <c r="D115" s="601"/>
      <c r="E115" s="601"/>
      <c r="F115" s="601"/>
      <c r="G115" s="601"/>
      <c r="H115" s="601"/>
      <c r="I115" s="601"/>
      <c r="J115" s="601"/>
      <c r="K115" s="1591">
        <f>'Revenues 9-14'!C268-'Expenditures 15-22'!K114</f>
        <v>12384804</v>
      </c>
      <c r="L115" s="601"/>
    </row>
    <row r="116" spans="1:14" s="180" customFormat="1" ht="9" customHeight="1">
      <c r="A116" s="629"/>
      <c r="B116" s="630"/>
      <c r="C116" s="631"/>
      <c r="D116" s="631"/>
      <c r="E116" s="631"/>
      <c r="F116" s="631"/>
      <c r="G116" s="631"/>
      <c r="H116" s="631"/>
      <c r="I116" s="631"/>
      <c r="J116" s="631"/>
      <c r="K116" s="631"/>
      <c r="L116" s="631"/>
      <c r="M116" s="210"/>
      <c r="N116" s="210"/>
    </row>
    <row r="117" spans="1:14" s="632" customFormat="1" ht="16.7" customHeight="1">
      <c r="A117" s="2189" t="s">
        <v>295</v>
      </c>
      <c r="B117" s="2190"/>
      <c r="C117" s="1535"/>
      <c r="D117" s="1536"/>
      <c r="E117" s="1536"/>
      <c r="F117" s="1536"/>
      <c r="G117" s="1536"/>
      <c r="H117" s="1536"/>
      <c r="I117" s="1536"/>
      <c r="J117" s="1536"/>
      <c r="K117" s="1536"/>
      <c r="L117" s="1537"/>
      <c r="M117" s="175"/>
      <c r="N117" s="175"/>
    </row>
    <row r="118" spans="1:14" ht="15.75" customHeight="1">
      <c r="A118" s="1523" t="s">
        <v>1034</v>
      </c>
      <c r="B118" s="1524" t="s">
        <v>568</v>
      </c>
      <c r="C118" s="599"/>
      <c r="D118" s="599"/>
      <c r="E118" s="599"/>
      <c r="F118" s="599"/>
      <c r="G118" s="599"/>
      <c r="H118" s="599"/>
      <c r="I118" s="599"/>
      <c r="J118" s="599"/>
      <c r="K118" s="599"/>
      <c r="L118" s="599"/>
    </row>
    <row r="119" spans="1:14" ht="15.75" customHeight="1">
      <c r="A119" s="633" t="s">
        <v>590</v>
      </c>
      <c r="B119" s="605"/>
      <c r="C119" s="606"/>
      <c r="D119" s="606"/>
      <c r="E119" s="606"/>
      <c r="F119" s="599"/>
      <c r="G119" s="599"/>
      <c r="H119" s="606"/>
      <c r="I119" s="599"/>
      <c r="J119" s="599"/>
      <c r="K119" s="606"/>
      <c r="L119" s="606"/>
    </row>
    <row r="120" spans="1:14" ht="12.75" customHeight="1">
      <c r="A120" s="1417" t="s">
        <v>2031</v>
      </c>
      <c r="B120" s="611" t="s">
        <v>715</v>
      </c>
      <c r="C120" s="1843">
        <v>0</v>
      </c>
      <c r="D120" s="1843">
        <v>0</v>
      </c>
      <c r="E120" s="1843">
        <v>0</v>
      </c>
      <c r="F120" s="1843">
        <v>0</v>
      </c>
      <c r="G120" s="1843">
        <v>0</v>
      </c>
      <c r="H120" s="1843">
        <v>0</v>
      </c>
      <c r="I120" s="1843">
        <v>0</v>
      </c>
      <c r="J120" s="1843">
        <v>0</v>
      </c>
      <c r="K120" s="1578">
        <f>SUM(C120:J120)</f>
        <v>0</v>
      </c>
      <c r="L120" s="1843">
        <v>0</v>
      </c>
    </row>
    <row r="121" spans="1:14" ht="15.75" customHeight="1">
      <c r="A121" s="634" t="s">
        <v>611</v>
      </c>
      <c r="B121" s="605"/>
      <c r="C121" s="521"/>
      <c r="D121" s="521"/>
      <c r="E121" s="521"/>
      <c r="F121" s="521"/>
      <c r="G121" s="521"/>
      <c r="H121" s="521"/>
      <c r="I121" s="599"/>
      <c r="J121" s="599"/>
      <c r="K121" s="606"/>
      <c r="L121" s="521"/>
    </row>
    <row r="122" spans="1:14" ht="13.5" thickBot="1">
      <c r="A122" s="1413" t="s">
        <v>1067</v>
      </c>
      <c r="B122" s="597">
        <v>2510</v>
      </c>
      <c r="C122" s="1843">
        <v>0</v>
      </c>
      <c r="D122" s="1843">
        <v>0</v>
      </c>
      <c r="E122" s="1843">
        <v>0</v>
      </c>
      <c r="F122" s="1843">
        <v>0</v>
      </c>
      <c r="G122" s="1843">
        <v>0</v>
      </c>
      <c r="H122" s="1843">
        <v>0</v>
      </c>
      <c r="I122" s="1843">
        <v>0</v>
      </c>
      <c r="J122" s="1843">
        <v>0</v>
      </c>
      <c r="K122" s="1577">
        <f>SUM(C122:J122)</f>
        <v>0</v>
      </c>
      <c r="L122" s="1843">
        <v>0</v>
      </c>
    </row>
    <row r="123" spans="1:14" ht="14.25" thickTop="1" thickBot="1">
      <c r="A123" s="1413" t="s">
        <v>4</v>
      </c>
      <c r="B123" s="597">
        <v>2530</v>
      </c>
      <c r="C123" s="1843">
        <v>0</v>
      </c>
      <c r="D123" s="1843">
        <v>0</v>
      </c>
      <c r="E123" s="1843">
        <v>139560</v>
      </c>
      <c r="F123" s="1843">
        <v>10694</v>
      </c>
      <c r="G123" s="1843">
        <v>0</v>
      </c>
      <c r="H123" s="1843">
        <v>0</v>
      </c>
      <c r="I123" s="1843">
        <v>0</v>
      </c>
      <c r="J123" s="1843">
        <v>0</v>
      </c>
      <c r="K123" s="1577">
        <f>SUM(C123:J123)</f>
        <v>150254</v>
      </c>
      <c r="L123" s="1843">
        <v>182700</v>
      </c>
    </row>
    <row r="124" spans="1:14" ht="14.25" thickTop="1" thickBot="1">
      <c r="A124" s="1413" t="s">
        <v>197</v>
      </c>
      <c r="B124" s="597">
        <v>2540</v>
      </c>
      <c r="C124" s="1843">
        <v>3618906</v>
      </c>
      <c r="D124" s="1843">
        <v>1087046</v>
      </c>
      <c r="E124" s="1843">
        <v>1246079</v>
      </c>
      <c r="F124" s="1843">
        <v>2083798</v>
      </c>
      <c r="G124" s="1843">
        <v>513671</v>
      </c>
      <c r="H124" s="1843">
        <v>885</v>
      </c>
      <c r="I124" s="1843">
        <v>0</v>
      </c>
      <c r="J124" s="1843">
        <v>0</v>
      </c>
      <c r="K124" s="1577">
        <f>SUM(C124:J124)</f>
        <v>8550385</v>
      </c>
      <c r="L124" s="1843">
        <v>8871255</v>
      </c>
    </row>
    <row r="125" spans="1:14" ht="14.25" thickTop="1" thickBot="1">
      <c r="A125" s="1413" t="s">
        <v>952</v>
      </c>
      <c r="B125" s="597">
        <v>2550</v>
      </c>
      <c r="C125" s="1843">
        <v>0</v>
      </c>
      <c r="D125" s="1843">
        <v>0</v>
      </c>
      <c r="E125" s="1843">
        <v>0</v>
      </c>
      <c r="F125" s="1843">
        <v>0</v>
      </c>
      <c r="G125" s="1843">
        <v>0</v>
      </c>
      <c r="H125" s="1843">
        <v>0</v>
      </c>
      <c r="I125" s="1843">
        <v>0</v>
      </c>
      <c r="J125" s="1843">
        <v>0</v>
      </c>
      <c r="K125" s="1577">
        <f>SUM(C125:J125)</f>
        <v>0</v>
      </c>
      <c r="L125" s="1843">
        <v>0</v>
      </c>
    </row>
    <row r="126" spans="1:14" ht="14.25" thickTop="1" thickBot="1">
      <c r="A126" s="1413" t="s">
        <v>100</v>
      </c>
      <c r="B126" s="597">
        <v>2560</v>
      </c>
      <c r="C126" s="635"/>
      <c r="D126" s="635"/>
      <c r="E126" s="635"/>
      <c r="F126" s="635"/>
      <c r="G126" s="1843">
        <v>0</v>
      </c>
      <c r="H126" s="635"/>
      <c r="I126" s="1843">
        <v>0</v>
      </c>
      <c r="J126" s="599"/>
      <c r="K126" s="1577">
        <f>SUM(C126:J126)</f>
        <v>0</v>
      </c>
      <c r="L126" s="1843">
        <v>0</v>
      </c>
    </row>
    <row r="127" spans="1:14" ht="12.75" customHeight="1" thickTop="1" thickBot="1">
      <c r="A127" s="1575" t="s">
        <v>718</v>
      </c>
      <c r="B127" s="1576" t="s">
        <v>35</v>
      </c>
      <c r="C127" s="1577">
        <f>SUM(C122:C126)</f>
        <v>3618906</v>
      </c>
      <c r="D127" s="1577">
        <f t="shared" ref="D127:L127" si="14">SUM(D122:D126)</f>
        <v>1087046</v>
      </c>
      <c r="E127" s="1577">
        <f t="shared" si="14"/>
        <v>1385639</v>
      </c>
      <c r="F127" s="1577">
        <f t="shared" si="14"/>
        <v>2094492</v>
      </c>
      <c r="G127" s="1577">
        <f t="shared" si="14"/>
        <v>513671</v>
      </c>
      <c r="H127" s="1577">
        <f t="shared" si="14"/>
        <v>885</v>
      </c>
      <c r="I127" s="1577">
        <f t="shared" si="14"/>
        <v>0</v>
      </c>
      <c r="J127" s="1577">
        <f t="shared" si="14"/>
        <v>0</v>
      </c>
      <c r="K127" s="1577">
        <f t="shared" si="14"/>
        <v>8700639</v>
      </c>
      <c r="L127" s="1577">
        <f t="shared" si="14"/>
        <v>9053955</v>
      </c>
    </row>
    <row r="128" spans="1:14" ht="12.75" customHeight="1" thickTop="1" thickBot="1">
      <c r="A128" s="1420" t="s">
        <v>979</v>
      </c>
      <c r="B128" s="636" t="s">
        <v>573</v>
      </c>
      <c r="C128" s="1843">
        <v>0</v>
      </c>
      <c r="D128" s="1843">
        <v>0</v>
      </c>
      <c r="E128" s="1843">
        <v>0</v>
      </c>
      <c r="F128" s="1843">
        <v>0</v>
      </c>
      <c r="G128" s="1843">
        <v>0</v>
      </c>
      <c r="H128" s="1843">
        <v>0</v>
      </c>
      <c r="I128" s="1843">
        <v>0</v>
      </c>
      <c r="J128" s="1843">
        <v>0</v>
      </c>
      <c r="K128" s="1592">
        <f>SUM(C128:J128)</f>
        <v>0</v>
      </c>
      <c r="L128" s="1862">
        <v>0</v>
      </c>
    </row>
    <row r="129" spans="1:14" ht="12.75" customHeight="1" thickTop="1" thickBot="1">
      <c r="A129" s="1593" t="s">
        <v>810</v>
      </c>
      <c r="B129" s="1594" t="s">
        <v>568</v>
      </c>
      <c r="C129" s="1584">
        <f>SUM(C120,C127,C128)</f>
        <v>3618906</v>
      </c>
      <c r="D129" s="1584">
        <f t="shared" ref="D129:L129" si="15">SUM(D120,D127,D128)</f>
        <v>1087046</v>
      </c>
      <c r="E129" s="1584">
        <f t="shared" si="15"/>
        <v>1385639</v>
      </c>
      <c r="F129" s="1584">
        <f t="shared" si="15"/>
        <v>2094492</v>
      </c>
      <c r="G129" s="1584">
        <f t="shared" si="15"/>
        <v>513671</v>
      </c>
      <c r="H129" s="1584">
        <f t="shared" si="15"/>
        <v>885</v>
      </c>
      <c r="I129" s="1584">
        <f t="shared" si="15"/>
        <v>0</v>
      </c>
      <c r="J129" s="1584">
        <f t="shared" si="15"/>
        <v>0</v>
      </c>
      <c r="K129" s="1584">
        <f t="shared" si="15"/>
        <v>8700639</v>
      </c>
      <c r="L129" s="1584">
        <f t="shared" si="15"/>
        <v>9053955</v>
      </c>
    </row>
    <row r="130" spans="1:14" ht="15.75" customHeight="1" thickTop="1" thickBot="1">
      <c r="A130" s="1519" t="s">
        <v>1035</v>
      </c>
      <c r="B130" s="1520" t="s">
        <v>574</v>
      </c>
      <c r="C130" s="1843">
        <v>0</v>
      </c>
      <c r="D130" s="1843">
        <v>0</v>
      </c>
      <c r="E130" s="1843">
        <v>0</v>
      </c>
      <c r="F130" s="1843">
        <v>0</v>
      </c>
      <c r="G130" s="1843">
        <v>0</v>
      </c>
      <c r="H130" s="1843">
        <v>0</v>
      </c>
      <c r="I130" s="1843">
        <v>0</v>
      </c>
      <c r="J130" s="1843">
        <v>0</v>
      </c>
      <c r="K130" s="1577">
        <f>SUM(C130:J130)</f>
        <v>0</v>
      </c>
      <c r="L130" s="1862">
        <v>0</v>
      </c>
    </row>
    <row r="131" spans="1:14" ht="15.75" customHeight="1" thickTop="1">
      <c r="A131" s="1525" t="s">
        <v>615</v>
      </c>
      <c r="B131" s="1518" t="s">
        <v>859</v>
      </c>
      <c r="C131" s="468"/>
      <c r="D131" s="468"/>
      <c r="E131" s="563"/>
      <c r="F131" s="468"/>
      <c r="G131" s="468"/>
      <c r="H131" s="563"/>
      <c r="I131" s="468"/>
      <c r="J131" s="468"/>
      <c r="K131" s="563"/>
      <c r="L131" s="563"/>
    </row>
    <row r="132" spans="1:14" s="384" customFormat="1" ht="13.5" customHeight="1">
      <c r="A132" s="637" t="s">
        <v>613</v>
      </c>
      <c r="B132" s="638"/>
      <c r="C132" s="468"/>
      <c r="D132" s="468"/>
      <c r="E132" s="521"/>
      <c r="F132" s="468"/>
      <c r="G132" s="468"/>
      <c r="H132" s="521"/>
      <c r="I132" s="468"/>
      <c r="J132" s="468"/>
      <c r="K132" s="521"/>
      <c r="L132" s="521"/>
      <c r="M132" s="206"/>
      <c r="N132" s="206"/>
    </row>
    <row r="133" spans="1:14" s="384" customFormat="1" ht="13.5" customHeight="1">
      <c r="A133" s="1399" t="s">
        <v>495</v>
      </c>
      <c r="B133" s="1747" t="s">
        <v>1816</v>
      </c>
      <c r="C133" s="468"/>
      <c r="D133" s="468"/>
      <c r="E133" s="1843">
        <v>0</v>
      </c>
      <c r="F133" s="468"/>
      <c r="G133" s="468"/>
      <c r="H133" s="1843">
        <v>0</v>
      </c>
      <c r="I133" s="468"/>
      <c r="J133" s="468"/>
      <c r="K133" s="1728">
        <f>SUM(E133,H133)</f>
        <v>0</v>
      </c>
      <c r="L133" s="1842">
        <v>0</v>
      </c>
      <c r="M133" s="206"/>
      <c r="N133" s="206"/>
    </row>
    <row r="134" spans="1:14">
      <c r="A134" s="1413" t="s">
        <v>303</v>
      </c>
      <c r="B134" s="597">
        <v>4120</v>
      </c>
      <c r="C134" s="599"/>
      <c r="D134" s="599"/>
      <c r="E134" s="1843">
        <v>0</v>
      </c>
      <c r="F134" s="599"/>
      <c r="G134" s="599"/>
      <c r="H134" s="1843">
        <v>0</v>
      </c>
      <c r="I134" s="477"/>
      <c r="J134" s="599"/>
      <c r="K134" s="1579">
        <f>SUM(E134,H134)</f>
        <v>0</v>
      </c>
      <c r="L134" s="1842">
        <v>0</v>
      </c>
    </row>
    <row r="135" spans="1:14">
      <c r="A135" s="1413" t="s">
        <v>696</v>
      </c>
      <c r="B135" s="597">
        <v>4140</v>
      </c>
      <c r="C135" s="599"/>
      <c r="D135" s="599"/>
      <c r="E135" s="1843">
        <v>0</v>
      </c>
      <c r="F135" s="599"/>
      <c r="G135" s="599"/>
      <c r="H135" s="1843">
        <v>0</v>
      </c>
      <c r="I135" s="477"/>
      <c r="J135" s="599"/>
      <c r="K135" s="1579">
        <f>SUM(E135,H135)</f>
        <v>0</v>
      </c>
      <c r="L135" s="1842">
        <v>0</v>
      </c>
    </row>
    <row r="136" spans="1:14">
      <c r="A136" s="1417" t="s">
        <v>697</v>
      </c>
      <c r="B136" s="611">
        <v>4190</v>
      </c>
      <c r="C136" s="599"/>
      <c r="D136" s="599"/>
      <c r="E136" s="1843">
        <v>0</v>
      </c>
      <c r="F136" s="599"/>
      <c r="G136" s="599"/>
      <c r="H136" s="1843">
        <v>0</v>
      </c>
      <c r="I136" s="477"/>
      <c r="J136" s="599"/>
      <c r="K136" s="1579">
        <f>SUM(E136,H136)</f>
        <v>0</v>
      </c>
      <c r="L136" s="1842">
        <v>0</v>
      </c>
    </row>
    <row r="137" spans="1:14" ht="12.75" customHeight="1" thickBot="1">
      <c r="A137" s="1575" t="s">
        <v>479</v>
      </c>
      <c r="B137" s="1585">
        <v>4100</v>
      </c>
      <c r="C137" s="599"/>
      <c r="D137" s="599"/>
      <c r="E137" s="1577">
        <f>SUM(E133:E136)</f>
        <v>0</v>
      </c>
      <c r="F137" s="599"/>
      <c r="G137" s="599"/>
      <c r="H137" s="1577">
        <f>SUM(H133:H136)</f>
        <v>0</v>
      </c>
      <c r="I137" s="477"/>
      <c r="J137" s="599"/>
      <c r="K137" s="1577">
        <f>SUM(K133:K136)</f>
        <v>0</v>
      </c>
      <c r="L137" s="1577">
        <f>SUM(L133:L136)</f>
        <v>0</v>
      </c>
    </row>
    <row r="138" spans="1:14" ht="12.75" customHeight="1" thickTop="1" thickBot="1">
      <c r="A138" s="1419" t="s">
        <v>96</v>
      </c>
      <c r="B138" s="624" t="s">
        <v>930</v>
      </c>
      <c r="C138" s="599"/>
      <c r="D138" s="599"/>
      <c r="E138" s="1843">
        <v>0</v>
      </c>
      <c r="F138" s="599"/>
      <c r="G138" s="599"/>
      <c r="H138" s="1843">
        <v>0</v>
      </c>
      <c r="I138" s="477"/>
      <c r="J138" s="599"/>
      <c r="K138" s="1579">
        <f>SUM(E138,H138)</f>
        <v>0</v>
      </c>
      <c r="L138" s="1842">
        <v>0</v>
      </c>
    </row>
    <row r="139" spans="1:14" ht="12.75" customHeight="1" thickTop="1" thickBot="1">
      <c r="A139" s="1575" t="s">
        <v>1484</v>
      </c>
      <c r="B139" s="1585">
        <v>4000</v>
      </c>
      <c r="C139" s="599"/>
      <c r="D139" s="599"/>
      <c r="E139" s="1577">
        <f>SUM(E137,E138)</f>
        <v>0</v>
      </c>
      <c r="F139" s="599"/>
      <c r="G139" s="599"/>
      <c r="H139" s="1586">
        <f>SUM(H137:H138)</f>
        <v>0</v>
      </c>
      <c r="I139" s="477"/>
      <c r="J139" s="599"/>
      <c r="K139" s="1579">
        <f>SUM(K137,K138)</f>
        <v>0</v>
      </c>
      <c r="L139" s="1586">
        <f>SUM(L137,L138)</f>
        <v>0</v>
      </c>
    </row>
    <row r="140" spans="1:14" ht="15.75" customHeight="1" thickTop="1">
      <c r="A140" s="1521" t="s">
        <v>1036</v>
      </c>
      <c r="B140" s="1522" t="s">
        <v>491</v>
      </c>
      <c r="C140" s="599"/>
      <c r="D140" s="599"/>
      <c r="E140" s="620"/>
      <c r="F140" s="620"/>
      <c r="G140" s="620"/>
      <c r="H140" s="618"/>
      <c r="I140" s="477"/>
      <c r="J140" s="620"/>
      <c r="K140" s="618"/>
      <c r="L140" s="618"/>
    </row>
    <row r="141" spans="1:14" ht="15.75" customHeight="1">
      <c r="A141" s="634" t="s">
        <v>614</v>
      </c>
      <c r="B141" s="605"/>
      <c r="C141" s="599"/>
      <c r="D141" s="599"/>
      <c r="E141" s="599"/>
      <c r="F141" s="599"/>
      <c r="G141" s="599"/>
      <c r="H141" s="606"/>
      <c r="I141" s="468"/>
      <c r="J141" s="599"/>
      <c r="K141" s="606"/>
      <c r="L141" s="606"/>
    </row>
    <row r="142" spans="1:14">
      <c r="A142" s="1413" t="s">
        <v>87</v>
      </c>
      <c r="B142" s="597">
        <v>5110</v>
      </c>
      <c r="C142" s="599"/>
      <c r="D142" s="599"/>
      <c r="E142" s="599"/>
      <c r="F142" s="599"/>
      <c r="G142" s="599"/>
      <c r="H142" s="1843">
        <v>0</v>
      </c>
      <c r="I142" s="468"/>
      <c r="J142" s="599"/>
      <c r="K142" s="1579">
        <f>SUM(H142)</f>
        <v>0</v>
      </c>
      <c r="L142" s="1842">
        <v>0</v>
      </c>
    </row>
    <row r="143" spans="1:14">
      <c r="A143" s="1413" t="s">
        <v>88</v>
      </c>
      <c r="B143" s="597">
        <v>5120</v>
      </c>
      <c r="C143" s="599"/>
      <c r="D143" s="599"/>
      <c r="E143" s="599"/>
      <c r="F143" s="599"/>
      <c r="G143" s="599"/>
      <c r="H143" s="1843">
        <v>0</v>
      </c>
      <c r="I143" s="468"/>
      <c r="J143" s="599"/>
      <c r="K143" s="1579">
        <f>SUM(H143)</f>
        <v>0</v>
      </c>
      <c r="L143" s="1843">
        <v>0</v>
      </c>
    </row>
    <row r="144" spans="1:14" ht="12.75" customHeight="1">
      <c r="A144" s="1413" t="s">
        <v>1169</v>
      </c>
      <c r="B144" s="611" t="s">
        <v>616</v>
      </c>
      <c r="C144" s="599"/>
      <c r="D144" s="599"/>
      <c r="E144" s="599"/>
      <c r="F144" s="599"/>
      <c r="G144" s="599"/>
      <c r="H144" s="1843">
        <v>0</v>
      </c>
      <c r="I144" s="468"/>
      <c r="J144" s="599"/>
      <c r="K144" s="1579">
        <f>SUM(H144)</f>
        <v>0</v>
      </c>
      <c r="L144" s="1843">
        <v>0</v>
      </c>
    </row>
    <row r="145" spans="1:14">
      <c r="A145" s="1413" t="s">
        <v>89</v>
      </c>
      <c r="B145" s="597" t="s">
        <v>588</v>
      </c>
      <c r="C145" s="599"/>
      <c r="D145" s="599"/>
      <c r="E145" s="599"/>
      <c r="F145" s="599"/>
      <c r="G145" s="599"/>
      <c r="H145" s="1843">
        <v>0</v>
      </c>
      <c r="I145" s="468"/>
      <c r="J145" s="599"/>
      <c r="K145" s="1579">
        <f>SUM(H145)</f>
        <v>0</v>
      </c>
      <c r="L145" s="1843">
        <v>0</v>
      </c>
    </row>
    <row r="146" spans="1:14" ht="12.75" customHeight="1">
      <c r="A146" s="1413" t="s">
        <v>618</v>
      </c>
      <c r="B146" s="597" t="s">
        <v>617</v>
      </c>
      <c r="C146" s="599"/>
      <c r="D146" s="599"/>
      <c r="E146" s="599"/>
      <c r="F146" s="599"/>
      <c r="G146" s="599"/>
      <c r="H146" s="1843">
        <v>0</v>
      </c>
      <c r="I146" s="468"/>
      <c r="J146" s="599"/>
      <c r="K146" s="1579">
        <f>SUM(H146)</f>
        <v>0</v>
      </c>
      <c r="L146" s="1843">
        <v>0</v>
      </c>
    </row>
    <row r="147" spans="1:14" ht="12.75" customHeight="1" thickBot="1">
      <c r="A147" s="1424" t="s">
        <v>625</v>
      </c>
      <c r="B147" s="639" t="s">
        <v>717</v>
      </c>
      <c r="C147" s="599"/>
      <c r="D147" s="599"/>
      <c r="E147" s="599"/>
      <c r="F147" s="599"/>
      <c r="G147" s="599"/>
      <c r="H147" s="1595">
        <f>SUM(H142:H146)</f>
        <v>0</v>
      </c>
      <c r="I147" s="468"/>
      <c r="J147" s="599"/>
      <c r="K147" s="1577">
        <f>SUM(K142:K146)</f>
        <v>0</v>
      </c>
      <c r="L147" s="1595">
        <f>SUM(L142:L146)</f>
        <v>0</v>
      </c>
    </row>
    <row r="148" spans="1:14" ht="15.75" customHeight="1" thickTop="1">
      <c r="A148" s="640" t="s">
        <v>1102</v>
      </c>
      <c r="B148" s="641" t="s">
        <v>38</v>
      </c>
      <c r="C148" s="599"/>
      <c r="D148" s="599"/>
      <c r="E148" s="599"/>
      <c r="F148" s="599"/>
      <c r="G148" s="599"/>
      <c r="H148" s="1843">
        <v>0</v>
      </c>
      <c r="I148" s="468"/>
      <c r="J148" s="599"/>
      <c r="K148" s="1579">
        <f>SUM(H148)</f>
        <v>0</v>
      </c>
      <c r="L148" s="1865">
        <v>0</v>
      </c>
    </row>
    <row r="149" spans="1:14" ht="12.75" customHeight="1" thickBot="1">
      <c r="A149" s="1416" t="s">
        <v>637</v>
      </c>
      <c r="B149" s="600" t="s">
        <v>491</v>
      </c>
      <c r="C149" s="599"/>
      <c r="D149" s="599"/>
      <c r="E149" s="599"/>
      <c r="F149" s="599"/>
      <c r="G149" s="599"/>
      <c r="H149" s="1577">
        <f>SUM(H147,H148)</f>
        <v>0</v>
      </c>
      <c r="I149" s="468"/>
      <c r="J149" s="599"/>
      <c r="K149" s="1577">
        <f>SUM(K147:K148)</f>
        <v>0</v>
      </c>
      <c r="L149" s="1577">
        <f>SUM(L142:L146,L148)</f>
        <v>0</v>
      </c>
    </row>
    <row r="150" spans="1:14" ht="15.75" customHeight="1" thickTop="1" thickBot="1">
      <c r="A150" s="1515" t="s">
        <v>1037</v>
      </c>
      <c r="B150" s="1522" t="s">
        <v>860</v>
      </c>
      <c r="C150" s="599"/>
      <c r="D150" s="599"/>
      <c r="E150" s="599"/>
      <c r="F150" s="599"/>
      <c r="G150" s="599"/>
      <c r="H150" s="642"/>
      <c r="I150" s="521"/>
      <c r="J150" s="599"/>
      <c r="K150" s="606"/>
      <c r="L150" s="1864">
        <v>400000</v>
      </c>
    </row>
    <row r="151" spans="1:14" ht="12.75" customHeight="1" thickTop="1" thickBot="1">
      <c r="A151" s="2201" t="s">
        <v>619</v>
      </c>
      <c r="B151" s="2181"/>
      <c r="C151" s="1577">
        <f>SUM(C129,C130,C139,C149,C150)</f>
        <v>3618906</v>
      </c>
      <c r="D151" s="1577">
        <f t="shared" ref="D151:K151" si="16">SUM(D129,D130,D139,D149,D150)</f>
        <v>1087046</v>
      </c>
      <c r="E151" s="1577">
        <f t="shared" si="16"/>
        <v>1385639</v>
      </c>
      <c r="F151" s="1577">
        <f t="shared" si="16"/>
        <v>2094492</v>
      </c>
      <c r="G151" s="1577">
        <f t="shared" si="16"/>
        <v>513671</v>
      </c>
      <c r="H151" s="1577">
        <f t="shared" si="16"/>
        <v>885</v>
      </c>
      <c r="I151" s="1577">
        <f t="shared" si="16"/>
        <v>0</v>
      </c>
      <c r="J151" s="1577">
        <f t="shared" si="16"/>
        <v>0</v>
      </c>
      <c r="K151" s="1577">
        <f t="shared" si="16"/>
        <v>8700639</v>
      </c>
      <c r="L151" s="1577">
        <f>SUM(L129,L130,L139,L149,L150)</f>
        <v>9453955</v>
      </c>
    </row>
    <row r="152" spans="1:14" ht="12.75" customHeight="1" thickTop="1">
      <c r="A152" s="2204" t="s">
        <v>1177</v>
      </c>
      <c r="B152" s="2205"/>
      <c r="C152" s="601"/>
      <c r="D152" s="601"/>
      <c r="E152" s="601"/>
      <c r="F152" s="601"/>
      <c r="G152" s="601"/>
      <c r="H152" s="601"/>
      <c r="I152" s="601"/>
      <c r="J152" s="599"/>
      <c r="K152" s="1591">
        <f>'Revenues 9-14'!D268-'Expenditures 15-22'!K151</f>
        <v>1271355</v>
      </c>
      <c r="L152" s="601"/>
    </row>
    <row r="153" spans="1:14" s="646" customFormat="1" ht="9" customHeight="1">
      <c r="A153" s="643"/>
      <c r="B153" s="644"/>
      <c r="C153" s="631"/>
      <c r="D153" s="631"/>
      <c r="E153" s="631"/>
      <c r="F153" s="631"/>
      <c r="G153" s="631"/>
      <c r="H153" s="631"/>
      <c r="I153" s="631"/>
      <c r="J153" s="631"/>
      <c r="K153" s="631"/>
      <c r="L153" s="631"/>
      <c r="M153" s="645"/>
      <c r="N153" s="645"/>
    </row>
    <row r="154" spans="1:14" s="648" customFormat="1" ht="16.7" customHeight="1">
      <c r="A154" s="2189" t="s">
        <v>620</v>
      </c>
      <c r="B154" s="2191"/>
      <c r="C154" s="1535"/>
      <c r="D154" s="1536"/>
      <c r="E154" s="1536"/>
      <c r="F154" s="1536"/>
      <c r="G154" s="1536"/>
      <c r="H154" s="1536"/>
      <c r="I154" s="1536"/>
      <c r="J154" s="1536"/>
      <c r="K154" s="1536"/>
      <c r="L154" s="1537"/>
      <c r="M154" s="647"/>
      <c r="N154" s="647"/>
    </row>
    <row r="155" spans="1:14" s="603" customFormat="1" ht="15.75" customHeight="1" thickBot="1">
      <c r="A155" s="1526" t="s">
        <v>81</v>
      </c>
      <c r="B155" s="1527" t="s">
        <v>859</v>
      </c>
      <c r="C155" s="599"/>
      <c r="D155" s="599"/>
      <c r="E155" s="599"/>
      <c r="F155" s="599"/>
      <c r="G155" s="599"/>
      <c r="H155" s="1748"/>
      <c r="I155" s="599"/>
      <c r="J155" s="599"/>
      <c r="K155" s="1732"/>
      <c r="L155" s="1748"/>
      <c r="M155" s="602"/>
      <c r="N155" s="602"/>
    </row>
    <row r="156" spans="1:14" s="603" customFormat="1" ht="15.75" customHeight="1" thickTop="1">
      <c r="A156" s="1729" t="s">
        <v>1817</v>
      </c>
      <c r="B156" s="1730"/>
      <c r="C156" s="599"/>
      <c r="D156" s="599"/>
      <c r="E156" s="599"/>
      <c r="F156" s="599"/>
      <c r="G156" s="599"/>
      <c r="H156" s="1749"/>
      <c r="I156" s="599"/>
      <c r="J156" s="599"/>
      <c r="K156" s="1731"/>
      <c r="L156" s="1749"/>
      <c r="M156" s="602"/>
      <c r="N156" s="602"/>
    </row>
    <row r="157" spans="1:14" s="603" customFormat="1" thickBot="1">
      <c r="A157" s="1733" t="s">
        <v>495</v>
      </c>
      <c r="B157" s="1734" t="s">
        <v>1816</v>
      </c>
      <c r="C157" s="599"/>
      <c r="D157" s="599"/>
      <c r="E157" s="599"/>
      <c r="F157" s="599"/>
      <c r="G157" s="599"/>
      <c r="H157" s="1843">
        <v>0</v>
      </c>
      <c r="I157" s="599"/>
      <c r="J157" s="599"/>
      <c r="K157" s="1578">
        <f>H157</f>
        <v>0</v>
      </c>
      <c r="L157" s="1864">
        <v>0</v>
      </c>
      <c r="M157" s="602"/>
      <c r="N157" s="602"/>
    </row>
    <row r="158" spans="1:14" s="603" customFormat="1" ht="13.5" thickTop="1" thickBot="1">
      <c r="A158" s="1733" t="s">
        <v>303</v>
      </c>
      <c r="B158" s="1734" t="s">
        <v>1818</v>
      </c>
      <c r="C158" s="599"/>
      <c r="D158" s="599"/>
      <c r="E158" s="599"/>
      <c r="F158" s="599"/>
      <c r="G158" s="599"/>
      <c r="H158" s="1843">
        <v>0</v>
      </c>
      <c r="I158" s="599"/>
      <c r="J158" s="599"/>
      <c r="K158" s="1578">
        <f>H158</f>
        <v>0</v>
      </c>
      <c r="L158" s="1864">
        <v>0</v>
      </c>
      <c r="M158" s="602"/>
      <c r="N158" s="602"/>
    </row>
    <row r="159" spans="1:14" s="603" customFormat="1" ht="13.5" thickTop="1" thickBot="1">
      <c r="A159" s="1733" t="s">
        <v>1819</v>
      </c>
      <c r="B159" s="1734" t="s">
        <v>557</v>
      </c>
      <c r="C159" s="599"/>
      <c r="D159" s="599"/>
      <c r="E159" s="599"/>
      <c r="F159" s="599"/>
      <c r="G159" s="599"/>
      <c r="H159" s="1843">
        <v>0</v>
      </c>
      <c r="I159" s="599"/>
      <c r="J159" s="599"/>
      <c r="K159" s="1578">
        <f>H159</f>
        <v>0</v>
      </c>
      <c r="L159" s="1864">
        <v>0</v>
      </c>
      <c r="M159" s="602"/>
      <c r="N159" s="602"/>
    </row>
    <row r="160" spans="1:14" s="603" customFormat="1" ht="15.75" customHeight="1" thickTop="1" thickBot="1">
      <c r="A160" s="1735" t="s">
        <v>1820</v>
      </c>
      <c r="B160" s="1736" t="s">
        <v>859</v>
      </c>
      <c r="C160" s="599"/>
      <c r="D160" s="599"/>
      <c r="E160" s="599"/>
      <c r="F160" s="599"/>
      <c r="G160" s="599"/>
      <c r="H160" s="1595">
        <f>SUM(H157:H159)</f>
        <v>0</v>
      </c>
      <c r="I160" s="599"/>
      <c r="J160" s="599"/>
      <c r="K160" s="1577">
        <f>SUM(K157:K159)</f>
        <v>0</v>
      </c>
      <c r="L160" s="1595">
        <f>SUM(L157:L159)</f>
        <v>0</v>
      </c>
      <c r="M160" s="602"/>
      <c r="N160" s="602"/>
    </row>
    <row r="161" spans="1:14" s="259" customFormat="1" ht="15.75" customHeight="1" thickTop="1">
      <c r="A161" s="1521" t="s">
        <v>82</v>
      </c>
      <c r="B161" s="1522" t="s">
        <v>491</v>
      </c>
      <c r="C161" s="599"/>
      <c r="D161" s="599"/>
      <c r="E161" s="599"/>
      <c r="F161" s="599"/>
      <c r="G161" s="599"/>
      <c r="H161" s="599"/>
      <c r="I161" s="599"/>
      <c r="J161" s="599"/>
      <c r="K161" s="599"/>
      <c r="L161" s="599"/>
      <c r="M161" s="596"/>
      <c r="N161" s="596"/>
    </row>
    <row r="162" spans="1:14" s="259" customFormat="1" ht="15.75" customHeight="1">
      <c r="A162" s="634" t="s">
        <v>614</v>
      </c>
      <c r="B162" s="605"/>
      <c r="C162" s="599"/>
      <c r="D162" s="599"/>
      <c r="E162" s="599"/>
      <c r="F162" s="599"/>
      <c r="G162" s="599"/>
      <c r="H162" s="599"/>
      <c r="I162" s="599"/>
      <c r="J162" s="599"/>
      <c r="K162" s="606"/>
      <c r="L162" s="606"/>
      <c r="M162" s="596"/>
      <c r="N162" s="596"/>
    </row>
    <row r="163" spans="1:14">
      <c r="A163" s="1413" t="s">
        <v>87</v>
      </c>
      <c r="B163" s="597">
        <v>5110</v>
      </c>
      <c r="C163" s="599"/>
      <c r="D163" s="599"/>
      <c r="E163" s="599"/>
      <c r="F163" s="599"/>
      <c r="G163" s="599"/>
      <c r="H163" s="1843">
        <v>0</v>
      </c>
      <c r="I163" s="599"/>
      <c r="J163" s="599"/>
      <c r="K163" s="1578">
        <f>SUM(C163:J163)</f>
        <v>0</v>
      </c>
      <c r="L163" s="1843">
        <v>0</v>
      </c>
    </row>
    <row r="164" spans="1:14">
      <c r="A164" s="1413" t="s">
        <v>88</v>
      </c>
      <c r="B164" s="597">
        <v>5120</v>
      </c>
      <c r="C164" s="599"/>
      <c r="D164" s="599"/>
      <c r="E164" s="599"/>
      <c r="F164" s="599"/>
      <c r="G164" s="599"/>
      <c r="H164" s="1843">
        <v>0</v>
      </c>
      <c r="I164" s="599"/>
      <c r="J164" s="599"/>
      <c r="K164" s="1578">
        <f>SUM(C164:J164)</f>
        <v>0</v>
      </c>
      <c r="L164" s="1843">
        <v>0</v>
      </c>
    </row>
    <row r="165" spans="1:14" ht="12.75" customHeight="1">
      <c r="A165" s="1413" t="s">
        <v>1169</v>
      </c>
      <c r="B165" s="597" t="s">
        <v>616</v>
      </c>
      <c r="C165" s="599"/>
      <c r="D165" s="599"/>
      <c r="E165" s="599"/>
      <c r="F165" s="599"/>
      <c r="G165" s="599"/>
      <c r="H165" s="1843">
        <v>0</v>
      </c>
      <c r="I165" s="599"/>
      <c r="J165" s="599"/>
      <c r="K165" s="1578">
        <f>SUM(C165:J165)</f>
        <v>0</v>
      </c>
      <c r="L165" s="1843">
        <v>0</v>
      </c>
    </row>
    <row r="166" spans="1:14">
      <c r="A166" s="1413" t="s">
        <v>89</v>
      </c>
      <c r="B166" s="611" t="s">
        <v>588</v>
      </c>
      <c r="C166" s="599"/>
      <c r="D166" s="599"/>
      <c r="E166" s="599"/>
      <c r="F166" s="599"/>
      <c r="G166" s="599"/>
      <c r="H166" s="1843">
        <v>0</v>
      </c>
      <c r="I166" s="599"/>
      <c r="J166" s="599"/>
      <c r="K166" s="1578">
        <f>SUM(C166:J166)</f>
        <v>0</v>
      </c>
      <c r="L166" s="1843">
        <v>0</v>
      </c>
    </row>
    <row r="167" spans="1:14" ht="12.75" customHeight="1">
      <c r="A167" s="1413" t="s">
        <v>618</v>
      </c>
      <c r="B167" s="597" t="s">
        <v>617</v>
      </c>
      <c r="C167" s="599"/>
      <c r="D167" s="599"/>
      <c r="E167" s="599"/>
      <c r="F167" s="599"/>
      <c r="G167" s="599"/>
      <c r="H167" s="1843">
        <v>0</v>
      </c>
      <c r="I167" s="599"/>
      <c r="J167" s="599"/>
      <c r="K167" s="1578">
        <f>SUM(C167:J167)</f>
        <v>0</v>
      </c>
      <c r="L167" s="1843">
        <v>0</v>
      </c>
    </row>
    <row r="168" spans="1:14" ht="13.5" thickBot="1">
      <c r="A168" s="1575" t="s">
        <v>275</v>
      </c>
      <c r="B168" s="1582" t="s">
        <v>717</v>
      </c>
      <c r="C168" s="599"/>
      <c r="D168" s="599"/>
      <c r="E168" s="599"/>
      <c r="F168" s="599"/>
      <c r="G168" s="599"/>
      <c r="H168" s="1577">
        <f>SUM(H163:H167)</f>
        <v>0</v>
      </c>
      <c r="I168" s="599"/>
      <c r="J168" s="599"/>
      <c r="K168" s="1577">
        <f>SUM(K163:K167)</f>
        <v>0</v>
      </c>
      <c r="L168" s="1577">
        <f>SUM(L163:L167)</f>
        <v>0</v>
      </c>
    </row>
    <row r="169" spans="1:14" ht="15.75" customHeight="1" thickTop="1">
      <c r="A169" s="649" t="s">
        <v>83</v>
      </c>
      <c r="B169" s="650" t="s">
        <v>38</v>
      </c>
      <c r="C169" s="599"/>
      <c r="D169" s="599"/>
      <c r="E169" s="599"/>
      <c r="F169" s="599"/>
      <c r="G169" s="599"/>
      <c r="H169" s="1843">
        <v>4022730</v>
      </c>
      <c r="I169" s="599"/>
      <c r="J169" s="599"/>
      <c r="K169" s="1578">
        <f>SUM(C169:H169)</f>
        <v>4022730</v>
      </c>
      <c r="L169" s="1866">
        <v>3687180</v>
      </c>
    </row>
    <row r="170" spans="1:14" ht="33.75" customHeight="1">
      <c r="A170" s="649" t="s">
        <v>1663</v>
      </c>
      <c r="B170" s="651" t="s">
        <v>31</v>
      </c>
      <c r="C170" s="599"/>
      <c r="D170" s="599"/>
      <c r="E170" s="599"/>
      <c r="F170" s="599"/>
      <c r="G170" s="599"/>
      <c r="H170" s="1843">
        <v>4220380</v>
      </c>
      <c r="I170" s="599"/>
      <c r="J170" s="599"/>
      <c r="K170" s="1578">
        <f>SUM(C170:J170)</f>
        <v>4220380</v>
      </c>
      <c r="L170" s="1842">
        <v>3800000</v>
      </c>
    </row>
    <row r="171" spans="1:14" ht="15.75" customHeight="1">
      <c r="A171" s="604" t="s">
        <v>765</v>
      </c>
      <c r="B171" s="652" t="s">
        <v>84</v>
      </c>
      <c r="C171" s="599"/>
      <c r="D171" s="599"/>
      <c r="E171" s="1843">
        <v>2950</v>
      </c>
      <c r="F171" s="599"/>
      <c r="G171" s="599"/>
      <c r="H171" s="1843">
        <v>0</v>
      </c>
      <c r="I171" s="477"/>
      <c r="J171" s="599"/>
      <c r="K171" s="1578">
        <f>SUM(C171:J171)</f>
        <v>2950</v>
      </c>
      <c r="L171" s="1842">
        <v>0</v>
      </c>
    </row>
    <row r="172" spans="1:14" ht="12.75" customHeight="1" thickBot="1">
      <c r="A172" s="1575" t="s">
        <v>637</v>
      </c>
      <c r="B172" s="1576" t="s">
        <v>491</v>
      </c>
      <c r="C172" s="599"/>
      <c r="D172" s="599"/>
      <c r="E172" s="1584">
        <f>SUM(E168,E169,E170,E171)</f>
        <v>2950</v>
      </c>
      <c r="F172" s="599"/>
      <c r="G172" s="599"/>
      <c r="H172" s="1584">
        <f>SUM(H168,H169,H170,H171)</f>
        <v>8243110</v>
      </c>
      <c r="I172" s="620"/>
      <c r="J172" s="599"/>
      <c r="K172" s="1584">
        <f>SUM(K168,K169,K170,K171)</f>
        <v>8246060</v>
      </c>
      <c r="L172" s="1584">
        <f>SUM(L168,L169,L170,L171)</f>
        <v>7487180</v>
      </c>
    </row>
    <row r="173" spans="1:14" ht="15.75" customHeight="1" thickTop="1" thickBot="1">
      <c r="A173" s="1528" t="s">
        <v>85</v>
      </c>
      <c r="B173" s="1520" t="s">
        <v>860</v>
      </c>
      <c r="C173" s="599"/>
      <c r="D173" s="599"/>
      <c r="E173" s="606"/>
      <c r="F173" s="599"/>
      <c r="G173" s="599"/>
      <c r="H173" s="609"/>
      <c r="I173" s="620"/>
      <c r="J173" s="599"/>
      <c r="K173" s="606"/>
      <c r="L173" s="1862">
        <v>0</v>
      </c>
    </row>
    <row r="174" spans="1:14" ht="12.75" customHeight="1" thickTop="1" thickBot="1">
      <c r="A174" s="1596" t="s">
        <v>90</v>
      </c>
      <c r="B174" s="1597"/>
      <c r="C174" s="599"/>
      <c r="D174" s="599"/>
      <c r="E174" s="1584">
        <f>SUM(E172,E173)</f>
        <v>2950</v>
      </c>
      <c r="F174" s="599"/>
      <c r="G174" s="599"/>
      <c r="H174" s="1584">
        <f>SUM(H160,H172,H173)</f>
        <v>8243110</v>
      </c>
      <c r="I174" s="620"/>
      <c r="J174" s="599"/>
      <c r="K174" s="1584">
        <f>SUM(K160,K172,K173)</f>
        <v>8246060</v>
      </c>
      <c r="L174" s="1584">
        <f>SUM(L160,L172,L173)</f>
        <v>7487180</v>
      </c>
    </row>
    <row r="175" spans="1:14" ht="13.5" thickTop="1">
      <c r="A175" s="2184" t="s">
        <v>995</v>
      </c>
      <c r="B175" s="2185"/>
      <c r="C175" s="599"/>
      <c r="D175" s="599"/>
      <c r="E175" s="599"/>
      <c r="F175" s="599"/>
      <c r="G175" s="599"/>
      <c r="H175" s="601"/>
      <c r="I175" s="599"/>
      <c r="J175" s="599"/>
      <c r="K175" s="1591">
        <f>'Revenues 9-14'!E268-'Expenditures 15-22'!K174</f>
        <v>-408695</v>
      </c>
      <c r="L175" s="601"/>
    </row>
    <row r="176" spans="1:14" s="646" customFormat="1" ht="9" customHeight="1">
      <c r="A176" s="643"/>
      <c r="B176" s="653"/>
      <c r="C176" s="631"/>
      <c r="D176" s="631"/>
      <c r="E176" s="631"/>
      <c r="F176" s="631"/>
      <c r="G176" s="631"/>
      <c r="H176" s="631"/>
      <c r="I176" s="631"/>
      <c r="J176" s="631"/>
      <c r="K176" s="631"/>
      <c r="L176" s="631"/>
      <c r="M176" s="645"/>
      <c r="N176" s="645"/>
    </row>
    <row r="177" spans="1:14" s="343" customFormat="1" ht="16.7" customHeight="1">
      <c r="A177" s="1463" t="s">
        <v>936</v>
      </c>
      <c r="B177" s="1464"/>
      <c r="C177" s="1460"/>
      <c r="D177" s="1461"/>
      <c r="E177" s="1461"/>
      <c r="F177" s="1461"/>
      <c r="G177" s="1461"/>
      <c r="H177" s="1461"/>
      <c r="I177" s="1461"/>
      <c r="J177" s="1461"/>
      <c r="K177" s="1461"/>
      <c r="L177" s="1462"/>
      <c r="M177" s="592"/>
      <c r="N177" s="592"/>
    </row>
    <row r="178" spans="1:14" s="654" customFormat="1" ht="15.75" customHeight="1">
      <c r="A178" s="1529" t="s">
        <v>937</v>
      </c>
      <c r="B178" s="1530"/>
      <c r="C178" s="599"/>
      <c r="D178" s="599"/>
      <c r="E178" s="599"/>
      <c r="F178" s="599"/>
      <c r="G178" s="599"/>
      <c r="H178" s="599"/>
      <c r="I178" s="599"/>
      <c r="J178" s="599"/>
      <c r="K178" s="599"/>
      <c r="L178" s="599"/>
      <c r="M178" s="645"/>
      <c r="N178" s="645"/>
    </row>
    <row r="179" spans="1:14" s="654" customFormat="1" ht="15.75" customHeight="1">
      <c r="A179" s="655" t="s">
        <v>590</v>
      </c>
      <c r="B179" s="605"/>
      <c r="C179" s="606"/>
      <c r="D179" s="606"/>
      <c r="E179" s="606"/>
      <c r="F179" s="599"/>
      <c r="G179" s="599"/>
      <c r="H179" s="606"/>
      <c r="I179" s="599"/>
      <c r="J179" s="599"/>
      <c r="K179" s="606"/>
      <c r="L179" s="606"/>
      <c r="M179" s="645"/>
      <c r="N179" s="645"/>
    </row>
    <row r="180" spans="1:14" ht="12.75" customHeight="1">
      <c r="A180" s="1413" t="s">
        <v>2031</v>
      </c>
      <c r="B180" s="597" t="s">
        <v>715</v>
      </c>
      <c r="C180" s="1843">
        <v>0</v>
      </c>
      <c r="D180" s="1843">
        <v>0</v>
      </c>
      <c r="E180" s="1843">
        <v>0</v>
      </c>
      <c r="F180" s="1843">
        <v>0</v>
      </c>
      <c r="G180" s="1843">
        <v>0</v>
      </c>
      <c r="H180" s="1843">
        <v>0</v>
      </c>
      <c r="I180" s="1843">
        <v>0</v>
      </c>
      <c r="J180" s="1843">
        <v>0</v>
      </c>
      <c r="K180" s="1578">
        <f>SUM(C180:J180)</f>
        <v>0</v>
      </c>
      <c r="L180" s="1843">
        <v>0</v>
      </c>
    </row>
    <row r="181" spans="1:14" ht="15.75" customHeight="1">
      <c r="A181" s="607" t="s">
        <v>611</v>
      </c>
      <c r="B181" s="656"/>
      <c r="C181" s="566"/>
      <c r="D181" s="566"/>
      <c r="E181" s="566"/>
      <c r="F181" s="566"/>
      <c r="G181" s="566"/>
      <c r="H181" s="566"/>
      <c r="I181" s="468"/>
      <c r="J181" s="468"/>
      <c r="K181" s="566"/>
      <c r="L181" s="566"/>
    </row>
    <row r="182" spans="1:14" ht="12.75" customHeight="1">
      <c r="A182" s="1413" t="s">
        <v>952</v>
      </c>
      <c r="B182" s="597">
        <v>2550</v>
      </c>
      <c r="C182" s="1843">
        <v>4078155</v>
      </c>
      <c r="D182" s="1843">
        <v>608818</v>
      </c>
      <c r="E182" s="1843">
        <v>1979216</v>
      </c>
      <c r="F182" s="1843">
        <v>566003</v>
      </c>
      <c r="G182" s="1843">
        <v>254408</v>
      </c>
      <c r="H182" s="1843">
        <v>70880</v>
      </c>
      <c r="I182" s="1843">
        <v>0</v>
      </c>
      <c r="J182" s="1843">
        <v>0</v>
      </c>
      <c r="K182" s="1578">
        <f>SUM(C182:J182)</f>
        <v>7557480</v>
      </c>
      <c r="L182" s="1843">
        <v>7249838</v>
      </c>
    </row>
    <row r="183" spans="1:14" ht="12.75" customHeight="1" thickBot="1">
      <c r="A183" s="1418" t="s">
        <v>979</v>
      </c>
      <c r="B183" s="657">
        <v>2900</v>
      </c>
      <c r="C183" s="1843">
        <v>0</v>
      </c>
      <c r="D183" s="1843">
        <v>0</v>
      </c>
      <c r="E183" s="1843">
        <v>0</v>
      </c>
      <c r="F183" s="1843">
        <v>0</v>
      </c>
      <c r="G183" s="1843">
        <v>0</v>
      </c>
      <c r="H183" s="1843">
        <v>0</v>
      </c>
      <c r="I183" s="1843">
        <v>0</v>
      </c>
      <c r="J183" s="1843">
        <v>0</v>
      </c>
      <c r="K183" s="1584">
        <f>SUM(C183:J183)</f>
        <v>0</v>
      </c>
      <c r="L183" s="1843">
        <v>0</v>
      </c>
    </row>
    <row r="184" spans="1:14" ht="12.75" customHeight="1" thickTop="1" thickBot="1">
      <c r="A184" s="1598" t="s">
        <v>810</v>
      </c>
      <c r="B184" s="1576" t="s">
        <v>568</v>
      </c>
      <c r="C184" s="1584">
        <f>SUM(C180,C182,C183)</f>
        <v>4078155</v>
      </c>
      <c r="D184" s="1584">
        <f t="shared" ref="D184:J184" si="17">SUM(D180,D182,D183)</f>
        <v>608818</v>
      </c>
      <c r="E184" s="1584">
        <f t="shared" si="17"/>
        <v>1979216</v>
      </c>
      <c r="F184" s="1584">
        <f t="shared" si="17"/>
        <v>566003</v>
      </c>
      <c r="G184" s="1584">
        <f t="shared" si="17"/>
        <v>254408</v>
      </c>
      <c r="H184" s="1584">
        <f t="shared" si="17"/>
        <v>70880</v>
      </c>
      <c r="I184" s="1584">
        <f t="shared" si="17"/>
        <v>0</v>
      </c>
      <c r="J184" s="1584">
        <f t="shared" si="17"/>
        <v>0</v>
      </c>
      <c r="K184" s="1584">
        <f>SUM(K180,K182,K183)</f>
        <v>7557480</v>
      </c>
      <c r="L184" s="1584">
        <f>SUM(L180, L182:L183)</f>
        <v>7249838</v>
      </c>
    </row>
    <row r="185" spans="1:14" ht="15.75" customHeight="1" thickTop="1" thickBot="1">
      <c r="A185" s="1531" t="s">
        <v>938</v>
      </c>
      <c r="B185" s="1520">
        <v>3000</v>
      </c>
      <c r="C185" s="1843">
        <v>0</v>
      </c>
      <c r="D185" s="1843">
        <v>0</v>
      </c>
      <c r="E185" s="1843">
        <v>0</v>
      </c>
      <c r="F185" s="1843">
        <v>0</v>
      </c>
      <c r="G185" s="1843">
        <v>0</v>
      </c>
      <c r="H185" s="1843">
        <v>0</v>
      </c>
      <c r="I185" s="1843">
        <v>0</v>
      </c>
      <c r="J185" s="1843">
        <v>0</v>
      </c>
      <c r="K185" s="1577">
        <f>SUM(C185:J185)</f>
        <v>0</v>
      </c>
      <c r="L185" s="1843">
        <v>0</v>
      </c>
    </row>
    <row r="186" spans="1:14" s="654" customFormat="1" ht="15.75" customHeight="1" thickTop="1">
      <c r="A186" s="1515" t="s">
        <v>91</v>
      </c>
      <c r="B186" s="1518" t="s">
        <v>859</v>
      </c>
      <c r="C186" s="599"/>
      <c r="D186" s="599"/>
      <c r="E186" s="599"/>
      <c r="F186" s="599"/>
      <c r="G186" s="599"/>
      <c r="H186" s="599"/>
      <c r="I186" s="599"/>
      <c r="J186" s="599"/>
      <c r="K186" s="599"/>
      <c r="L186" s="599"/>
      <c r="M186" s="645"/>
      <c r="N186" s="645"/>
    </row>
    <row r="187" spans="1:14" s="654" customFormat="1" ht="15.75" customHeight="1">
      <c r="A187" s="604" t="s">
        <v>1130</v>
      </c>
      <c r="B187" s="605"/>
      <c r="C187" s="599"/>
      <c r="D187" s="599"/>
      <c r="E187" s="599"/>
      <c r="F187" s="599"/>
      <c r="G187" s="599"/>
      <c r="H187" s="599"/>
      <c r="I187" s="599"/>
      <c r="J187" s="599"/>
      <c r="K187" s="599"/>
      <c r="L187" s="599"/>
      <c r="M187" s="645"/>
      <c r="N187" s="645"/>
    </row>
    <row r="188" spans="1:14">
      <c r="A188" s="1413" t="s">
        <v>495</v>
      </c>
      <c r="B188" s="597">
        <v>4110</v>
      </c>
      <c r="C188" s="599"/>
      <c r="D188" s="599"/>
      <c r="E188" s="1843">
        <v>0</v>
      </c>
      <c r="F188" s="599"/>
      <c r="G188" s="599"/>
      <c r="H188" s="1843">
        <v>0</v>
      </c>
      <c r="I188" s="477"/>
      <c r="J188" s="599"/>
      <c r="K188" s="1578">
        <f t="shared" ref="K188:K193" si="18">SUM(E188,H188)</f>
        <v>0</v>
      </c>
      <c r="L188" s="1843">
        <v>0</v>
      </c>
    </row>
    <row r="189" spans="1:14">
      <c r="A189" s="1413" t="s">
        <v>303</v>
      </c>
      <c r="B189" s="597">
        <v>4120</v>
      </c>
      <c r="C189" s="599"/>
      <c r="D189" s="599"/>
      <c r="E189" s="1843">
        <v>0</v>
      </c>
      <c r="F189" s="599"/>
      <c r="G189" s="599"/>
      <c r="H189" s="1843">
        <v>0</v>
      </c>
      <c r="I189" s="477"/>
      <c r="J189" s="599"/>
      <c r="K189" s="1578">
        <f t="shared" si="18"/>
        <v>0</v>
      </c>
      <c r="L189" s="1843">
        <v>0</v>
      </c>
    </row>
    <row r="190" spans="1:14">
      <c r="A190" s="1413" t="s">
        <v>304</v>
      </c>
      <c r="B190" s="611">
        <v>4130</v>
      </c>
      <c r="C190" s="599"/>
      <c r="D190" s="599"/>
      <c r="E190" s="1843">
        <v>0</v>
      </c>
      <c r="F190" s="599"/>
      <c r="G190" s="599"/>
      <c r="H190" s="1843">
        <v>0</v>
      </c>
      <c r="I190" s="477"/>
      <c r="J190" s="599"/>
      <c r="K190" s="1578">
        <f t="shared" si="18"/>
        <v>0</v>
      </c>
      <c r="L190" s="1843">
        <v>0</v>
      </c>
    </row>
    <row r="191" spans="1:14">
      <c r="A191" s="1413" t="s">
        <v>696</v>
      </c>
      <c r="B191" s="597">
        <v>4140</v>
      </c>
      <c r="C191" s="599"/>
      <c r="D191" s="599"/>
      <c r="E191" s="1843">
        <v>0</v>
      </c>
      <c r="F191" s="599"/>
      <c r="G191" s="599"/>
      <c r="H191" s="1843">
        <v>0</v>
      </c>
      <c r="I191" s="477"/>
      <c r="J191" s="599"/>
      <c r="K191" s="1578">
        <f t="shared" si="18"/>
        <v>0</v>
      </c>
      <c r="L191" s="1843">
        <v>0</v>
      </c>
    </row>
    <row r="192" spans="1:14">
      <c r="A192" s="1413" t="s">
        <v>86</v>
      </c>
      <c r="B192" s="597">
        <v>4170</v>
      </c>
      <c r="C192" s="599"/>
      <c r="D192" s="599"/>
      <c r="E192" s="1843">
        <v>0</v>
      </c>
      <c r="F192" s="599"/>
      <c r="G192" s="599"/>
      <c r="H192" s="1843">
        <v>0</v>
      </c>
      <c r="I192" s="477"/>
      <c r="J192" s="599"/>
      <c r="K192" s="1578">
        <f t="shared" si="18"/>
        <v>0</v>
      </c>
      <c r="L192" s="1843">
        <v>0</v>
      </c>
    </row>
    <row r="193" spans="1:14">
      <c r="A193" s="1417" t="s">
        <v>697</v>
      </c>
      <c r="B193" s="611">
        <v>4190</v>
      </c>
      <c r="C193" s="599"/>
      <c r="D193" s="599"/>
      <c r="E193" s="1843">
        <v>0</v>
      </c>
      <c r="F193" s="599"/>
      <c r="G193" s="599"/>
      <c r="H193" s="1843">
        <v>0</v>
      </c>
      <c r="I193" s="477"/>
      <c r="J193" s="599"/>
      <c r="K193" s="1578">
        <f t="shared" si="18"/>
        <v>0</v>
      </c>
      <c r="L193" s="1843">
        <v>0</v>
      </c>
    </row>
    <row r="194" spans="1:14" ht="12.75" customHeight="1" thickBot="1">
      <c r="A194" s="1575" t="s">
        <v>1139</v>
      </c>
      <c r="B194" s="1576" t="s">
        <v>558</v>
      </c>
      <c r="C194" s="599"/>
      <c r="D194" s="599"/>
      <c r="E194" s="1577">
        <f>SUM(E188:E193)</f>
        <v>0</v>
      </c>
      <c r="F194" s="599"/>
      <c r="G194" s="599"/>
      <c r="H194" s="1577">
        <f>SUM(H188:H193)</f>
        <v>0</v>
      </c>
      <c r="I194" s="477"/>
      <c r="J194" s="599"/>
      <c r="K194" s="1577">
        <f>SUM(K188:K193)</f>
        <v>0</v>
      </c>
      <c r="L194" s="1577">
        <f>SUM(L188:L193)</f>
        <v>0</v>
      </c>
    </row>
    <row r="195" spans="1:14" ht="15.75" customHeight="1" thickTop="1">
      <c r="A195" s="649" t="s">
        <v>92</v>
      </c>
      <c r="B195" s="658" t="s">
        <v>930</v>
      </c>
      <c r="C195" s="599"/>
      <c r="D195" s="599"/>
      <c r="E195" s="1843">
        <v>0</v>
      </c>
      <c r="F195" s="599"/>
      <c r="G195" s="599"/>
      <c r="H195" s="1843">
        <v>0</v>
      </c>
      <c r="I195" s="477"/>
      <c r="J195" s="599"/>
      <c r="K195" s="1592">
        <f>SUM(E195,H195)</f>
        <v>0</v>
      </c>
      <c r="L195" s="1843">
        <v>0</v>
      </c>
    </row>
    <row r="196" spans="1:14" ht="12.75" customHeight="1" thickBot="1">
      <c r="A196" s="1575" t="s">
        <v>1484</v>
      </c>
      <c r="B196" s="1576" t="s">
        <v>859</v>
      </c>
      <c r="C196" s="599"/>
      <c r="D196" s="599"/>
      <c r="E196" s="1584">
        <f>SUM(E194,E195)</f>
        <v>0</v>
      </c>
      <c r="F196" s="599"/>
      <c r="G196" s="599"/>
      <c r="H196" s="1584">
        <f>SUM(H194,H195)</f>
        <v>0</v>
      </c>
      <c r="I196" s="477"/>
      <c r="J196" s="599"/>
      <c r="K196" s="1584">
        <f>SUM(K194,K195)</f>
        <v>0</v>
      </c>
      <c r="L196" s="1584">
        <f>SUM(L194,L195)</f>
        <v>0</v>
      </c>
    </row>
    <row r="197" spans="1:14" s="654" customFormat="1" ht="15.75" customHeight="1" thickTop="1">
      <c r="A197" s="1521" t="s">
        <v>939</v>
      </c>
      <c r="B197" s="1518" t="s">
        <v>491</v>
      </c>
      <c r="C197" s="599"/>
      <c r="D197" s="599"/>
      <c r="E197" s="599"/>
      <c r="F197" s="599"/>
      <c r="G197" s="599"/>
      <c r="H197" s="599"/>
      <c r="I197" s="599"/>
      <c r="J197" s="599"/>
      <c r="K197" s="599"/>
      <c r="L197" s="599"/>
      <c r="M197" s="645"/>
      <c r="N197" s="645"/>
    </row>
    <row r="198" spans="1:14" s="654" customFormat="1" ht="15.75" customHeight="1">
      <c r="A198" s="634" t="s">
        <v>93</v>
      </c>
      <c r="B198" s="605"/>
      <c r="C198" s="599"/>
      <c r="D198" s="599"/>
      <c r="E198" s="599"/>
      <c r="F198" s="599"/>
      <c r="G198" s="599"/>
      <c r="H198" s="599"/>
      <c r="I198" s="599"/>
      <c r="J198" s="599"/>
      <c r="K198" s="599"/>
      <c r="L198" s="599"/>
      <c r="M198" s="645"/>
      <c r="N198" s="645"/>
    </row>
    <row r="199" spans="1:14">
      <c r="A199" s="1413" t="s">
        <v>87</v>
      </c>
      <c r="B199" s="597">
        <v>5110</v>
      </c>
      <c r="C199" s="599"/>
      <c r="D199" s="599"/>
      <c r="E199" s="599"/>
      <c r="F199" s="599"/>
      <c r="G199" s="599"/>
      <c r="H199" s="1843">
        <v>0</v>
      </c>
      <c r="I199" s="599"/>
      <c r="J199" s="599"/>
      <c r="K199" s="1578">
        <f>SUM(H199)</f>
        <v>0</v>
      </c>
      <c r="L199" s="1843">
        <v>0</v>
      </c>
    </row>
    <row r="200" spans="1:14">
      <c r="A200" s="1413" t="s">
        <v>88</v>
      </c>
      <c r="B200" s="597">
        <v>5120</v>
      </c>
      <c r="C200" s="599"/>
      <c r="D200" s="599"/>
      <c r="E200" s="599"/>
      <c r="F200" s="599"/>
      <c r="G200" s="599"/>
      <c r="H200" s="1843">
        <v>0</v>
      </c>
      <c r="I200" s="599"/>
      <c r="J200" s="599"/>
      <c r="K200" s="1578">
        <f>SUM(H200)</f>
        <v>0</v>
      </c>
      <c r="L200" s="1843">
        <v>0</v>
      </c>
    </row>
    <row r="201" spans="1:14" ht="12.75" customHeight="1">
      <c r="A201" s="1413" t="s">
        <v>1169</v>
      </c>
      <c r="B201" s="611" t="s">
        <v>616</v>
      </c>
      <c r="C201" s="599"/>
      <c r="D201" s="599"/>
      <c r="E201" s="599"/>
      <c r="F201" s="599"/>
      <c r="G201" s="599"/>
      <c r="H201" s="1843">
        <v>0</v>
      </c>
      <c r="I201" s="599"/>
      <c r="J201" s="599"/>
      <c r="K201" s="1578">
        <f>SUM(H201)</f>
        <v>0</v>
      </c>
      <c r="L201" s="1843">
        <v>0</v>
      </c>
    </row>
    <row r="202" spans="1:14">
      <c r="A202" s="1413" t="s">
        <v>89</v>
      </c>
      <c r="B202" s="597" t="s">
        <v>588</v>
      </c>
      <c r="C202" s="599"/>
      <c r="D202" s="599"/>
      <c r="E202" s="599"/>
      <c r="F202" s="599"/>
      <c r="G202" s="599"/>
      <c r="H202" s="1843">
        <v>0</v>
      </c>
      <c r="I202" s="599"/>
      <c r="J202" s="599"/>
      <c r="K202" s="1578">
        <f>SUM(H202)</f>
        <v>0</v>
      </c>
      <c r="L202" s="1843">
        <v>0</v>
      </c>
    </row>
    <row r="203" spans="1:14">
      <c r="A203" s="1425" t="s">
        <v>618</v>
      </c>
      <c r="B203" s="597" t="s">
        <v>617</v>
      </c>
      <c r="C203" s="599"/>
      <c r="D203" s="599"/>
      <c r="E203" s="599"/>
      <c r="F203" s="599"/>
      <c r="G203" s="599"/>
      <c r="H203" s="1843">
        <v>0</v>
      </c>
      <c r="I203" s="599"/>
      <c r="J203" s="599"/>
      <c r="K203" s="1578">
        <f>SUM(H203)</f>
        <v>0</v>
      </c>
      <c r="L203" s="1860">
        <v>0</v>
      </c>
    </row>
    <row r="204" spans="1:14" ht="13.5" thickBot="1">
      <c r="A204" s="1575" t="s">
        <v>275</v>
      </c>
      <c r="B204" s="1576" t="s">
        <v>717</v>
      </c>
      <c r="C204" s="599"/>
      <c r="D204" s="599"/>
      <c r="E204" s="599"/>
      <c r="F204" s="599"/>
      <c r="G204" s="599"/>
      <c r="H204" s="1577">
        <f>SUM(H199:H203)</f>
        <v>0</v>
      </c>
      <c r="I204" s="599"/>
      <c r="J204" s="599"/>
      <c r="K204" s="1577">
        <f>SUM(K199:K203)</f>
        <v>0</v>
      </c>
      <c r="L204" s="1577">
        <f>SUM(L199:L203)</f>
        <v>0</v>
      </c>
    </row>
    <row r="205" spans="1:14" ht="15.75" customHeight="1" thickTop="1">
      <c r="A205" s="659" t="s">
        <v>83</v>
      </c>
      <c r="B205" s="660" t="s">
        <v>38</v>
      </c>
      <c r="C205" s="599"/>
      <c r="D205" s="599"/>
      <c r="E205" s="599"/>
      <c r="F205" s="599"/>
      <c r="G205" s="599"/>
      <c r="H205" s="1843">
        <v>0</v>
      </c>
      <c r="I205" s="599"/>
      <c r="J205" s="599"/>
      <c r="K205" s="1592">
        <f>SUM(H205)</f>
        <v>0</v>
      </c>
      <c r="L205" s="1866">
        <v>0</v>
      </c>
    </row>
    <row r="206" spans="1:14" ht="30" customHeight="1">
      <c r="A206" s="661" t="s">
        <v>1664</v>
      </c>
      <c r="B206" s="652" t="s">
        <v>31</v>
      </c>
      <c r="C206" s="599"/>
      <c r="D206" s="599"/>
      <c r="E206" s="599"/>
      <c r="F206" s="599"/>
      <c r="G206" s="599"/>
      <c r="H206" s="1843">
        <v>0</v>
      </c>
      <c r="I206" s="599"/>
      <c r="J206" s="599"/>
      <c r="K206" s="1578">
        <f>SUM(H206)</f>
        <v>0</v>
      </c>
      <c r="L206" s="1843">
        <v>0</v>
      </c>
    </row>
    <row r="207" spans="1:14" ht="15.75" customHeight="1">
      <c r="A207" s="604" t="s">
        <v>765</v>
      </c>
      <c r="B207" s="652" t="s">
        <v>84</v>
      </c>
      <c r="C207" s="599"/>
      <c r="D207" s="599"/>
      <c r="E207" s="599"/>
      <c r="F207" s="599"/>
      <c r="G207" s="599"/>
      <c r="H207" s="1843">
        <v>0</v>
      </c>
      <c r="I207" s="599"/>
      <c r="J207" s="599"/>
      <c r="K207" s="1578">
        <f>H207</f>
        <v>0</v>
      </c>
      <c r="L207" s="1843">
        <v>0</v>
      </c>
    </row>
    <row r="208" spans="1:14" ht="12.75" customHeight="1" thickBot="1">
      <c r="A208" s="1593" t="s">
        <v>637</v>
      </c>
      <c r="B208" s="1594" t="s">
        <v>491</v>
      </c>
      <c r="C208" s="599"/>
      <c r="D208" s="599"/>
      <c r="E208" s="599"/>
      <c r="F208" s="599"/>
      <c r="G208" s="599"/>
      <c r="H208" s="1584">
        <f>SUM(H204,H205,H206,H207)</f>
        <v>0</v>
      </c>
      <c r="I208" s="599"/>
      <c r="J208" s="599"/>
      <c r="K208" s="1584">
        <f>SUM(K204,K205,K206,K207)</f>
        <v>0</v>
      </c>
      <c r="L208" s="1584">
        <f>SUM(L204,L205,L206,L207)</f>
        <v>0</v>
      </c>
    </row>
    <row r="209" spans="1:14" ht="15.75" customHeight="1" thickTop="1" thickBot="1">
      <c r="A209" s="1515" t="s">
        <v>871</v>
      </c>
      <c r="B209" s="1522" t="s">
        <v>860</v>
      </c>
      <c r="C209" s="606"/>
      <c r="D209" s="606"/>
      <c r="E209" s="606"/>
      <c r="F209" s="606"/>
      <c r="G209" s="606"/>
      <c r="H209" s="606"/>
      <c r="I209" s="599"/>
      <c r="J209" s="599"/>
      <c r="K209" s="606"/>
      <c r="L209" s="1862">
        <v>160000</v>
      </c>
    </row>
    <row r="210" spans="1:14" ht="12.75" customHeight="1" thickTop="1" thickBot="1">
      <c r="A210" s="1599" t="s">
        <v>276</v>
      </c>
      <c r="B210" s="1600"/>
      <c r="C210" s="1577">
        <f>SUM(C184,C185)</f>
        <v>4078155</v>
      </c>
      <c r="D210" s="1577">
        <f>SUM(D184,D185)</f>
        <v>608818</v>
      </c>
      <c r="E210" s="1577">
        <f>SUM(E184,E185,E196)</f>
        <v>1979216</v>
      </c>
      <c r="F210" s="1577">
        <f>SUM(F184,F185)</f>
        <v>566003</v>
      </c>
      <c r="G210" s="1577">
        <f>SUM(G184,G185)</f>
        <v>254408</v>
      </c>
      <c r="H210" s="1577">
        <f>SUM(H184,H185,H196,H208,H209)</f>
        <v>70880</v>
      </c>
      <c r="I210" s="1577">
        <f>SUM(I184,I185)</f>
        <v>0</v>
      </c>
      <c r="J210" s="1577">
        <f>SUM(J184,J185)</f>
        <v>0</v>
      </c>
      <c r="K210" s="1578">
        <f>SUM(K184,K185,K196,K208,K209)</f>
        <v>7557480</v>
      </c>
      <c r="L210" s="1577">
        <f>SUM(L184,L185,L196,L208,L209)</f>
        <v>7409838</v>
      </c>
    </row>
    <row r="211" spans="1:14" ht="13.5" thickTop="1">
      <c r="A211" s="2184" t="s">
        <v>995</v>
      </c>
      <c r="B211" s="2185"/>
      <c r="C211" s="601"/>
      <c r="D211" s="601"/>
      <c r="E211" s="601"/>
      <c r="F211" s="601"/>
      <c r="G211" s="601"/>
      <c r="H211" s="601"/>
      <c r="I211" s="599"/>
      <c r="J211" s="599"/>
      <c r="K211" s="1591">
        <f>'Revenues 9-14'!F268-'Expenditures 15-22'!K210</f>
        <v>725177</v>
      </c>
      <c r="L211" s="601"/>
    </row>
    <row r="212" spans="1:14" s="646" customFormat="1" ht="9" customHeight="1">
      <c r="A212" s="643"/>
      <c r="B212" s="653"/>
      <c r="C212" s="631"/>
      <c r="D212" s="631"/>
      <c r="E212" s="631"/>
      <c r="F212" s="631"/>
      <c r="G212" s="631"/>
      <c r="H212" s="631"/>
      <c r="I212" s="631"/>
      <c r="J212" s="631"/>
      <c r="K212" s="631"/>
      <c r="L212" s="631"/>
      <c r="M212" s="645"/>
      <c r="N212" s="645"/>
    </row>
    <row r="213" spans="1:14" s="343" customFormat="1" ht="16.7" customHeight="1">
      <c r="A213" s="2206" t="s">
        <v>964</v>
      </c>
      <c r="B213" s="2207"/>
      <c r="C213" s="1460"/>
      <c r="D213" s="1461"/>
      <c r="E213" s="1461"/>
      <c r="F213" s="1461"/>
      <c r="G213" s="1461"/>
      <c r="H213" s="1461"/>
      <c r="I213" s="1461"/>
      <c r="J213" s="1461"/>
      <c r="K213" s="1461"/>
      <c r="L213" s="1462"/>
      <c r="M213" s="592"/>
      <c r="N213" s="592"/>
    </row>
    <row r="214" spans="1:14" s="654" customFormat="1" ht="15.75" customHeight="1">
      <c r="A214" s="1532" t="s">
        <v>872</v>
      </c>
      <c r="B214" s="1524" t="s">
        <v>569</v>
      </c>
      <c r="C214" s="599"/>
      <c r="D214" s="606"/>
      <c r="E214" s="599"/>
      <c r="F214" s="599"/>
      <c r="G214" s="599"/>
      <c r="H214" s="599"/>
      <c r="I214" s="599"/>
      <c r="J214" s="599"/>
      <c r="K214" s="606"/>
      <c r="L214" s="606"/>
      <c r="M214" s="645"/>
      <c r="N214" s="645"/>
    </row>
    <row r="215" spans="1:14">
      <c r="A215" s="1413" t="s">
        <v>960</v>
      </c>
      <c r="B215" s="597">
        <v>1100</v>
      </c>
      <c r="C215" s="599"/>
      <c r="D215" s="1843">
        <v>531907</v>
      </c>
      <c r="E215" s="599"/>
      <c r="F215" s="599"/>
      <c r="G215" s="599"/>
      <c r="H215" s="599"/>
      <c r="I215" s="599"/>
      <c r="J215" s="599"/>
      <c r="K215" s="1578">
        <f>D215</f>
        <v>531907</v>
      </c>
      <c r="L215" s="1843">
        <v>538221</v>
      </c>
    </row>
    <row r="216" spans="1:14">
      <c r="A216" s="1413" t="s">
        <v>163</v>
      </c>
      <c r="B216" s="597" t="s">
        <v>966</v>
      </c>
      <c r="C216" s="599"/>
      <c r="D216" s="1843">
        <v>0</v>
      </c>
      <c r="E216" s="599"/>
      <c r="F216" s="599"/>
      <c r="G216" s="599"/>
      <c r="H216" s="599"/>
      <c r="I216" s="599"/>
      <c r="J216" s="599"/>
      <c r="K216" s="1578">
        <f t="shared" ref="K216:K228" si="19">D216</f>
        <v>0</v>
      </c>
      <c r="L216" s="1843">
        <v>0</v>
      </c>
    </row>
    <row r="217" spans="1:14">
      <c r="A217" s="1413" t="s">
        <v>164</v>
      </c>
      <c r="B217" s="597">
        <v>1200</v>
      </c>
      <c r="C217" s="599"/>
      <c r="D217" s="1843">
        <v>284077</v>
      </c>
      <c r="E217" s="599"/>
      <c r="F217" s="599"/>
      <c r="G217" s="599"/>
      <c r="H217" s="599"/>
      <c r="I217" s="599"/>
      <c r="J217" s="599"/>
      <c r="K217" s="1578">
        <f t="shared" si="19"/>
        <v>284077</v>
      </c>
      <c r="L217" s="1843">
        <v>319123</v>
      </c>
    </row>
    <row r="218" spans="1:14">
      <c r="A218" s="1413" t="s">
        <v>277</v>
      </c>
      <c r="B218" s="597" t="s">
        <v>967</v>
      </c>
      <c r="C218" s="599"/>
      <c r="D218" s="1843">
        <v>0</v>
      </c>
      <c r="E218" s="599"/>
      <c r="F218" s="599"/>
      <c r="G218" s="599"/>
      <c r="H218" s="599"/>
      <c r="I218" s="599"/>
      <c r="J218" s="599"/>
      <c r="K218" s="1578">
        <f t="shared" si="19"/>
        <v>0</v>
      </c>
      <c r="L218" s="1843">
        <v>0</v>
      </c>
    </row>
    <row r="219" spans="1:14">
      <c r="A219" s="1413" t="s">
        <v>278</v>
      </c>
      <c r="B219" s="597">
        <v>1250</v>
      </c>
      <c r="C219" s="599"/>
      <c r="D219" s="1843">
        <v>0</v>
      </c>
      <c r="E219" s="599"/>
      <c r="F219" s="599"/>
      <c r="G219" s="599"/>
      <c r="H219" s="599"/>
      <c r="I219" s="599"/>
      <c r="J219" s="599"/>
      <c r="K219" s="1578">
        <f t="shared" si="19"/>
        <v>0</v>
      </c>
      <c r="L219" s="1843">
        <v>0</v>
      </c>
    </row>
    <row r="220" spans="1:14">
      <c r="A220" s="1413" t="s">
        <v>279</v>
      </c>
      <c r="B220" s="597" t="s">
        <v>161</v>
      </c>
      <c r="C220" s="599"/>
      <c r="D220" s="1843">
        <v>0</v>
      </c>
      <c r="E220" s="599"/>
      <c r="F220" s="599"/>
      <c r="G220" s="599"/>
      <c r="H220" s="599"/>
      <c r="I220" s="599"/>
      <c r="J220" s="599"/>
      <c r="K220" s="1578">
        <f t="shared" si="19"/>
        <v>0</v>
      </c>
      <c r="L220" s="1843">
        <v>0</v>
      </c>
    </row>
    <row r="221" spans="1:14">
      <c r="A221" s="1413" t="s">
        <v>961</v>
      </c>
      <c r="B221" s="597">
        <v>1300</v>
      </c>
      <c r="C221" s="599"/>
      <c r="D221" s="1843">
        <v>0</v>
      </c>
      <c r="E221" s="599"/>
      <c r="F221" s="599"/>
      <c r="G221" s="599"/>
      <c r="H221" s="599"/>
      <c r="I221" s="599"/>
      <c r="J221" s="599"/>
      <c r="K221" s="1578">
        <f t="shared" si="19"/>
        <v>0</v>
      </c>
      <c r="L221" s="1843">
        <v>0</v>
      </c>
    </row>
    <row r="222" spans="1:14">
      <c r="A222" s="1413" t="s">
        <v>722</v>
      </c>
      <c r="B222" s="597">
        <v>1400</v>
      </c>
      <c r="C222" s="599"/>
      <c r="D222" s="1843">
        <v>58024</v>
      </c>
      <c r="E222" s="599"/>
      <c r="F222" s="599"/>
      <c r="G222" s="599"/>
      <c r="H222" s="599"/>
      <c r="I222" s="599"/>
      <c r="J222" s="599"/>
      <c r="K222" s="1578">
        <f t="shared" si="19"/>
        <v>58024</v>
      </c>
      <c r="L222" s="1843">
        <v>50307</v>
      </c>
    </row>
    <row r="223" spans="1:14">
      <c r="A223" s="1413" t="s">
        <v>962</v>
      </c>
      <c r="B223" s="597">
        <v>1500</v>
      </c>
      <c r="C223" s="599"/>
      <c r="D223" s="1843">
        <v>66716</v>
      </c>
      <c r="E223" s="599"/>
      <c r="F223" s="599"/>
      <c r="G223" s="599"/>
      <c r="H223" s="599"/>
      <c r="I223" s="599"/>
      <c r="J223" s="599"/>
      <c r="K223" s="1578">
        <f t="shared" si="19"/>
        <v>66716</v>
      </c>
      <c r="L223" s="1843">
        <v>68149</v>
      </c>
    </row>
    <row r="224" spans="1:14">
      <c r="A224" s="1413" t="s">
        <v>963</v>
      </c>
      <c r="B224" s="597">
        <v>1600</v>
      </c>
      <c r="C224" s="599"/>
      <c r="D224" s="1843">
        <v>1664</v>
      </c>
      <c r="E224" s="599"/>
      <c r="F224" s="599"/>
      <c r="G224" s="599"/>
      <c r="H224" s="599"/>
      <c r="I224" s="599"/>
      <c r="J224" s="599"/>
      <c r="K224" s="1578">
        <f t="shared" si="19"/>
        <v>1664</v>
      </c>
      <c r="L224" s="1843">
        <v>1851</v>
      </c>
    </row>
    <row r="225" spans="1:12">
      <c r="A225" s="1413" t="s">
        <v>986</v>
      </c>
      <c r="B225" s="597">
        <v>1650</v>
      </c>
      <c r="C225" s="599"/>
      <c r="D225" s="1843">
        <v>0</v>
      </c>
      <c r="E225" s="599"/>
      <c r="F225" s="599"/>
      <c r="G225" s="599"/>
      <c r="H225" s="599"/>
      <c r="I225" s="599"/>
      <c r="J225" s="599"/>
      <c r="K225" s="1578">
        <f t="shared" si="19"/>
        <v>0</v>
      </c>
      <c r="L225" s="1843">
        <v>0</v>
      </c>
    </row>
    <row r="226" spans="1:12">
      <c r="A226" s="1413" t="s">
        <v>723</v>
      </c>
      <c r="B226" s="597" t="s">
        <v>162</v>
      </c>
      <c r="C226" s="599"/>
      <c r="D226" s="1843">
        <v>4543</v>
      </c>
      <c r="E226" s="599"/>
      <c r="F226" s="599"/>
      <c r="G226" s="599"/>
      <c r="H226" s="599"/>
      <c r="I226" s="599"/>
      <c r="J226" s="599"/>
      <c r="K226" s="1578">
        <f t="shared" si="19"/>
        <v>4543</v>
      </c>
      <c r="L226" s="1843">
        <v>4159</v>
      </c>
    </row>
    <row r="227" spans="1:12">
      <c r="A227" s="1413" t="s">
        <v>1086</v>
      </c>
      <c r="B227" s="597">
        <v>1800</v>
      </c>
      <c r="C227" s="599"/>
      <c r="D227" s="1843">
        <v>31</v>
      </c>
      <c r="E227" s="599"/>
      <c r="F227" s="599"/>
      <c r="G227" s="599"/>
      <c r="H227" s="599"/>
      <c r="I227" s="599"/>
      <c r="J227" s="599"/>
      <c r="K227" s="1578">
        <f t="shared" si="19"/>
        <v>31</v>
      </c>
      <c r="L227" s="1843">
        <v>902</v>
      </c>
    </row>
    <row r="228" spans="1:12">
      <c r="A228" s="1413" t="s">
        <v>1087</v>
      </c>
      <c r="B228" s="597">
        <v>1900</v>
      </c>
      <c r="C228" s="599"/>
      <c r="D228" s="1843">
        <v>0</v>
      </c>
      <c r="E228" s="599"/>
      <c r="F228" s="599"/>
      <c r="G228" s="599"/>
      <c r="H228" s="599"/>
      <c r="I228" s="599"/>
      <c r="J228" s="599"/>
      <c r="K228" s="1578">
        <f t="shared" si="19"/>
        <v>0</v>
      </c>
      <c r="L228" s="1843">
        <v>0</v>
      </c>
    </row>
    <row r="229" spans="1:12" ht="12.75" customHeight="1" thickBot="1">
      <c r="A229" s="1575" t="s">
        <v>714</v>
      </c>
      <c r="B229" s="1582" t="s">
        <v>569</v>
      </c>
      <c r="C229" s="599"/>
      <c r="D229" s="1577">
        <f>SUM(D215:D228)</f>
        <v>946962</v>
      </c>
      <c r="E229" s="599"/>
      <c r="F229" s="599"/>
      <c r="G229" s="599"/>
      <c r="H229" s="599"/>
      <c r="I229" s="599"/>
      <c r="J229" s="599"/>
      <c r="K229" s="1577">
        <f>SUM(K215:K228)</f>
        <v>946962</v>
      </c>
      <c r="L229" s="1577">
        <f>SUM(L215:L228)</f>
        <v>982712</v>
      </c>
    </row>
    <row r="230" spans="1:12" ht="15.75" customHeight="1" thickTop="1">
      <c r="A230" s="1521" t="s">
        <v>873</v>
      </c>
      <c r="B230" s="1522" t="s">
        <v>568</v>
      </c>
      <c r="C230" s="599"/>
      <c r="D230" s="599"/>
      <c r="E230" s="599"/>
      <c r="F230" s="599"/>
      <c r="G230" s="599"/>
      <c r="H230" s="599"/>
      <c r="I230" s="599"/>
      <c r="J230" s="599"/>
      <c r="K230" s="599"/>
      <c r="L230" s="599"/>
    </row>
    <row r="231" spans="1:12" ht="15.75" customHeight="1">
      <c r="A231" s="634" t="s">
        <v>590</v>
      </c>
      <c r="B231" s="605"/>
      <c r="C231" s="599"/>
      <c r="D231" s="599"/>
      <c r="E231" s="599"/>
      <c r="F231" s="599"/>
      <c r="G231" s="599"/>
      <c r="H231" s="599"/>
      <c r="I231" s="599"/>
      <c r="J231" s="599"/>
      <c r="K231" s="599"/>
      <c r="L231" s="599"/>
    </row>
    <row r="232" spans="1:12">
      <c r="A232" s="1413" t="s">
        <v>1088</v>
      </c>
      <c r="B232" s="597">
        <v>2110</v>
      </c>
      <c r="C232" s="599"/>
      <c r="D232" s="1843">
        <v>16186</v>
      </c>
      <c r="E232" s="599"/>
      <c r="F232" s="599"/>
      <c r="G232" s="599"/>
      <c r="H232" s="599"/>
      <c r="I232" s="599"/>
      <c r="J232" s="599"/>
      <c r="K232" s="1578">
        <f t="shared" ref="K232:K237" si="20">D232</f>
        <v>16186</v>
      </c>
      <c r="L232" s="1843">
        <v>17923</v>
      </c>
    </row>
    <row r="233" spans="1:12">
      <c r="A233" s="1413" t="s">
        <v>1089</v>
      </c>
      <c r="B233" s="597">
        <v>2120</v>
      </c>
      <c r="C233" s="599"/>
      <c r="D233" s="1843">
        <v>101244</v>
      </c>
      <c r="E233" s="599"/>
      <c r="F233" s="599"/>
      <c r="G233" s="599"/>
      <c r="H233" s="599"/>
      <c r="I233" s="599"/>
      <c r="J233" s="599"/>
      <c r="K233" s="1578">
        <f t="shared" si="20"/>
        <v>101244</v>
      </c>
      <c r="L233" s="1843">
        <v>101584</v>
      </c>
    </row>
    <row r="234" spans="1:12">
      <c r="A234" s="1413" t="s">
        <v>198</v>
      </c>
      <c r="B234" s="597">
        <v>2130</v>
      </c>
      <c r="C234" s="599"/>
      <c r="D234" s="1843">
        <v>5280</v>
      </c>
      <c r="E234" s="599"/>
      <c r="F234" s="599"/>
      <c r="G234" s="599"/>
      <c r="H234" s="599"/>
      <c r="I234" s="599"/>
      <c r="J234" s="599"/>
      <c r="K234" s="1578">
        <f t="shared" si="20"/>
        <v>5280</v>
      </c>
      <c r="L234" s="1843">
        <v>7475</v>
      </c>
    </row>
    <row r="235" spans="1:12">
      <c r="A235" s="1413" t="s">
        <v>199</v>
      </c>
      <c r="B235" s="597">
        <v>2140</v>
      </c>
      <c r="C235" s="599"/>
      <c r="D235" s="1843">
        <v>4356</v>
      </c>
      <c r="E235" s="599"/>
      <c r="F235" s="599"/>
      <c r="G235" s="599"/>
      <c r="H235" s="599"/>
      <c r="I235" s="599"/>
      <c r="J235" s="599"/>
      <c r="K235" s="1578">
        <f t="shared" si="20"/>
        <v>4356</v>
      </c>
      <c r="L235" s="1843">
        <v>4268</v>
      </c>
    </row>
    <row r="236" spans="1:12">
      <c r="A236" s="1413" t="s">
        <v>200</v>
      </c>
      <c r="B236" s="597">
        <v>2150</v>
      </c>
      <c r="C236" s="599"/>
      <c r="D236" s="1843">
        <v>50</v>
      </c>
      <c r="E236" s="599"/>
      <c r="F236" s="599"/>
      <c r="G236" s="599"/>
      <c r="H236" s="599"/>
      <c r="I236" s="599"/>
      <c r="J236" s="599"/>
      <c r="K236" s="1578">
        <f t="shared" si="20"/>
        <v>50</v>
      </c>
      <c r="L236" s="1843">
        <v>0</v>
      </c>
    </row>
    <row r="237" spans="1:12">
      <c r="A237" s="1413" t="s">
        <v>165</v>
      </c>
      <c r="B237" s="597">
        <v>2190</v>
      </c>
      <c r="C237" s="599"/>
      <c r="D237" s="1843">
        <v>0</v>
      </c>
      <c r="E237" s="599"/>
      <c r="F237" s="599"/>
      <c r="G237" s="599"/>
      <c r="H237" s="599"/>
      <c r="I237" s="599"/>
      <c r="J237" s="599"/>
      <c r="K237" s="1578">
        <f t="shared" si="20"/>
        <v>0</v>
      </c>
      <c r="L237" s="1843">
        <v>0</v>
      </c>
    </row>
    <row r="238" spans="1:12" ht="12.75" customHeight="1" thickBot="1">
      <c r="A238" s="1575" t="s">
        <v>559</v>
      </c>
      <c r="B238" s="1582" t="s">
        <v>715</v>
      </c>
      <c r="C238" s="599"/>
      <c r="D238" s="1577">
        <f>SUM(D232:D237)</f>
        <v>127116</v>
      </c>
      <c r="E238" s="599"/>
      <c r="F238" s="599"/>
      <c r="G238" s="599"/>
      <c r="H238" s="599"/>
      <c r="I238" s="599"/>
      <c r="J238" s="599"/>
      <c r="K238" s="1577">
        <f>SUM(K232:K237)</f>
        <v>127116</v>
      </c>
      <c r="L238" s="1577">
        <f>SUM(L232:L237)</f>
        <v>131250</v>
      </c>
    </row>
    <row r="239" spans="1:12" ht="15.75" customHeight="1" thickTop="1">
      <c r="A239" s="607" t="s">
        <v>591</v>
      </c>
      <c r="B239" s="614"/>
      <c r="C239" s="599"/>
      <c r="D239" s="609"/>
      <c r="E239" s="599"/>
      <c r="F239" s="599"/>
      <c r="G239" s="599"/>
      <c r="H239" s="599"/>
      <c r="I239" s="599"/>
      <c r="J239" s="599"/>
      <c r="K239" s="609"/>
      <c r="L239" s="609"/>
    </row>
    <row r="240" spans="1:12">
      <c r="A240" s="1413" t="s">
        <v>813</v>
      </c>
      <c r="B240" s="597">
        <v>2210</v>
      </c>
      <c r="C240" s="599"/>
      <c r="D240" s="1843">
        <v>31687</v>
      </c>
      <c r="E240" s="599"/>
      <c r="F240" s="599"/>
      <c r="G240" s="599"/>
      <c r="H240" s="599"/>
      <c r="I240" s="599"/>
      <c r="J240" s="599"/>
      <c r="K240" s="1579">
        <f>D240</f>
        <v>31687</v>
      </c>
      <c r="L240" s="1842">
        <v>36417</v>
      </c>
    </row>
    <row r="241" spans="1:12">
      <c r="A241" s="1413" t="s">
        <v>814</v>
      </c>
      <c r="B241" s="597">
        <v>2220</v>
      </c>
      <c r="C241" s="599"/>
      <c r="D241" s="1843">
        <v>9232</v>
      </c>
      <c r="E241" s="599"/>
      <c r="F241" s="599"/>
      <c r="G241" s="599"/>
      <c r="H241" s="599"/>
      <c r="I241" s="599"/>
      <c r="J241" s="599"/>
      <c r="K241" s="1579">
        <f>D241</f>
        <v>9232</v>
      </c>
      <c r="L241" s="1843">
        <v>11931</v>
      </c>
    </row>
    <row r="242" spans="1:12">
      <c r="A242" s="1413" t="s">
        <v>815</v>
      </c>
      <c r="B242" s="597">
        <v>2230</v>
      </c>
      <c r="C242" s="599"/>
      <c r="D242" s="1843">
        <v>0</v>
      </c>
      <c r="E242" s="599"/>
      <c r="F242" s="599"/>
      <c r="G242" s="599"/>
      <c r="H242" s="599"/>
      <c r="I242" s="599"/>
      <c r="J242" s="599"/>
      <c r="K242" s="1579">
        <f>D242</f>
        <v>0</v>
      </c>
      <c r="L242" s="1843">
        <v>0</v>
      </c>
    </row>
    <row r="243" spans="1:12" ht="12.75" customHeight="1" thickBot="1">
      <c r="A243" s="1601" t="s">
        <v>560</v>
      </c>
      <c r="B243" s="1602">
        <v>2200</v>
      </c>
      <c r="C243" s="599"/>
      <c r="D243" s="1577">
        <f>SUM(D240:D242)</f>
        <v>40919</v>
      </c>
      <c r="E243" s="599"/>
      <c r="F243" s="599"/>
      <c r="G243" s="599"/>
      <c r="H243" s="599"/>
      <c r="I243" s="599"/>
      <c r="J243" s="599"/>
      <c r="K243" s="1577">
        <f>SUM(K240:K242)</f>
        <v>40919</v>
      </c>
      <c r="L243" s="1577">
        <f>SUM(L240:L242)</f>
        <v>48348</v>
      </c>
    </row>
    <row r="244" spans="1:12" ht="15.75" customHeight="1" thickTop="1">
      <c r="A244" s="607" t="s">
        <v>609</v>
      </c>
      <c r="B244" s="662"/>
      <c r="C244" s="599"/>
      <c r="D244" s="609"/>
      <c r="E244" s="599"/>
      <c r="F244" s="599"/>
      <c r="G244" s="599"/>
      <c r="H244" s="599"/>
      <c r="I244" s="599"/>
      <c r="J244" s="599"/>
      <c r="K244" s="609"/>
      <c r="L244" s="609"/>
    </row>
    <row r="245" spans="1:12">
      <c r="A245" s="1413" t="s">
        <v>816</v>
      </c>
      <c r="B245" s="597">
        <v>2310</v>
      </c>
      <c r="C245" s="599"/>
      <c r="D245" s="1843">
        <v>0</v>
      </c>
      <c r="E245" s="599"/>
      <c r="F245" s="599"/>
      <c r="G245" s="599"/>
      <c r="H245" s="599"/>
      <c r="I245" s="599"/>
      <c r="J245" s="599"/>
      <c r="K245" s="1579">
        <f>D245</f>
        <v>0</v>
      </c>
      <c r="L245" s="1842">
        <v>0</v>
      </c>
    </row>
    <row r="246" spans="1:12">
      <c r="A246" s="1413" t="s">
        <v>817</v>
      </c>
      <c r="B246" s="597">
        <v>2320</v>
      </c>
      <c r="C246" s="599"/>
      <c r="D246" s="1843">
        <v>16123</v>
      </c>
      <c r="E246" s="599"/>
      <c r="F246" s="599"/>
      <c r="G246" s="599"/>
      <c r="H246" s="599"/>
      <c r="I246" s="599"/>
      <c r="J246" s="599"/>
      <c r="K246" s="1579">
        <f t="shared" ref="K246:K256" si="21">D246</f>
        <v>16123</v>
      </c>
      <c r="L246" s="1843">
        <v>17285</v>
      </c>
    </row>
    <row r="247" spans="1:12">
      <c r="A247" s="1413" t="s">
        <v>818</v>
      </c>
      <c r="B247" s="597">
        <v>2330</v>
      </c>
      <c r="C247" s="599"/>
      <c r="D247" s="1843">
        <v>0</v>
      </c>
      <c r="E247" s="599"/>
      <c r="F247" s="599"/>
      <c r="G247" s="599"/>
      <c r="H247" s="599"/>
      <c r="I247" s="599"/>
      <c r="J247" s="599"/>
      <c r="K247" s="1579">
        <f t="shared" si="21"/>
        <v>0</v>
      </c>
      <c r="L247" s="1843">
        <v>0</v>
      </c>
    </row>
    <row r="248" spans="1:12">
      <c r="A248" s="1414" t="s">
        <v>298</v>
      </c>
      <c r="B248" s="585" t="s">
        <v>280</v>
      </c>
      <c r="C248" s="599"/>
      <c r="D248" s="1843">
        <v>0</v>
      </c>
      <c r="E248" s="599"/>
      <c r="F248" s="599"/>
      <c r="G248" s="599"/>
      <c r="H248" s="599"/>
      <c r="I248" s="599"/>
      <c r="J248" s="599"/>
      <c r="K248" s="1579">
        <f t="shared" si="21"/>
        <v>0</v>
      </c>
      <c r="L248" s="1843">
        <v>0</v>
      </c>
    </row>
    <row r="249" spans="1:12">
      <c r="A249" s="1415" t="s">
        <v>1777</v>
      </c>
      <c r="B249" s="663" t="s">
        <v>281</v>
      </c>
      <c r="C249" s="599"/>
      <c r="D249" s="1843">
        <v>0</v>
      </c>
      <c r="E249" s="599"/>
      <c r="F249" s="599"/>
      <c r="G249" s="599"/>
      <c r="H249" s="599"/>
      <c r="I249" s="599"/>
      <c r="J249" s="599"/>
      <c r="K249" s="1579">
        <f t="shared" si="21"/>
        <v>0</v>
      </c>
      <c r="L249" s="1843">
        <v>0</v>
      </c>
    </row>
    <row r="250" spans="1:12">
      <c r="A250" s="1414" t="s">
        <v>1778</v>
      </c>
      <c r="B250" s="585" t="s">
        <v>282</v>
      </c>
      <c r="C250" s="599"/>
      <c r="D250" s="1843">
        <v>0</v>
      </c>
      <c r="E250" s="599"/>
      <c r="F250" s="599"/>
      <c r="G250" s="599"/>
      <c r="H250" s="599"/>
      <c r="I250" s="599"/>
      <c r="J250" s="599"/>
      <c r="K250" s="1579">
        <f t="shared" si="21"/>
        <v>0</v>
      </c>
      <c r="L250" s="1843">
        <v>0</v>
      </c>
    </row>
    <row r="251" spans="1:12">
      <c r="A251" s="1414" t="s">
        <v>238</v>
      </c>
      <c r="B251" s="585" t="s">
        <v>283</v>
      </c>
      <c r="C251" s="599"/>
      <c r="D251" s="1843">
        <v>0</v>
      </c>
      <c r="E251" s="599"/>
      <c r="F251" s="599"/>
      <c r="G251" s="599"/>
      <c r="H251" s="599"/>
      <c r="I251" s="599"/>
      <c r="J251" s="599"/>
      <c r="K251" s="1579">
        <f t="shared" si="21"/>
        <v>0</v>
      </c>
      <c r="L251" s="1843">
        <v>0</v>
      </c>
    </row>
    <row r="252" spans="1:12">
      <c r="A252" s="1414" t="s">
        <v>701</v>
      </c>
      <c r="B252" s="585" t="s">
        <v>284</v>
      </c>
      <c r="C252" s="599"/>
      <c r="D252" s="1843">
        <v>0</v>
      </c>
      <c r="E252" s="599"/>
      <c r="F252" s="599"/>
      <c r="G252" s="599"/>
      <c r="H252" s="599"/>
      <c r="I252" s="599"/>
      <c r="J252" s="599"/>
      <c r="K252" s="1579">
        <f t="shared" si="21"/>
        <v>0</v>
      </c>
      <c r="L252" s="1843">
        <v>0</v>
      </c>
    </row>
    <row r="253" spans="1:12">
      <c r="A253" s="1414" t="s">
        <v>239</v>
      </c>
      <c r="B253" s="585" t="s">
        <v>285</v>
      </c>
      <c r="C253" s="599"/>
      <c r="D253" s="1843">
        <v>0</v>
      </c>
      <c r="E253" s="599"/>
      <c r="F253" s="599"/>
      <c r="G253" s="599"/>
      <c r="H253" s="599"/>
      <c r="I253" s="599"/>
      <c r="J253" s="599"/>
      <c r="K253" s="1579">
        <f t="shared" si="21"/>
        <v>0</v>
      </c>
      <c r="L253" s="1843">
        <v>0</v>
      </c>
    </row>
    <row r="254" spans="1:12" ht="22.5">
      <c r="A254" s="1414" t="s">
        <v>1028</v>
      </c>
      <c r="B254" s="663" t="s">
        <v>286</v>
      </c>
      <c r="C254" s="599"/>
      <c r="D254" s="1843">
        <v>240259</v>
      </c>
      <c r="E254" s="599"/>
      <c r="F254" s="599"/>
      <c r="G254" s="599"/>
      <c r="H254" s="599"/>
      <c r="I254" s="599"/>
      <c r="J254" s="599"/>
      <c r="K254" s="1579">
        <f t="shared" si="21"/>
        <v>240259</v>
      </c>
      <c r="L254" s="1843">
        <v>262035</v>
      </c>
    </row>
    <row r="255" spans="1:12">
      <c r="A255" s="1414" t="s">
        <v>1029</v>
      </c>
      <c r="B255" s="585" t="s">
        <v>287</v>
      </c>
      <c r="C255" s="599"/>
      <c r="D255" s="1843">
        <v>0</v>
      </c>
      <c r="E255" s="599"/>
      <c r="F255" s="599"/>
      <c r="G255" s="599"/>
      <c r="H255" s="599"/>
      <c r="I255" s="599"/>
      <c r="J255" s="599"/>
      <c r="K255" s="1579">
        <f t="shared" si="21"/>
        <v>0</v>
      </c>
      <c r="L255" s="1843">
        <v>0</v>
      </c>
    </row>
    <row r="256" spans="1:12">
      <c r="A256" s="1414" t="s">
        <v>970</v>
      </c>
      <c r="B256" s="597" t="s">
        <v>288</v>
      </c>
      <c r="C256" s="599"/>
      <c r="D256" s="1843">
        <v>0</v>
      </c>
      <c r="E256" s="599"/>
      <c r="F256" s="599"/>
      <c r="G256" s="599"/>
      <c r="H256" s="599"/>
      <c r="I256" s="599"/>
      <c r="J256" s="599"/>
      <c r="K256" s="1579">
        <f t="shared" si="21"/>
        <v>0</v>
      </c>
      <c r="L256" s="1843">
        <v>0</v>
      </c>
    </row>
    <row r="257" spans="1:14" ht="12.75" customHeight="1" thickBot="1">
      <c r="A257" s="1575" t="s">
        <v>716</v>
      </c>
      <c r="B257" s="1603">
        <v>2300</v>
      </c>
      <c r="C257" s="599"/>
      <c r="D257" s="1577">
        <f>SUM(D245:D256)</f>
        <v>256382</v>
      </c>
      <c r="E257" s="599"/>
      <c r="F257" s="599"/>
      <c r="G257" s="599"/>
      <c r="H257" s="599"/>
      <c r="I257" s="599"/>
      <c r="J257" s="599"/>
      <c r="K257" s="1577">
        <f>SUM(K245:K256)</f>
        <v>256382</v>
      </c>
      <c r="L257" s="1577">
        <f>SUM(L245:L256)</f>
        <v>279320</v>
      </c>
    </row>
    <row r="258" spans="1:14" ht="15.75" customHeight="1" thickTop="1">
      <c r="A258" s="607" t="s">
        <v>610</v>
      </c>
      <c r="B258" s="664"/>
      <c r="C258" s="599"/>
      <c r="D258" s="609"/>
      <c r="E258" s="599"/>
      <c r="F258" s="599"/>
      <c r="G258" s="599"/>
      <c r="H258" s="599"/>
      <c r="I258" s="599"/>
      <c r="J258" s="599"/>
      <c r="K258" s="609"/>
      <c r="L258" s="609"/>
    </row>
    <row r="259" spans="1:14">
      <c r="A259" s="1413" t="s">
        <v>1066</v>
      </c>
      <c r="B259" s="665">
        <v>2410</v>
      </c>
      <c r="C259" s="599"/>
      <c r="D259" s="1843">
        <v>166841</v>
      </c>
      <c r="E259" s="599"/>
      <c r="F259" s="599"/>
      <c r="G259" s="599"/>
      <c r="H259" s="599"/>
      <c r="I259" s="599"/>
      <c r="J259" s="599"/>
      <c r="K259" s="1579">
        <f>D259</f>
        <v>166841</v>
      </c>
      <c r="L259" s="1842">
        <v>200305</v>
      </c>
    </row>
    <row r="260" spans="1:14" s="580" customFormat="1">
      <c r="A260" s="1431" t="s">
        <v>1776</v>
      </c>
      <c r="B260" s="611">
        <v>2490</v>
      </c>
      <c r="C260" s="599"/>
      <c r="D260" s="1843">
        <v>0</v>
      </c>
      <c r="E260" s="599"/>
      <c r="F260" s="599"/>
      <c r="G260" s="599"/>
      <c r="H260" s="599"/>
      <c r="I260" s="599"/>
      <c r="J260" s="599"/>
      <c r="K260" s="1579">
        <f>D260</f>
        <v>0</v>
      </c>
      <c r="L260" s="1843">
        <v>0</v>
      </c>
      <c r="M260" s="210"/>
      <c r="N260" s="210"/>
    </row>
    <row r="261" spans="1:14" ht="12.75" customHeight="1" thickBot="1">
      <c r="A261" s="1599" t="s">
        <v>263</v>
      </c>
      <c r="B261" s="1604" t="s">
        <v>34</v>
      </c>
      <c r="C261" s="599"/>
      <c r="D261" s="1577">
        <f>SUM(D259:D260)</f>
        <v>166841</v>
      </c>
      <c r="E261" s="599"/>
      <c r="F261" s="599"/>
      <c r="G261" s="599"/>
      <c r="H261" s="599"/>
      <c r="I261" s="599"/>
      <c r="J261" s="599"/>
      <c r="K261" s="1577">
        <f>SUM(K259:K260)</f>
        <v>166841</v>
      </c>
      <c r="L261" s="1577">
        <f>SUM(L259:L260)</f>
        <v>200305</v>
      </c>
    </row>
    <row r="262" spans="1:14" ht="15.75" customHeight="1" thickTop="1">
      <c r="A262" s="607" t="s">
        <v>611</v>
      </c>
      <c r="B262" s="664"/>
      <c r="C262" s="599"/>
      <c r="D262" s="599"/>
      <c r="E262" s="599"/>
      <c r="F262" s="599"/>
      <c r="G262" s="599"/>
      <c r="H262" s="599"/>
      <c r="I262" s="599"/>
      <c r="J262" s="599"/>
      <c r="K262" s="609"/>
      <c r="L262" s="609"/>
    </row>
    <row r="263" spans="1:14">
      <c r="A263" s="1413" t="s">
        <v>1067</v>
      </c>
      <c r="B263" s="665">
        <v>2510</v>
      </c>
      <c r="C263" s="599"/>
      <c r="D263" s="1843">
        <v>3297</v>
      </c>
      <c r="E263" s="599"/>
      <c r="F263" s="599"/>
      <c r="G263" s="599"/>
      <c r="H263" s="599"/>
      <c r="I263" s="599"/>
      <c r="J263" s="599"/>
      <c r="K263" s="1579">
        <f>D263</f>
        <v>3297</v>
      </c>
      <c r="L263" s="1842">
        <v>3290</v>
      </c>
    </row>
    <row r="264" spans="1:14">
      <c r="A264" s="1413" t="s">
        <v>462</v>
      </c>
      <c r="B264" s="665">
        <v>2520</v>
      </c>
      <c r="C264" s="599"/>
      <c r="D264" s="1843">
        <v>61814</v>
      </c>
      <c r="E264" s="599"/>
      <c r="F264" s="599"/>
      <c r="G264" s="599"/>
      <c r="H264" s="599"/>
      <c r="I264" s="599"/>
      <c r="J264" s="599"/>
      <c r="K264" s="1579">
        <f t="shared" ref="K264:K269" si="22">D264</f>
        <v>61814</v>
      </c>
      <c r="L264" s="1843">
        <v>66115</v>
      </c>
    </row>
    <row r="265" spans="1:14">
      <c r="A265" s="1413" t="s">
        <v>4</v>
      </c>
      <c r="B265" s="597">
        <v>2530</v>
      </c>
      <c r="C265" s="599"/>
      <c r="D265" s="1843">
        <v>0</v>
      </c>
      <c r="E265" s="599"/>
      <c r="F265" s="599"/>
      <c r="G265" s="599"/>
      <c r="H265" s="599"/>
      <c r="I265" s="599"/>
      <c r="J265" s="599"/>
      <c r="K265" s="1579">
        <f t="shared" si="22"/>
        <v>0</v>
      </c>
      <c r="L265" s="1843">
        <v>0</v>
      </c>
    </row>
    <row r="266" spans="1:14">
      <c r="A266" s="1413" t="s">
        <v>197</v>
      </c>
      <c r="B266" s="597">
        <v>2540</v>
      </c>
      <c r="C266" s="599"/>
      <c r="D266" s="1843">
        <v>590682</v>
      </c>
      <c r="E266" s="599"/>
      <c r="F266" s="599"/>
      <c r="G266" s="599"/>
      <c r="H266" s="599"/>
      <c r="I266" s="599"/>
      <c r="J266" s="599"/>
      <c r="K266" s="1579">
        <f t="shared" si="22"/>
        <v>590682</v>
      </c>
      <c r="L266" s="1843">
        <v>661100</v>
      </c>
    </row>
    <row r="267" spans="1:14">
      <c r="A267" s="1413" t="s">
        <v>952</v>
      </c>
      <c r="B267" s="597">
        <v>2550</v>
      </c>
      <c r="C267" s="599"/>
      <c r="D267" s="1843">
        <v>646529</v>
      </c>
      <c r="E267" s="599"/>
      <c r="F267" s="599"/>
      <c r="G267" s="599"/>
      <c r="H267" s="599"/>
      <c r="I267" s="599"/>
      <c r="J267" s="599"/>
      <c r="K267" s="1579">
        <f t="shared" si="22"/>
        <v>646529</v>
      </c>
      <c r="L267" s="1843">
        <v>681222</v>
      </c>
    </row>
    <row r="268" spans="1:14">
      <c r="A268" s="1413" t="s">
        <v>100</v>
      </c>
      <c r="B268" s="597">
        <v>2560</v>
      </c>
      <c r="C268" s="599"/>
      <c r="D268" s="1843">
        <v>116875</v>
      </c>
      <c r="E268" s="599"/>
      <c r="F268" s="599"/>
      <c r="G268" s="599"/>
      <c r="H268" s="599"/>
      <c r="I268" s="599"/>
      <c r="J268" s="599"/>
      <c r="K268" s="1579">
        <f t="shared" si="22"/>
        <v>116875</v>
      </c>
      <c r="L268" s="1843">
        <v>128195</v>
      </c>
    </row>
    <row r="269" spans="1:14">
      <c r="A269" s="1413" t="s">
        <v>101</v>
      </c>
      <c r="B269" s="597">
        <v>2570</v>
      </c>
      <c r="C269" s="599"/>
      <c r="D269" s="1843">
        <v>0</v>
      </c>
      <c r="E269" s="599"/>
      <c r="F269" s="599"/>
      <c r="G269" s="599"/>
      <c r="H269" s="599"/>
      <c r="I269" s="599"/>
      <c r="J269" s="599"/>
      <c r="K269" s="1579">
        <f t="shared" si="22"/>
        <v>0</v>
      </c>
      <c r="L269" s="1843">
        <v>0</v>
      </c>
    </row>
    <row r="270" spans="1:14" ht="12.75" customHeight="1" thickBot="1">
      <c r="A270" s="1575" t="s">
        <v>718</v>
      </c>
      <c r="B270" s="1582" t="s">
        <v>35</v>
      </c>
      <c r="C270" s="599"/>
      <c r="D270" s="1577">
        <f>SUM(D263:D269)</f>
        <v>1419197</v>
      </c>
      <c r="E270" s="599"/>
      <c r="F270" s="599"/>
      <c r="G270" s="599"/>
      <c r="H270" s="599"/>
      <c r="I270" s="599"/>
      <c r="J270" s="599"/>
      <c r="K270" s="1577">
        <f>SUM(K263:K269)</f>
        <v>1419197</v>
      </c>
      <c r="L270" s="1577">
        <f>SUM(L263:L269)</f>
        <v>1539922</v>
      </c>
    </row>
    <row r="271" spans="1:14" ht="15.75" customHeight="1" thickTop="1">
      <c r="A271" s="649" t="s">
        <v>612</v>
      </c>
      <c r="B271" s="608"/>
      <c r="C271" s="599"/>
      <c r="D271" s="609"/>
      <c r="E271" s="599"/>
      <c r="F271" s="599"/>
      <c r="G271" s="599"/>
      <c r="H271" s="599"/>
      <c r="I271" s="599"/>
      <c r="J271" s="599"/>
      <c r="K271" s="609"/>
      <c r="L271" s="609"/>
    </row>
    <row r="272" spans="1:14">
      <c r="A272" s="1413" t="s">
        <v>1059</v>
      </c>
      <c r="B272" s="597">
        <v>2610</v>
      </c>
      <c r="C272" s="599"/>
      <c r="D272" s="1843">
        <v>0</v>
      </c>
      <c r="E272" s="599"/>
      <c r="F272" s="599"/>
      <c r="G272" s="599"/>
      <c r="H272" s="599"/>
      <c r="I272" s="599"/>
      <c r="J272" s="599"/>
      <c r="K272" s="1579">
        <f>D272</f>
        <v>0</v>
      </c>
      <c r="L272" s="1842">
        <v>0</v>
      </c>
    </row>
    <row r="273" spans="1:12">
      <c r="A273" s="1413" t="s">
        <v>606</v>
      </c>
      <c r="B273" s="611">
        <v>2620</v>
      </c>
      <c r="C273" s="599"/>
      <c r="D273" s="1843">
        <v>0</v>
      </c>
      <c r="E273" s="599"/>
      <c r="F273" s="599"/>
      <c r="G273" s="599"/>
      <c r="H273" s="599"/>
      <c r="I273" s="599"/>
      <c r="J273" s="599"/>
      <c r="K273" s="1579">
        <f>D273</f>
        <v>0</v>
      </c>
      <c r="L273" s="1843">
        <v>0</v>
      </c>
    </row>
    <row r="274" spans="1:12" ht="12" customHeight="1">
      <c r="A274" s="1413" t="s">
        <v>1060</v>
      </c>
      <c r="B274" s="597">
        <v>2630</v>
      </c>
      <c r="C274" s="599"/>
      <c r="D274" s="1843">
        <v>41395</v>
      </c>
      <c r="E274" s="599"/>
      <c r="F274" s="599"/>
      <c r="G274" s="599"/>
      <c r="H274" s="599"/>
      <c r="I274" s="599"/>
      <c r="J274" s="599"/>
      <c r="K274" s="1579">
        <f>D274</f>
        <v>41395</v>
      </c>
      <c r="L274" s="1843">
        <v>43367</v>
      </c>
    </row>
    <row r="275" spans="1:12">
      <c r="A275" s="1413" t="s">
        <v>402</v>
      </c>
      <c r="B275" s="597">
        <v>2640</v>
      </c>
      <c r="C275" s="599"/>
      <c r="D275" s="1843">
        <v>13518</v>
      </c>
      <c r="E275" s="599"/>
      <c r="F275" s="599"/>
      <c r="G275" s="599"/>
      <c r="H275" s="599"/>
      <c r="I275" s="599"/>
      <c r="J275" s="599"/>
      <c r="K275" s="1579">
        <f>D275</f>
        <v>13518</v>
      </c>
      <c r="L275" s="1843">
        <v>16287</v>
      </c>
    </row>
    <row r="276" spans="1:12">
      <c r="A276" s="1413" t="s">
        <v>403</v>
      </c>
      <c r="B276" s="597">
        <v>2660</v>
      </c>
      <c r="C276" s="599"/>
      <c r="D276" s="1843">
        <v>171863</v>
      </c>
      <c r="E276" s="599"/>
      <c r="F276" s="599"/>
      <c r="G276" s="599"/>
      <c r="H276" s="599"/>
      <c r="I276" s="599"/>
      <c r="J276" s="599"/>
      <c r="K276" s="1579">
        <f>D276</f>
        <v>171863</v>
      </c>
      <c r="L276" s="1843">
        <v>185051</v>
      </c>
    </row>
    <row r="277" spans="1:12" ht="12.75" customHeight="1" thickBot="1">
      <c r="A277" s="1598" t="s">
        <v>37</v>
      </c>
      <c r="B277" s="1576" t="s">
        <v>36</v>
      </c>
      <c r="C277" s="599"/>
      <c r="D277" s="1577">
        <f>SUM(D272:D276)</f>
        <v>226776</v>
      </c>
      <c r="E277" s="599"/>
      <c r="F277" s="599"/>
      <c r="G277" s="599"/>
      <c r="H277" s="599"/>
      <c r="I277" s="599"/>
      <c r="J277" s="599"/>
      <c r="K277" s="1577">
        <f>SUM(K272:K276)</f>
        <v>226776</v>
      </c>
      <c r="L277" s="1577">
        <f>SUM(L272:L276)</f>
        <v>244705</v>
      </c>
    </row>
    <row r="278" spans="1:12" ht="13.5" customHeight="1" thickTop="1">
      <c r="A278" s="1419" t="s">
        <v>979</v>
      </c>
      <c r="B278" s="636" t="s">
        <v>573</v>
      </c>
      <c r="C278" s="599"/>
      <c r="D278" s="1843">
        <v>6778</v>
      </c>
      <c r="E278" s="599"/>
      <c r="F278" s="599"/>
      <c r="G278" s="599"/>
      <c r="H278" s="599"/>
      <c r="I278" s="599"/>
      <c r="J278" s="599"/>
      <c r="K278" s="1592">
        <f>D278</f>
        <v>6778</v>
      </c>
      <c r="L278" s="1866">
        <v>13024</v>
      </c>
    </row>
    <row r="279" spans="1:12" ht="12.75" customHeight="1" thickBot="1">
      <c r="A279" s="1605" t="s">
        <v>810</v>
      </c>
      <c r="B279" s="1588">
        <v>2000</v>
      </c>
      <c r="C279" s="599"/>
      <c r="D279" s="1584">
        <f>SUM(D238,D243,D257,D261,D270,D277,D278)</f>
        <v>2244009</v>
      </c>
      <c r="E279" s="599"/>
      <c r="F279" s="599"/>
      <c r="G279" s="599"/>
      <c r="H279" s="599"/>
      <c r="I279" s="599"/>
      <c r="J279" s="599"/>
      <c r="K279" s="1584">
        <f>SUM(K238,K243,K257,K261,K270,K277,K278)</f>
        <v>2244009</v>
      </c>
      <c r="L279" s="1584">
        <f>SUM(L238,L243,L257,L261,L270,L277,L278)</f>
        <v>2456874</v>
      </c>
    </row>
    <row r="280" spans="1:12" ht="15.75" customHeight="1" thickTop="1" thickBot="1">
      <c r="A280" s="1533" t="s">
        <v>874</v>
      </c>
      <c r="B280" s="1522">
        <v>3000</v>
      </c>
      <c r="C280" s="599"/>
      <c r="D280" s="1843">
        <v>6293</v>
      </c>
      <c r="E280" s="599"/>
      <c r="F280" s="599"/>
      <c r="G280" s="599"/>
      <c r="H280" s="599"/>
      <c r="I280" s="599"/>
      <c r="J280" s="599"/>
      <c r="K280" s="1586">
        <f>D280</f>
        <v>6293</v>
      </c>
      <c r="L280" s="1862">
        <v>600</v>
      </c>
    </row>
    <row r="281" spans="1:12" ht="15.75" customHeight="1" thickTop="1">
      <c r="A281" s="1523" t="s">
        <v>142</v>
      </c>
      <c r="B281" s="1524" t="s">
        <v>859</v>
      </c>
      <c r="C281" s="599"/>
      <c r="D281" s="563"/>
      <c r="E281" s="599"/>
      <c r="F281" s="599"/>
      <c r="G281" s="599"/>
      <c r="H281" s="599"/>
      <c r="I281" s="599"/>
      <c r="J281" s="599"/>
      <c r="K281" s="599"/>
      <c r="L281" s="599"/>
    </row>
    <row r="282" spans="1:12" ht="15.75" customHeight="1">
      <c r="A282" s="1737" t="s">
        <v>495</v>
      </c>
      <c r="B282" s="670" t="s">
        <v>1816</v>
      </c>
      <c r="C282" s="599"/>
      <c r="D282" s="1843">
        <v>0</v>
      </c>
      <c r="E282" s="599"/>
      <c r="F282" s="599"/>
      <c r="G282" s="599"/>
      <c r="H282" s="599"/>
      <c r="I282" s="599"/>
      <c r="J282" s="599"/>
      <c r="K282" s="1578">
        <f>D282</f>
        <v>0</v>
      </c>
      <c r="L282" s="1843">
        <v>0</v>
      </c>
    </row>
    <row r="283" spans="1:12">
      <c r="A283" s="1413" t="s">
        <v>303</v>
      </c>
      <c r="B283" s="597">
        <v>4120</v>
      </c>
      <c r="C283" s="599"/>
      <c r="D283" s="1843">
        <v>0</v>
      </c>
      <c r="E283" s="599"/>
      <c r="F283" s="599"/>
      <c r="G283" s="599"/>
      <c r="H283" s="599"/>
      <c r="I283" s="599"/>
      <c r="J283" s="599"/>
      <c r="K283" s="1578">
        <f>D283</f>
        <v>0</v>
      </c>
      <c r="L283" s="1843">
        <v>0</v>
      </c>
    </row>
    <row r="284" spans="1:12">
      <c r="A284" s="1413" t="s">
        <v>696</v>
      </c>
      <c r="B284" s="597">
        <v>4140</v>
      </c>
      <c r="C284" s="599"/>
      <c r="D284" s="1843">
        <v>0</v>
      </c>
      <c r="E284" s="599"/>
      <c r="F284" s="599"/>
      <c r="G284" s="599"/>
      <c r="H284" s="599"/>
      <c r="I284" s="599"/>
      <c r="J284" s="599"/>
      <c r="K284" s="1578">
        <f>D284</f>
        <v>0</v>
      </c>
      <c r="L284" s="1843">
        <v>0</v>
      </c>
    </row>
    <row r="285" spans="1:12" ht="12.75" customHeight="1" thickBot="1">
      <c r="A285" s="1575" t="s">
        <v>1484</v>
      </c>
      <c r="B285" s="1576" t="s">
        <v>859</v>
      </c>
      <c r="C285" s="599"/>
      <c r="D285" s="1577">
        <f>SUM(D282:D284)</f>
        <v>0</v>
      </c>
      <c r="E285" s="599"/>
      <c r="F285" s="599"/>
      <c r="G285" s="599"/>
      <c r="H285" s="599"/>
      <c r="I285" s="599"/>
      <c r="J285" s="599"/>
      <c r="K285" s="1577">
        <f>SUM(K282:K284)</f>
        <v>0</v>
      </c>
      <c r="L285" s="1577">
        <f>SUM(L282:L284)</f>
        <v>0</v>
      </c>
    </row>
    <row r="286" spans="1:12" ht="15.75" customHeight="1" thickTop="1">
      <c r="A286" s="1521" t="s">
        <v>875</v>
      </c>
      <c r="B286" s="1518" t="s">
        <v>491</v>
      </c>
      <c r="C286" s="599"/>
      <c r="D286" s="599"/>
      <c r="E286" s="599"/>
      <c r="F286" s="599"/>
      <c r="G286" s="599"/>
      <c r="H286" s="599"/>
      <c r="I286" s="599"/>
      <c r="J286" s="599"/>
      <c r="K286" s="599"/>
      <c r="L286" s="599"/>
    </row>
    <row r="287" spans="1:12" ht="15.75" customHeight="1">
      <c r="A287" s="634" t="s">
        <v>93</v>
      </c>
      <c r="B287" s="605"/>
      <c r="C287" s="599"/>
      <c r="D287" s="599"/>
      <c r="E287" s="599"/>
      <c r="F287" s="599"/>
      <c r="G287" s="599"/>
      <c r="H287" s="606"/>
      <c r="I287" s="599"/>
      <c r="J287" s="599"/>
      <c r="K287" s="599"/>
      <c r="L287" s="599"/>
    </row>
    <row r="288" spans="1:12">
      <c r="A288" s="1413" t="s">
        <v>87</v>
      </c>
      <c r="B288" s="597">
        <v>5110</v>
      </c>
      <c r="C288" s="599"/>
      <c r="D288" s="599"/>
      <c r="E288" s="599"/>
      <c r="F288" s="599"/>
      <c r="G288" s="599"/>
      <c r="H288" s="1843">
        <v>0</v>
      </c>
      <c r="I288" s="599"/>
      <c r="J288" s="599"/>
      <c r="K288" s="1578">
        <f>H288</f>
        <v>0</v>
      </c>
      <c r="L288" s="1843">
        <v>0</v>
      </c>
    </row>
    <row r="289" spans="1:14">
      <c r="A289" s="1413" t="s">
        <v>88</v>
      </c>
      <c r="B289" s="597">
        <v>5120</v>
      </c>
      <c r="C289" s="599"/>
      <c r="D289" s="599"/>
      <c r="E289" s="599"/>
      <c r="F289" s="599"/>
      <c r="G289" s="599"/>
      <c r="H289" s="1843">
        <v>0</v>
      </c>
      <c r="I289" s="599"/>
      <c r="J289" s="599"/>
      <c r="K289" s="1578">
        <f>H289</f>
        <v>0</v>
      </c>
      <c r="L289" s="1843">
        <v>0</v>
      </c>
    </row>
    <row r="290" spans="1:14" ht="12.75" customHeight="1">
      <c r="A290" s="1413" t="s">
        <v>1169</v>
      </c>
      <c r="B290" s="611" t="s">
        <v>616</v>
      </c>
      <c r="C290" s="599"/>
      <c r="D290" s="599"/>
      <c r="E290" s="599"/>
      <c r="F290" s="599"/>
      <c r="G290" s="599"/>
      <c r="H290" s="1843">
        <v>0</v>
      </c>
      <c r="I290" s="599"/>
      <c r="J290" s="599"/>
      <c r="K290" s="1578">
        <f>H290</f>
        <v>0</v>
      </c>
      <c r="L290" s="1843">
        <v>0</v>
      </c>
    </row>
    <row r="291" spans="1:14">
      <c r="A291" s="1413" t="s">
        <v>89</v>
      </c>
      <c r="B291" s="597" t="s">
        <v>588</v>
      </c>
      <c r="C291" s="599"/>
      <c r="D291" s="599"/>
      <c r="E291" s="599"/>
      <c r="F291" s="599"/>
      <c r="G291" s="599"/>
      <c r="H291" s="1843">
        <v>0</v>
      </c>
      <c r="I291" s="599"/>
      <c r="J291" s="599"/>
      <c r="K291" s="1578">
        <f>H291</f>
        <v>0</v>
      </c>
      <c r="L291" s="1843">
        <v>0</v>
      </c>
    </row>
    <row r="292" spans="1:14">
      <c r="A292" s="1413" t="s">
        <v>761</v>
      </c>
      <c r="B292" s="597" t="s">
        <v>617</v>
      </c>
      <c r="C292" s="599"/>
      <c r="D292" s="599"/>
      <c r="E292" s="599"/>
      <c r="F292" s="599"/>
      <c r="G292" s="599"/>
      <c r="H292" s="1843">
        <v>0</v>
      </c>
      <c r="I292" s="599"/>
      <c r="J292" s="599"/>
      <c r="K292" s="1578">
        <f>H292</f>
        <v>0</v>
      </c>
      <c r="L292" s="1843">
        <v>0</v>
      </c>
    </row>
    <row r="293" spans="1:14" ht="12.75" customHeight="1" thickBot="1">
      <c r="A293" s="1575" t="s">
        <v>483</v>
      </c>
      <c r="B293" s="1576" t="s">
        <v>491</v>
      </c>
      <c r="C293" s="599"/>
      <c r="D293" s="599"/>
      <c r="E293" s="599"/>
      <c r="F293" s="599"/>
      <c r="G293" s="599"/>
      <c r="H293" s="1577">
        <f>SUM(H288:H292)</f>
        <v>0</v>
      </c>
      <c r="I293" s="599"/>
      <c r="J293" s="599"/>
      <c r="K293" s="1577">
        <f>SUM(K288:K292)</f>
        <v>0</v>
      </c>
      <c r="L293" s="1577">
        <f>SUM(L288:L292)</f>
        <v>0</v>
      </c>
    </row>
    <row r="294" spans="1:14" ht="15.75" customHeight="1" thickTop="1" thickBot="1">
      <c r="A294" s="1534" t="s">
        <v>876</v>
      </c>
      <c r="B294" s="1522" t="s">
        <v>860</v>
      </c>
      <c r="C294" s="599"/>
      <c r="D294" s="606"/>
      <c r="E294" s="599"/>
      <c r="F294" s="599"/>
      <c r="G294" s="599"/>
      <c r="H294" s="666"/>
      <c r="I294" s="599"/>
      <c r="J294" s="599"/>
      <c r="K294" s="666"/>
      <c r="L294" s="1862">
        <v>1578</v>
      </c>
    </row>
    <row r="295" spans="1:14" ht="12.75" customHeight="1" thickTop="1" thickBot="1">
      <c r="A295" s="2202" t="s">
        <v>504</v>
      </c>
      <c r="B295" s="2203"/>
      <c r="C295" s="599"/>
      <c r="D295" s="1577">
        <f>SUM(D229,D279,D280,D285)</f>
        <v>3197264</v>
      </c>
      <c r="E295" s="599"/>
      <c r="F295" s="599"/>
      <c r="G295" s="599"/>
      <c r="H295" s="1577">
        <f>H293</f>
        <v>0</v>
      </c>
      <c r="I295" s="599"/>
      <c r="J295" s="599"/>
      <c r="K295" s="1577">
        <f>SUM(K229,K279,K280,K285,K293,K294)</f>
        <v>3197264</v>
      </c>
      <c r="L295" s="1577">
        <f>SUM(L229,L279,L280,L285,L293,L294)</f>
        <v>3441764</v>
      </c>
    </row>
    <row r="296" spans="1:14" ht="13.5" thickTop="1">
      <c r="A296" s="2184" t="s">
        <v>995</v>
      </c>
      <c r="B296" s="2185"/>
      <c r="C296" s="599"/>
      <c r="D296" s="601"/>
      <c r="E296" s="599"/>
      <c r="F296" s="599"/>
      <c r="G296" s="599"/>
      <c r="H296" s="667"/>
      <c r="I296" s="599"/>
      <c r="J296" s="599"/>
      <c r="K296" s="1591">
        <f>'Revenues 9-14'!G268-'Expenditures 15-22'!K295</f>
        <v>604790</v>
      </c>
      <c r="L296" s="667"/>
    </row>
    <row r="297" spans="1:14" s="646" customFormat="1" ht="9" customHeight="1">
      <c r="A297" s="643"/>
      <c r="B297" s="653"/>
      <c r="C297" s="631"/>
      <c r="D297" s="631"/>
      <c r="E297" s="631"/>
      <c r="F297" s="631"/>
      <c r="G297" s="631"/>
      <c r="H297" s="631"/>
      <c r="I297" s="631"/>
      <c r="J297" s="631"/>
      <c r="K297" s="631"/>
      <c r="L297" s="631"/>
      <c r="M297" s="645"/>
      <c r="N297" s="645"/>
    </row>
    <row r="298" spans="1:14" ht="16.7" customHeight="1">
      <c r="A298" s="2194" t="s">
        <v>143</v>
      </c>
      <c r="B298" s="2188"/>
      <c r="C298" s="1460"/>
      <c r="D298" s="1461"/>
      <c r="E298" s="1461"/>
      <c r="F298" s="1461"/>
      <c r="G298" s="1461"/>
      <c r="H298" s="1461"/>
      <c r="I298" s="1461"/>
      <c r="J298" s="1461"/>
      <c r="K298" s="1461"/>
      <c r="L298" s="1462"/>
    </row>
    <row r="299" spans="1:14" ht="15.75" customHeight="1">
      <c r="A299" s="1521" t="s">
        <v>144</v>
      </c>
      <c r="B299" s="1524" t="s">
        <v>568</v>
      </c>
      <c r="C299" s="599"/>
      <c r="D299" s="599"/>
      <c r="E299" s="599"/>
      <c r="F299" s="599"/>
      <c r="G299" s="599"/>
      <c r="H299" s="599"/>
      <c r="I299" s="599"/>
      <c r="J299" s="599"/>
      <c r="K299" s="599"/>
      <c r="L299" s="599"/>
    </row>
    <row r="300" spans="1:14" ht="15.75" customHeight="1">
      <c r="A300" s="668" t="s">
        <v>611</v>
      </c>
      <c r="B300" s="614"/>
      <c r="C300" s="606"/>
      <c r="D300" s="606"/>
      <c r="E300" s="606"/>
      <c r="F300" s="606"/>
      <c r="G300" s="606"/>
      <c r="H300" s="606"/>
      <c r="I300" s="599"/>
      <c r="J300" s="599"/>
      <c r="K300" s="606"/>
      <c r="L300" s="606"/>
    </row>
    <row r="301" spans="1:14">
      <c r="A301" s="1426" t="s">
        <v>607</v>
      </c>
      <c r="B301" s="669">
        <v>2530</v>
      </c>
      <c r="C301" s="1843">
        <v>0</v>
      </c>
      <c r="D301" s="1843">
        <v>0</v>
      </c>
      <c r="E301" s="1843">
        <v>0</v>
      </c>
      <c r="F301" s="1843">
        <v>0</v>
      </c>
      <c r="G301" s="1843">
        <v>2023777</v>
      </c>
      <c r="H301" s="1843">
        <v>0</v>
      </c>
      <c r="I301" s="1843">
        <v>0</v>
      </c>
      <c r="J301" s="1843">
        <v>0</v>
      </c>
      <c r="K301" s="1578">
        <f>SUM(C301:J301)</f>
        <v>2023777</v>
      </c>
      <c r="L301" s="1843">
        <v>1375000</v>
      </c>
    </row>
    <row r="302" spans="1:14" ht="13.5" customHeight="1">
      <c r="A302" s="1426" t="s">
        <v>979</v>
      </c>
      <c r="B302" s="597" t="s">
        <v>573</v>
      </c>
      <c r="C302" s="1843">
        <v>0</v>
      </c>
      <c r="D302" s="1843">
        <v>0</v>
      </c>
      <c r="E302" s="1843">
        <v>0</v>
      </c>
      <c r="F302" s="1843">
        <v>0</v>
      </c>
      <c r="G302" s="1843">
        <v>0</v>
      </c>
      <c r="H302" s="1843">
        <v>0</v>
      </c>
      <c r="I302" s="1843">
        <v>0</v>
      </c>
      <c r="J302" s="1843">
        <v>0</v>
      </c>
      <c r="K302" s="1578">
        <f>SUM(C302:J302)</f>
        <v>0</v>
      </c>
      <c r="L302" s="1843">
        <v>0</v>
      </c>
    </row>
    <row r="303" spans="1:14" ht="12.75" customHeight="1" thickBot="1">
      <c r="A303" s="1575" t="s">
        <v>810</v>
      </c>
      <c r="B303" s="1576" t="s">
        <v>568</v>
      </c>
      <c r="C303" s="1584">
        <f>SUM(C301:C302)</f>
        <v>0</v>
      </c>
      <c r="D303" s="1584">
        <f t="shared" ref="D303:L303" si="23">SUM(D301:D302)</f>
        <v>0</v>
      </c>
      <c r="E303" s="1584">
        <f t="shared" si="23"/>
        <v>0</v>
      </c>
      <c r="F303" s="1584">
        <f t="shared" si="23"/>
        <v>0</v>
      </c>
      <c r="G303" s="1584">
        <f t="shared" si="23"/>
        <v>2023777</v>
      </c>
      <c r="H303" s="1584">
        <f t="shared" si="23"/>
        <v>0</v>
      </c>
      <c r="I303" s="1584">
        <f t="shared" si="23"/>
        <v>0</v>
      </c>
      <c r="J303" s="1584">
        <f t="shared" si="23"/>
        <v>0</v>
      </c>
      <c r="K303" s="1584">
        <f t="shared" si="23"/>
        <v>2023777</v>
      </c>
      <c r="L303" s="1584">
        <f t="shared" si="23"/>
        <v>1375000</v>
      </c>
    </row>
    <row r="304" spans="1:14" ht="15.75" customHeight="1" thickTop="1">
      <c r="A304" s="1521" t="s">
        <v>145</v>
      </c>
      <c r="B304" s="1522" t="s">
        <v>859</v>
      </c>
      <c r="C304" s="599"/>
      <c r="D304" s="599"/>
      <c r="E304" s="599"/>
      <c r="F304" s="599"/>
      <c r="G304" s="599"/>
      <c r="H304" s="599"/>
      <c r="I304" s="599"/>
      <c r="J304" s="599"/>
      <c r="K304" s="599"/>
      <c r="L304" s="599"/>
    </row>
    <row r="305" spans="1:14" ht="15.75" customHeight="1">
      <c r="A305" s="634" t="s">
        <v>896</v>
      </c>
      <c r="B305" s="605"/>
      <c r="C305" s="599"/>
      <c r="D305" s="599"/>
      <c r="E305" s="599"/>
      <c r="F305" s="599"/>
      <c r="G305" s="599"/>
      <c r="H305" s="599"/>
      <c r="I305" s="599"/>
      <c r="J305" s="599"/>
      <c r="K305" s="599"/>
      <c r="L305" s="599"/>
    </row>
    <row r="306" spans="1:14">
      <c r="A306" s="1427" t="s">
        <v>1821</v>
      </c>
      <c r="B306" s="670" t="s">
        <v>1816</v>
      </c>
      <c r="C306" s="599"/>
      <c r="D306" s="599"/>
      <c r="E306" s="1843">
        <v>0</v>
      </c>
      <c r="F306" s="599"/>
      <c r="G306" s="599"/>
      <c r="H306" s="1843">
        <v>0</v>
      </c>
      <c r="I306" s="599"/>
      <c r="J306" s="599"/>
      <c r="K306" s="1578">
        <f>SUM(E306,H306)</f>
        <v>0</v>
      </c>
      <c r="L306" s="1843">
        <v>0</v>
      </c>
    </row>
    <row r="307" spans="1:14">
      <c r="A307" s="1413" t="s">
        <v>303</v>
      </c>
      <c r="B307" s="597">
        <v>4120</v>
      </c>
      <c r="C307" s="599"/>
      <c r="D307" s="599"/>
      <c r="E307" s="1843">
        <v>0</v>
      </c>
      <c r="F307" s="599"/>
      <c r="G307" s="599"/>
      <c r="H307" s="1843">
        <v>0</v>
      </c>
      <c r="I307" s="477"/>
      <c r="J307" s="599"/>
      <c r="K307" s="1578">
        <f>SUM(E307,H307)</f>
        <v>0</v>
      </c>
      <c r="L307" s="1843">
        <v>0</v>
      </c>
    </row>
    <row r="308" spans="1:14">
      <c r="A308" s="1413" t="s">
        <v>696</v>
      </c>
      <c r="B308" s="597">
        <v>4140</v>
      </c>
      <c r="C308" s="599"/>
      <c r="D308" s="599"/>
      <c r="E308" s="1843">
        <v>0</v>
      </c>
      <c r="F308" s="599"/>
      <c r="G308" s="599"/>
      <c r="H308" s="1843">
        <v>0</v>
      </c>
      <c r="I308" s="477"/>
      <c r="J308" s="599"/>
      <c r="K308" s="1578">
        <f>SUM(E308,H308)</f>
        <v>0</v>
      </c>
      <c r="L308" s="1843">
        <v>0</v>
      </c>
    </row>
    <row r="309" spans="1:14" ht="12.75" customHeight="1">
      <c r="A309" s="1417" t="s">
        <v>697</v>
      </c>
      <c r="B309" s="611">
        <v>4190</v>
      </c>
      <c r="C309" s="599"/>
      <c r="D309" s="599"/>
      <c r="E309" s="1843">
        <v>0</v>
      </c>
      <c r="F309" s="599"/>
      <c r="G309" s="599"/>
      <c r="H309" s="1843">
        <v>0</v>
      </c>
      <c r="I309" s="477"/>
      <c r="J309" s="599"/>
      <c r="K309" s="1578">
        <f>SUM(E309,H309)</f>
        <v>0</v>
      </c>
      <c r="L309" s="1843">
        <v>0</v>
      </c>
    </row>
    <row r="310" spans="1:14" ht="12.75" customHeight="1" thickBot="1">
      <c r="A310" s="1575" t="s">
        <v>1484</v>
      </c>
      <c r="B310" s="1582" t="s">
        <v>859</v>
      </c>
      <c r="C310" s="599"/>
      <c r="D310" s="599"/>
      <c r="E310" s="1577">
        <f>SUM(E306:E309)</f>
        <v>0</v>
      </c>
      <c r="F310" s="599"/>
      <c r="G310" s="599"/>
      <c r="H310" s="1577">
        <f>SUM(H306:H309)</f>
        <v>0</v>
      </c>
      <c r="I310" s="477"/>
      <c r="J310" s="599"/>
      <c r="K310" s="1577">
        <f>SUM(K306:K309)</f>
        <v>0</v>
      </c>
      <c r="L310" s="1584">
        <f>SUM(L306:L309)</f>
        <v>0</v>
      </c>
    </row>
    <row r="311" spans="1:14" ht="15.75" customHeight="1" thickTop="1" thickBot="1">
      <c r="A311" s="1528" t="s">
        <v>894</v>
      </c>
      <c r="B311" s="1520" t="s">
        <v>860</v>
      </c>
      <c r="C311" s="606"/>
      <c r="D311" s="606"/>
      <c r="E311" s="606"/>
      <c r="F311" s="606"/>
      <c r="G311" s="606"/>
      <c r="H311" s="606"/>
      <c r="I311" s="606"/>
      <c r="J311" s="599"/>
      <c r="K311" s="606"/>
      <c r="L311" s="1862">
        <v>0</v>
      </c>
    </row>
    <row r="312" spans="1:14" s="654" customFormat="1" ht="12.75" customHeight="1" thickTop="1" thickBot="1">
      <c r="A312" s="2199" t="s">
        <v>276</v>
      </c>
      <c r="B312" s="2200"/>
      <c r="C312" s="1577">
        <f>SUM(C303)</f>
        <v>0</v>
      </c>
      <c r="D312" s="1577">
        <f>SUM(D303)</f>
        <v>0</v>
      </c>
      <c r="E312" s="1577">
        <f>SUM(E303,E310)</f>
        <v>0</v>
      </c>
      <c r="F312" s="1577">
        <f>SUM(F303)</f>
        <v>0</v>
      </c>
      <c r="G312" s="1577">
        <f>SUM(G303)</f>
        <v>2023777</v>
      </c>
      <c r="H312" s="1577">
        <f>SUM(H303,H310)</f>
        <v>0</v>
      </c>
      <c r="I312" s="1577">
        <f>SUM(I303)</f>
        <v>0</v>
      </c>
      <c r="J312" s="1577">
        <f>SUM(J303)</f>
        <v>0</v>
      </c>
      <c r="K312" s="1577">
        <f>SUM(K303,K310,K311)</f>
        <v>2023777</v>
      </c>
      <c r="L312" s="1577">
        <f>SUM(L303,L310,L311)</f>
        <v>1375000</v>
      </c>
      <c r="M312" s="645"/>
      <c r="N312" s="645"/>
    </row>
    <row r="313" spans="1:14" ht="13.5" thickTop="1">
      <c r="A313" s="2195" t="s">
        <v>995</v>
      </c>
      <c r="B313" s="2196"/>
      <c r="C313" s="609"/>
      <c r="D313" s="609"/>
      <c r="E313" s="609"/>
      <c r="F313" s="609"/>
      <c r="G313" s="609"/>
      <c r="H313" s="609"/>
      <c r="I313" s="609"/>
      <c r="J313" s="609"/>
      <c r="K313" s="1592">
        <f>'Revenues 9-14'!H268-'Expenditures 15-22'!K312</f>
        <v>-1826624</v>
      </c>
      <c r="L313" s="609"/>
    </row>
    <row r="314" spans="1:14" s="646" customFormat="1" ht="9" customHeight="1">
      <c r="A314" s="671"/>
      <c r="B314" s="672"/>
      <c r="C314" s="673"/>
      <c r="D314" s="673"/>
      <c r="E314" s="673"/>
      <c r="F314" s="673"/>
      <c r="G314" s="673"/>
      <c r="H314" s="673"/>
      <c r="I314" s="673"/>
      <c r="J314" s="673"/>
      <c r="K314" s="673"/>
      <c r="L314" s="673"/>
      <c r="M314" s="645"/>
      <c r="N314" s="645"/>
    </row>
    <row r="315" spans="1:14" ht="16.7" customHeight="1">
      <c r="A315" s="2208" t="s">
        <v>149</v>
      </c>
      <c r="B315" s="2209"/>
      <c r="C315" s="1465"/>
      <c r="D315" s="1466"/>
      <c r="E315" s="1466"/>
      <c r="F315" s="1466"/>
      <c r="G315" s="1466"/>
      <c r="H315" s="1466"/>
      <c r="I315" s="1466"/>
      <c r="J315" s="1466"/>
      <c r="K315" s="1466"/>
      <c r="L315" s="1467"/>
    </row>
    <row r="316" spans="1:14" s="654" customFormat="1" ht="9" customHeight="1">
      <c r="A316" s="671"/>
      <c r="B316" s="672"/>
      <c r="C316" s="674"/>
      <c r="D316" s="674"/>
      <c r="E316" s="674"/>
      <c r="F316" s="674"/>
      <c r="G316" s="674"/>
      <c r="H316" s="674"/>
      <c r="I316" s="674"/>
      <c r="J316" s="674"/>
      <c r="K316" s="674"/>
      <c r="L316" s="674"/>
      <c r="M316" s="645"/>
      <c r="N316" s="645"/>
    </row>
    <row r="317" spans="1:14" ht="16.7" customHeight="1">
      <c r="A317" s="2210" t="s">
        <v>897</v>
      </c>
      <c r="B317" s="2209"/>
      <c r="C317" s="1465"/>
      <c r="D317" s="1466"/>
      <c r="E317" s="1466"/>
      <c r="F317" s="1466"/>
      <c r="G317" s="1466"/>
      <c r="H317" s="1466"/>
      <c r="I317" s="1466"/>
      <c r="J317" s="1466"/>
      <c r="K317" s="1466"/>
      <c r="L317" s="1467"/>
    </row>
    <row r="318" spans="1:14" s="654" customFormat="1" ht="15.75" customHeight="1">
      <c r="A318" s="675" t="s">
        <v>609</v>
      </c>
      <c r="B318" s="676"/>
      <c r="C318" s="620"/>
      <c r="D318" s="620"/>
      <c r="E318" s="620"/>
      <c r="F318" s="620"/>
      <c r="G318" s="620"/>
      <c r="H318" s="620"/>
      <c r="I318" s="620"/>
      <c r="J318" s="620"/>
      <c r="K318" s="620"/>
      <c r="L318" s="620"/>
      <c r="M318" s="645"/>
      <c r="N318" s="645"/>
    </row>
    <row r="319" spans="1:14" s="654" customFormat="1">
      <c r="A319" s="1428" t="s">
        <v>298</v>
      </c>
      <c r="B319" s="677" t="s">
        <v>280</v>
      </c>
      <c r="C319" s="1843">
        <v>0</v>
      </c>
      <c r="D319" s="1843">
        <v>0</v>
      </c>
      <c r="E319" s="1843">
        <v>0</v>
      </c>
      <c r="F319" s="1843">
        <v>0</v>
      </c>
      <c r="G319" s="1843">
        <v>0</v>
      </c>
      <c r="H319" s="1843">
        <v>0</v>
      </c>
      <c r="I319" s="1843">
        <v>0</v>
      </c>
      <c r="J319" s="1843">
        <v>0</v>
      </c>
      <c r="K319" s="1578">
        <f>SUM(C319:J319)</f>
        <v>0</v>
      </c>
      <c r="L319" s="1843">
        <v>0</v>
      </c>
      <c r="M319" s="645"/>
      <c r="N319" s="645"/>
    </row>
    <row r="320" spans="1:14" s="654" customFormat="1">
      <c r="A320" s="1432" t="s">
        <v>1777</v>
      </c>
      <c r="B320" s="678" t="s">
        <v>281</v>
      </c>
      <c r="C320" s="1843">
        <v>0</v>
      </c>
      <c r="D320" s="1843">
        <v>0</v>
      </c>
      <c r="E320" s="1843">
        <v>1176679</v>
      </c>
      <c r="F320" s="1843">
        <v>0</v>
      </c>
      <c r="G320" s="1843">
        <v>0</v>
      </c>
      <c r="H320" s="1843">
        <v>0</v>
      </c>
      <c r="I320" s="1843">
        <v>0</v>
      </c>
      <c r="J320" s="1843">
        <v>0</v>
      </c>
      <c r="K320" s="1578">
        <f t="shared" ref="K320:K327" si="24">SUM(C320:J320)</f>
        <v>1176679</v>
      </c>
      <c r="L320" s="1843">
        <v>1152874</v>
      </c>
      <c r="M320" s="645"/>
      <c r="N320" s="645"/>
    </row>
    <row r="321" spans="1:14" s="654" customFormat="1">
      <c r="A321" s="1428" t="s">
        <v>299</v>
      </c>
      <c r="B321" s="677" t="s">
        <v>282</v>
      </c>
      <c r="C321" s="1843">
        <v>0</v>
      </c>
      <c r="D321" s="1843">
        <v>17322</v>
      </c>
      <c r="E321" s="1843">
        <v>0</v>
      </c>
      <c r="F321" s="1843">
        <v>0</v>
      </c>
      <c r="G321" s="1843">
        <v>0</v>
      </c>
      <c r="H321" s="1843">
        <v>0</v>
      </c>
      <c r="I321" s="1843">
        <v>0</v>
      </c>
      <c r="J321" s="1843">
        <v>0</v>
      </c>
      <c r="K321" s="1578">
        <f t="shared" si="24"/>
        <v>17322</v>
      </c>
      <c r="L321" s="1843">
        <v>36929</v>
      </c>
      <c r="M321" s="645"/>
      <c r="N321" s="645"/>
    </row>
    <row r="322" spans="1:14" s="654" customFormat="1">
      <c r="A322" s="1428" t="s">
        <v>238</v>
      </c>
      <c r="B322" s="677" t="s">
        <v>283</v>
      </c>
      <c r="C322" s="1843">
        <v>0</v>
      </c>
      <c r="D322" s="1843">
        <v>0</v>
      </c>
      <c r="E322" s="1843">
        <v>315934</v>
      </c>
      <c r="F322" s="1843">
        <v>0</v>
      </c>
      <c r="G322" s="1843">
        <v>0</v>
      </c>
      <c r="H322" s="1843">
        <v>85887</v>
      </c>
      <c r="I322" s="1843">
        <v>0</v>
      </c>
      <c r="J322" s="1843">
        <v>0</v>
      </c>
      <c r="K322" s="1578">
        <f t="shared" si="24"/>
        <v>401821</v>
      </c>
      <c r="L322" s="1843">
        <v>334125</v>
      </c>
      <c r="M322" s="645"/>
      <c r="N322" s="645"/>
    </row>
    <row r="323" spans="1:14" s="654" customFormat="1">
      <c r="A323" s="1428" t="s">
        <v>701</v>
      </c>
      <c r="B323" s="677" t="s">
        <v>284</v>
      </c>
      <c r="C323" s="1843">
        <v>0</v>
      </c>
      <c r="D323" s="1843">
        <v>0</v>
      </c>
      <c r="E323" s="1843">
        <v>0</v>
      </c>
      <c r="F323" s="1843">
        <v>0</v>
      </c>
      <c r="G323" s="1843">
        <v>0</v>
      </c>
      <c r="H323" s="1843">
        <v>0</v>
      </c>
      <c r="I323" s="1843">
        <v>0</v>
      </c>
      <c r="J323" s="1843">
        <v>0</v>
      </c>
      <c r="K323" s="1578">
        <f t="shared" si="24"/>
        <v>0</v>
      </c>
      <c r="L323" s="1843">
        <v>0</v>
      </c>
      <c r="M323" s="645"/>
      <c r="N323" s="645"/>
    </row>
    <row r="324" spans="1:14" s="654" customFormat="1">
      <c r="A324" s="1428" t="s">
        <v>239</v>
      </c>
      <c r="B324" s="677" t="s">
        <v>285</v>
      </c>
      <c r="C324" s="1843">
        <v>0</v>
      </c>
      <c r="D324" s="1843">
        <v>0</v>
      </c>
      <c r="E324" s="1843">
        <v>0</v>
      </c>
      <c r="F324" s="1843">
        <v>0</v>
      </c>
      <c r="G324" s="1843">
        <v>0</v>
      </c>
      <c r="H324" s="1843">
        <v>0</v>
      </c>
      <c r="I324" s="1843">
        <v>0</v>
      </c>
      <c r="J324" s="1843">
        <v>0</v>
      </c>
      <c r="K324" s="1578">
        <f t="shared" si="24"/>
        <v>0</v>
      </c>
      <c r="L324" s="1843">
        <v>0</v>
      </c>
      <c r="M324" s="645"/>
      <c r="N324" s="645"/>
    </row>
    <row r="325" spans="1:14" s="654" customFormat="1" ht="22.5">
      <c r="A325" s="1428" t="s">
        <v>1028</v>
      </c>
      <c r="B325" s="678" t="s">
        <v>286</v>
      </c>
      <c r="C325" s="1843">
        <v>1508910</v>
      </c>
      <c r="D325" s="1843">
        <v>462700</v>
      </c>
      <c r="E325" s="1843">
        <v>31401</v>
      </c>
      <c r="F325" s="1843">
        <v>41673</v>
      </c>
      <c r="G325" s="1843">
        <v>0</v>
      </c>
      <c r="H325" s="1843">
        <v>0</v>
      </c>
      <c r="I325" s="1843">
        <v>0</v>
      </c>
      <c r="J325" s="1843">
        <v>0</v>
      </c>
      <c r="K325" s="1578">
        <f t="shared" si="24"/>
        <v>2044684</v>
      </c>
      <c r="L325" s="1843">
        <v>2291903</v>
      </c>
      <c r="M325" s="645"/>
      <c r="N325" s="645"/>
    </row>
    <row r="326" spans="1:14" s="654" customFormat="1">
      <c r="A326" s="1428" t="s">
        <v>1029</v>
      </c>
      <c r="B326" s="677" t="s">
        <v>287</v>
      </c>
      <c r="C326" s="1843">
        <v>0</v>
      </c>
      <c r="D326" s="1843">
        <v>0</v>
      </c>
      <c r="E326" s="1843">
        <v>0</v>
      </c>
      <c r="F326" s="1843">
        <v>0</v>
      </c>
      <c r="G326" s="1843">
        <v>0</v>
      </c>
      <c r="H326" s="1843">
        <v>0</v>
      </c>
      <c r="I326" s="1843">
        <v>0</v>
      </c>
      <c r="J326" s="1843">
        <v>0</v>
      </c>
      <c r="K326" s="1578">
        <f t="shared" si="24"/>
        <v>0</v>
      </c>
      <c r="L326" s="1843">
        <v>0</v>
      </c>
      <c r="M326" s="645"/>
      <c r="N326" s="645"/>
    </row>
    <row r="327" spans="1:14" s="654" customFormat="1">
      <c r="A327" s="1428" t="s">
        <v>970</v>
      </c>
      <c r="B327" s="677" t="s">
        <v>288</v>
      </c>
      <c r="C327" s="1843">
        <v>0</v>
      </c>
      <c r="D327" s="1843">
        <v>0</v>
      </c>
      <c r="E327" s="1843">
        <v>67337</v>
      </c>
      <c r="F327" s="1843">
        <v>0</v>
      </c>
      <c r="G327" s="1843">
        <v>0</v>
      </c>
      <c r="H327" s="1843">
        <v>0</v>
      </c>
      <c r="I327" s="1843">
        <v>0</v>
      </c>
      <c r="J327" s="1843">
        <v>0</v>
      </c>
      <c r="K327" s="1578">
        <f t="shared" si="24"/>
        <v>67337</v>
      </c>
      <c r="L327" s="1843">
        <v>100000</v>
      </c>
      <c r="M327" s="645"/>
      <c r="N327" s="645"/>
    </row>
    <row r="328" spans="1:14" s="654" customFormat="1">
      <c r="A328" s="1429" t="s">
        <v>471</v>
      </c>
      <c r="B328" s="670" t="s">
        <v>1131</v>
      </c>
      <c r="C328" s="1843">
        <v>0</v>
      </c>
      <c r="D328" s="1843">
        <v>0</v>
      </c>
      <c r="E328" s="1843">
        <v>0</v>
      </c>
      <c r="F328" s="1843">
        <v>0</v>
      </c>
      <c r="G328" s="1843">
        <v>0</v>
      </c>
      <c r="H328" s="1843">
        <v>0</v>
      </c>
      <c r="I328" s="1843">
        <v>0</v>
      </c>
      <c r="J328" s="1843">
        <v>0</v>
      </c>
      <c r="K328" s="1606">
        <f>SUM(C328:J328)</f>
        <v>0</v>
      </c>
      <c r="L328" s="1843">
        <v>0</v>
      </c>
      <c r="M328" s="645"/>
      <c r="N328" s="645"/>
    </row>
    <row r="329" spans="1:14" s="654" customFormat="1">
      <c r="A329" s="1429" t="s">
        <v>1132</v>
      </c>
      <c r="B329" s="670" t="s">
        <v>1133</v>
      </c>
      <c r="C329" s="1843">
        <v>0</v>
      </c>
      <c r="D329" s="1843">
        <v>0</v>
      </c>
      <c r="E329" s="1843">
        <v>43612</v>
      </c>
      <c r="F329" s="1843">
        <v>0</v>
      </c>
      <c r="G329" s="1843">
        <v>0</v>
      </c>
      <c r="H329" s="1843">
        <v>0</v>
      </c>
      <c r="I329" s="1843">
        <v>0</v>
      </c>
      <c r="J329" s="1843">
        <v>0</v>
      </c>
      <c r="K329" s="1606">
        <f>SUM(C329:J329)</f>
        <v>43612</v>
      </c>
      <c r="L329" s="1843">
        <v>53000</v>
      </c>
      <c r="M329" s="645"/>
      <c r="N329" s="645"/>
    </row>
    <row r="330" spans="1:14" s="654" customFormat="1" ht="12.75" customHeight="1" thickBot="1">
      <c r="A330" s="1607" t="s">
        <v>716</v>
      </c>
      <c r="B330" s="1576" t="s">
        <v>568</v>
      </c>
      <c r="C330" s="1577">
        <f>SUM(C319:C329)</f>
        <v>1508910</v>
      </c>
      <c r="D330" s="1577">
        <f t="shared" ref="D330:J330" si="25">SUM(D319:D329)</f>
        <v>480022</v>
      </c>
      <c r="E330" s="1577">
        <f t="shared" si="25"/>
        <v>1634963</v>
      </c>
      <c r="F330" s="1577">
        <f t="shared" si="25"/>
        <v>41673</v>
      </c>
      <c r="G330" s="1577">
        <f t="shared" si="25"/>
        <v>0</v>
      </c>
      <c r="H330" s="1577">
        <f t="shared" si="25"/>
        <v>85887</v>
      </c>
      <c r="I330" s="1577">
        <f t="shared" si="25"/>
        <v>0</v>
      </c>
      <c r="J330" s="1577">
        <f t="shared" si="25"/>
        <v>0</v>
      </c>
      <c r="K330" s="1577">
        <f>SUM(K319:K329)</f>
        <v>3751455</v>
      </c>
      <c r="L330" s="1577">
        <f>SUM(L319:L329)</f>
        <v>3968831</v>
      </c>
      <c r="M330" s="645"/>
      <c r="N330" s="645"/>
    </row>
    <row r="331" spans="1:14" s="654" customFormat="1" ht="12.75" customHeight="1" thickTop="1">
      <c r="A331" s="1738" t="s">
        <v>1822</v>
      </c>
      <c r="B331" s="628" t="s">
        <v>859</v>
      </c>
      <c r="C331" s="1740"/>
      <c r="D331" s="1740"/>
      <c r="E331" s="1740"/>
      <c r="F331" s="1740"/>
      <c r="G331" s="1740"/>
      <c r="H331" s="1740"/>
      <c r="I331" s="1740"/>
      <c r="J331" s="1740"/>
      <c r="K331" s="1740"/>
      <c r="L331" s="1740"/>
      <c r="M331" s="645"/>
      <c r="N331" s="645"/>
    </row>
    <row r="332" spans="1:14" s="654" customFormat="1" ht="12.75" customHeight="1">
      <c r="A332" s="1739" t="s">
        <v>495</v>
      </c>
      <c r="B332" s="1734" t="s">
        <v>1816</v>
      </c>
      <c r="C332" s="1740"/>
      <c r="D332" s="1740"/>
      <c r="E332" s="1740"/>
      <c r="F332" s="1740"/>
      <c r="G332" s="1740"/>
      <c r="H332" s="1843">
        <v>0</v>
      </c>
      <c r="I332" s="1740"/>
      <c r="J332" s="1740"/>
      <c r="K332" s="1578">
        <f>H332</f>
        <v>0</v>
      </c>
      <c r="L332" s="1842">
        <v>0</v>
      </c>
      <c r="M332" s="645"/>
      <c r="N332" s="645"/>
    </row>
    <row r="333" spans="1:14" s="654" customFormat="1" ht="12.75" customHeight="1">
      <c r="A333" s="1739" t="s">
        <v>303</v>
      </c>
      <c r="B333" s="1734" t="s">
        <v>1818</v>
      </c>
      <c r="C333" s="1740"/>
      <c r="D333" s="1740"/>
      <c r="E333" s="1740"/>
      <c r="F333" s="1740"/>
      <c r="G333" s="1740"/>
      <c r="H333" s="1843">
        <v>0</v>
      </c>
      <c r="I333" s="1740"/>
      <c r="J333" s="1740"/>
      <c r="K333" s="1578">
        <f>H333</f>
        <v>0</v>
      </c>
      <c r="L333" s="1842">
        <v>0</v>
      </c>
      <c r="M333" s="645"/>
      <c r="N333" s="645"/>
    </row>
    <row r="334" spans="1:14" s="654" customFormat="1" ht="12.75" customHeight="1" thickBot="1">
      <c r="A334" s="1739" t="s">
        <v>1823</v>
      </c>
      <c r="B334" s="1734" t="s">
        <v>859</v>
      </c>
      <c r="C334" s="1740"/>
      <c r="D334" s="1740"/>
      <c r="E334" s="1740"/>
      <c r="F334" s="1740"/>
      <c r="G334" s="1740"/>
      <c r="H334" s="1577">
        <f>SUM(H332:H333)</f>
        <v>0</v>
      </c>
      <c r="I334" s="1740"/>
      <c r="J334" s="1740"/>
      <c r="K334" s="1577">
        <f>SUM(K332:K333)</f>
        <v>0</v>
      </c>
      <c r="L334" s="1577">
        <f>SUM(L332:L333)</f>
        <v>0</v>
      </c>
      <c r="M334" s="645"/>
      <c r="N334" s="645"/>
    </row>
    <row r="335" spans="1:14" ht="15.75" customHeight="1" thickTop="1">
      <c r="A335" s="1525" t="s">
        <v>898</v>
      </c>
      <c r="B335" s="1516" t="s">
        <v>491</v>
      </c>
      <c r="C335" s="599"/>
      <c r="D335" s="599"/>
      <c r="E335" s="599"/>
      <c r="F335" s="599"/>
      <c r="G335" s="599"/>
      <c r="H335" s="599"/>
      <c r="I335" s="599"/>
      <c r="J335" s="599"/>
      <c r="K335" s="599"/>
      <c r="L335" s="599"/>
    </row>
    <row r="336" spans="1:14" ht="15.75" customHeight="1">
      <c r="A336" s="634" t="s">
        <v>614</v>
      </c>
      <c r="B336" s="605"/>
      <c r="C336" s="599"/>
      <c r="D336" s="599"/>
      <c r="E336" s="599"/>
      <c r="F336" s="599"/>
      <c r="G336" s="599"/>
      <c r="H336" s="606"/>
      <c r="I336" s="599"/>
      <c r="J336" s="599"/>
      <c r="K336" s="606"/>
      <c r="L336" s="606"/>
    </row>
    <row r="337" spans="1:14">
      <c r="A337" s="1427" t="s">
        <v>87</v>
      </c>
      <c r="B337" s="670" t="s">
        <v>899</v>
      </c>
      <c r="C337" s="620"/>
      <c r="D337" s="620"/>
      <c r="E337" s="620"/>
      <c r="F337" s="620"/>
      <c r="G337" s="620"/>
      <c r="H337" s="1843">
        <v>0</v>
      </c>
      <c r="I337" s="620"/>
      <c r="J337" s="620"/>
      <c r="K337" s="1578">
        <f>H337</f>
        <v>0</v>
      </c>
      <c r="L337" s="1842">
        <v>0</v>
      </c>
    </row>
    <row r="338" spans="1:14" ht="12.75" customHeight="1">
      <c r="A338" s="1427" t="s">
        <v>1169</v>
      </c>
      <c r="B338" s="670" t="s">
        <v>616</v>
      </c>
      <c r="C338" s="620"/>
      <c r="D338" s="620"/>
      <c r="E338" s="620"/>
      <c r="F338" s="620"/>
      <c r="G338" s="620"/>
      <c r="H338" s="1843">
        <v>0</v>
      </c>
      <c r="I338" s="620"/>
      <c r="J338" s="620"/>
      <c r="K338" s="1578">
        <f>H338</f>
        <v>0</v>
      </c>
      <c r="L338" s="1842">
        <v>0</v>
      </c>
    </row>
    <row r="339" spans="1:14">
      <c r="A339" s="1413" t="s">
        <v>900</v>
      </c>
      <c r="B339" s="611">
        <v>5150</v>
      </c>
      <c r="C339" s="620"/>
      <c r="D339" s="620"/>
      <c r="E339" s="620"/>
      <c r="F339" s="620"/>
      <c r="G339" s="620"/>
      <c r="H339" s="1843">
        <v>0</v>
      </c>
      <c r="I339" s="620"/>
      <c r="J339" s="620"/>
      <c r="K339" s="1578">
        <f>H339</f>
        <v>0</v>
      </c>
      <c r="L339" s="1843">
        <v>0</v>
      </c>
    </row>
    <row r="340" spans="1:14" ht="13.5" thickBot="1">
      <c r="A340" s="1601" t="s">
        <v>901</v>
      </c>
      <c r="B340" s="1576" t="s">
        <v>491</v>
      </c>
      <c r="C340" s="599"/>
      <c r="D340" s="599"/>
      <c r="E340" s="599"/>
      <c r="F340" s="599"/>
      <c r="G340" s="599"/>
      <c r="H340" s="1595">
        <f>SUM(H337:H339)</f>
        <v>0</v>
      </c>
      <c r="I340" s="599"/>
      <c r="J340" s="599"/>
      <c r="K340" s="1595">
        <f>SUM(K337:K339)</f>
        <v>0</v>
      </c>
      <c r="L340" s="1595">
        <f>SUM(L337:L339)</f>
        <v>0</v>
      </c>
    </row>
    <row r="341" spans="1:14" ht="15.75" customHeight="1" thickTop="1" thickBot="1">
      <c r="A341" s="1528" t="s">
        <v>902</v>
      </c>
      <c r="B341" s="1520" t="s">
        <v>860</v>
      </c>
      <c r="C341" s="599"/>
      <c r="D341" s="599"/>
      <c r="E341" s="477"/>
      <c r="F341" s="468"/>
      <c r="G341" s="468"/>
      <c r="H341" s="477"/>
      <c r="I341" s="477"/>
      <c r="J341" s="468"/>
      <c r="K341" s="477"/>
      <c r="L341" s="1862">
        <v>200000</v>
      </c>
    </row>
    <row r="342" spans="1:14" ht="12.75" customHeight="1" thickTop="1" thickBot="1">
      <c r="A342" s="1593" t="s">
        <v>504</v>
      </c>
      <c r="B342" s="1608"/>
      <c r="C342" s="1577">
        <f>SUM(C330)</f>
        <v>1508910</v>
      </c>
      <c r="D342" s="1577">
        <f>SUM(D330)</f>
        <v>480022</v>
      </c>
      <c r="E342" s="1577">
        <f>SUM(E330)</f>
        <v>1634963</v>
      </c>
      <c r="F342" s="1577">
        <f>SUM(F330)</f>
        <v>41673</v>
      </c>
      <c r="G342" s="1577">
        <f>SUM(G330)</f>
        <v>0</v>
      </c>
      <c r="H342" s="1577">
        <f>SUM(H330,H334,H340)</f>
        <v>85887</v>
      </c>
      <c r="I342" s="1577">
        <f>SUM(I330)</f>
        <v>0</v>
      </c>
      <c r="J342" s="1577">
        <f>SUM(J330)</f>
        <v>0</v>
      </c>
      <c r="K342" s="1577">
        <f>SUM(K330,K334,K340)</f>
        <v>3751455</v>
      </c>
      <c r="L342" s="1584">
        <f>SUM(L330,L340,L341)</f>
        <v>4168831</v>
      </c>
    </row>
    <row r="343" spans="1:14" ht="12.75" customHeight="1" thickTop="1">
      <c r="A343" s="2197" t="s">
        <v>995</v>
      </c>
      <c r="B343" s="2198"/>
      <c r="C343" s="599"/>
      <c r="D343" s="599"/>
      <c r="E343" s="599"/>
      <c r="F343" s="599"/>
      <c r="G343" s="599"/>
      <c r="H343" s="599"/>
      <c r="I343" s="599"/>
      <c r="J343" s="599"/>
      <c r="K343" s="1591">
        <f>'Revenues 9-14'!J268-'Expenditures 15-22'!K342</f>
        <v>610443</v>
      </c>
      <c r="L343" s="599"/>
    </row>
    <row r="344" spans="1:14" s="646" customFormat="1" ht="6" customHeight="1">
      <c r="A344" s="643"/>
      <c r="B344" s="644"/>
      <c r="C344" s="631"/>
      <c r="D344" s="631"/>
      <c r="E344" s="631"/>
      <c r="F344" s="631"/>
      <c r="G344" s="631"/>
      <c r="H344" s="631"/>
      <c r="I344" s="631"/>
      <c r="J344" s="631"/>
      <c r="K344" s="631"/>
      <c r="L344" s="631"/>
      <c r="M344" s="645"/>
      <c r="N344" s="645"/>
    </row>
    <row r="345" spans="1:14" s="648" customFormat="1" ht="16.7" customHeight="1">
      <c r="A345" s="2187" t="s">
        <v>965</v>
      </c>
      <c r="B345" s="2188"/>
      <c r="C345" s="1460"/>
      <c r="D345" s="1461"/>
      <c r="E345" s="1461"/>
      <c r="F345" s="1461"/>
      <c r="G345" s="1461"/>
      <c r="H345" s="1461"/>
      <c r="I345" s="1461"/>
      <c r="J345" s="1461"/>
      <c r="K345" s="1461"/>
      <c r="L345" s="1462"/>
      <c r="M345" s="647"/>
      <c r="N345" s="647"/>
    </row>
    <row r="346" spans="1:14" s="343" customFormat="1" ht="15.75" customHeight="1">
      <c r="A346" s="1532" t="s">
        <v>843</v>
      </c>
      <c r="B346" s="1524" t="s">
        <v>568</v>
      </c>
      <c r="C346" s="599"/>
      <c r="D346" s="599"/>
      <c r="E346" s="599"/>
      <c r="F346" s="599"/>
      <c r="G346" s="599"/>
      <c r="H346" s="599"/>
      <c r="I346" s="599"/>
      <c r="J346" s="599"/>
      <c r="K346" s="599"/>
      <c r="L346" s="599"/>
      <c r="M346" s="592"/>
      <c r="N346" s="592"/>
    </row>
    <row r="347" spans="1:14" ht="15.75" customHeight="1">
      <c r="A347" s="679" t="s">
        <v>611</v>
      </c>
      <c r="B347" s="680"/>
      <c r="C347" s="606"/>
      <c r="D347" s="606"/>
      <c r="E347" s="606"/>
      <c r="F347" s="606"/>
      <c r="G347" s="606"/>
      <c r="H347" s="606"/>
      <c r="I347" s="599"/>
      <c r="J347" s="599"/>
      <c r="K347" s="606"/>
      <c r="L347" s="606"/>
    </row>
    <row r="348" spans="1:14">
      <c r="A348" s="1413" t="s">
        <v>4</v>
      </c>
      <c r="B348" s="597">
        <v>2530</v>
      </c>
      <c r="C348" s="1843">
        <v>0</v>
      </c>
      <c r="D348" s="1843">
        <v>0</v>
      </c>
      <c r="E348" s="1843">
        <v>0</v>
      </c>
      <c r="F348" s="1843">
        <v>0</v>
      </c>
      <c r="G348" s="1843">
        <v>0</v>
      </c>
      <c r="H348" s="1843">
        <v>0</v>
      </c>
      <c r="I348" s="1843">
        <v>0</v>
      </c>
      <c r="J348" s="1843">
        <v>0</v>
      </c>
      <c r="K348" s="1578">
        <f>SUM(C348:J348)</f>
        <v>0</v>
      </c>
      <c r="L348" s="1843">
        <v>0</v>
      </c>
    </row>
    <row r="349" spans="1:14">
      <c r="A349" s="1413" t="s">
        <v>197</v>
      </c>
      <c r="B349" s="597">
        <v>2540</v>
      </c>
      <c r="C349" s="1843">
        <v>0</v>
      </c>
      <c r="D349" s="1843">
        <v>0</v>
      </c>
      <c r="E349" s="1843">
        <v>0</v>
      </c>
      <c r="F349" s="1843">
        <v>0</v>
      </c>
      <c r="G349" s="1843">
        <v>0</v>
      </c>
      <c r="H349" s="1843">
        <v>0</v>
      </c>
      <c r="I349" s="1843">
        <v>0</v>
      </c>
      <c r="J349" s="1843">
        <v>0</v>
      </c>
      <c r="K349" s="1578">
        <f>SUM(C349:J349)</f>
        <v>0</v>
      </c>
      <c r="L349" s="1843">
        <v>0</v>
      </c>
    </row>
    <row r="350" spans="1:14" ht="12.75" customHeight="1" thickBot="1">
      <c r="A350" s="1575" t="s">
        <v>718</v>
      </c>
      <c r="B350" s="1576" t="s">
        <v>35</v>
      </c>
      <c r="C350" s="1577">
        <f>SUM(C348:C349)</f>
        <v>0</v>
      </c>
      <c r="D350" s="1577">
        <f t="shared" ref="D350:L350" si="26">SUM(D348:D349)</f>
        <v>0</v>
      </c>
      <c r="E350" s="1577">
        <f t="shared" si="26"/>
        <v>0</v>
      </c>
      <c r="F350" s="1577">
        <f t="shared" si="26"/>
        <v>0</v>
      </c>
      <c r="G350" s="1577">
        <f t="shared" si="26"/>
        <v>0</v>
      </c>
      <c r="H350" s="1577">
        <f t="shared" si="26"/>
        <v>0</v>
      </c>
      <c r="I350" s="1577">
        <f t="shared" si="26"/>
        <v>0</v>
      </c>
      <c r="J350" s="1577">
        <f t="shared" si="26"/>
        <v>0</v>
      </c>
      <c r="K350" s="1577">
        <f t="shared" si="26"/>
        <v>0</v>
      </c>
      <c r="L350" s="1577">
        <f t="shared" si="26"/>
        <v>0</v>
      </c>
    </row>
    <row r="351" spans="1:14" ht="12.75" customHeight="1" thickTop="1">
      <c r="A351" s="1419" t="s">
        <v>979</v>
      </c>
      <c r="B351" s="624" t="s">
        <v>573</v>
      </c>
      <c r="C351" s="1843">
        <v>0</v>
      </c>
      <c r="D351" s="1843">
        <v>0</v>
      </c>
      <c r="E351" s="1843">
        <v>0</v>
      </c>
      <c r="F351" s="1843">
        <v>0</v>
      </c>
      <c r="G351" s="1843">
        <v>0</v>
      </c>
      <c r="H351" s="1843">
        <v>0</v>
      </c>
      <c r="I351" s="1843">
        <v>0</v>
      </c>
      <c r="J351" s="1843">
        <v>0</v>
      </c>
      <c r="K351" s="598">
        <f>SUM(C351:J351)</f>
        <v>0</v>
      </c>
      <c r="L351" s="1842">
        <v>0</v>
      </c>
    </row>
    <row r="352" spans="1:14" ht="12.75" customHeight="1" thickBot="1">
      <c r="A352" s="1575" t="s">
        <v>623</v>
      </c>
      <c r="B352" s="1582" t="s">
        <v>568</v>
      </c>
      <c r="C352" s="1577">
        <f>SUM(C350:C351)</f>
        <v>0</v>
      </c>
      <c r="D352" s="1577">
        <f t="shared" ref="D352:L352" si="27">SUM(D350:D351)</f>
        <v>0</v>
      </c>
      <c r="E352" s="1577">
        <f t="shared" si="27"/>
        <v>0</v>
      </c>
      <c r="F352" s="1577">
        <f t="shared" si="27"/>
        <v>0</v>
      </c>
      <c r="G352" s="1577">
        <f t="shared" si="27"/>
        <v>0</v>
      </c>
      <c r="H352" s="1577">
        <f t="shared" si="27"/>
        <v>0</v>
      </c>
      <c r="I352" s="1577">
        <f t="shared" si="27"/>
        <v>0</v>
      </c>
      <c r="J352" s="1577">
        <f t="shared" si="27"/>
        <v>0</v>
      </c>
      <c r="K352" s="1577">
        <f t="shared" si="27"/>
        <v>0</v>
      </c>
      <c r="L352" s="1577">
        <f t="shared" si="27"/>
        <v>0</v>
      </c>
    </row>
    <row r="353" spans="1:14" s="343" customFormat="1" ht="15.75" customHeight="1" thickTop="1">
      <c r="A353" s="1521" t="s">
        <v>624</v>
      </c>
      <c r="B353" s="1518" t="s">
        <v>859</v>
      </c>
      <c r="C353" s="599"/>
      <c r="D353" s="599"/>
      <c r="E353" s="599"/>
      <c r="F353" s="599"/>
      <c r="G353" s="599"/>
      <c r="H353" s="599"/>
      <c r="I353" s="599"/>
      <c r="J353" s="599"/>
      <c r="K353" s="599"/>
      <c r="L353" s="599"/>
      <c r="M353" s="592"/>
      <c r="N353" s="592"/>
    </row>
    <row r="354" spans="1:14" ht="13.5" thickBot="1">
      <c r="A354" s="1741" t="s">
        <v>1824</v>
      </c>
      <c r="B354" s="663" t="s">
        <v>1816</v>
      </c>
      <c r="C354" s="599"/>
      <c r="D354" s="599"/>
      <c r="E354" s="599"/>
      <c r="F354" s="599"/>
      <c r="G354" s="599"/>
      <c r="H354" s="1843">
        <v>0</v>
      </c>
      <c r="I354" s="681"/>
      <c r="J354" s="599"/>
      <c r="K354" s="1606">
        <f>H354</f>
        <v>0</v>
      </c>
      <c r="L354" s="1863">
        <v>0</v>
      </c>
    </row>
    <row r="355" spans="1:14" ht="12.75" customHeight="1" thickTop="1" thickBot="1">
      <c r="A355" s="1422" t="s">
        <v>1825</v>
      </c>
      <c r="B355" s="670" t="s">
        <v>1818</v>
      </c>
      <c r="C355" s="599"/>
      <c r="D355" s="599"/>
      <c r="E355" s="599"/>
      <c r="F355" s="599"/>
      <c r="G355" s="599"/>
      <c r="H355" s="1843">
        <v>0</v>
      </c>
      <c r="I355" s="681"/>
      <c r="J355" s="599"/>
      <c r="K355" s="1650">
        <f>H355</f>
        <v>0</v>
      </c>
      <c r="L355" s="1863">
        <v>0</v>
      </c>
    </row>
    <row r="356" spans="1:14" ht="12.75" customHeight="1" thickTop="1" thickBot="1">
      <c r="A356" s="1741" t="s">
        <v>697</v>
      </c>
      <c r="B356" s="663" t="s">
        <v>557</v>
      </c>
      <c r="C356" s="599"/>
      <c r="D356" s="599"/>
      <c r="E356" s="599"/>
      <c r="F356" s="599"/>
      <c r="G356" s="599"/>
      <c r="H356" s="1843">
        <v>0</v>
      </c>
      <c r="I356" s="681"/>
      <c r="J356" s="599"/>
      <c r="K356" s="1647">
        <f>H356</f>
        <v>0</v>
      </c>
      <c r="L356" s="1863">
        <v>0</v>
      </c>
    </row>
    <row r="357" spans="1:14" ht="12.75" customHeight="1" thickTop="1" thickBot="1">
      <c r="A357" s="1575" t="s">
        <v>1484</v>
      </c>
      <c r="B357" s="1576" t="s">
        <v>859</v>
      </c>
      <c r="C357" s="599"/>
      <c r="D357" s="599"/>
      <c r="E357" s="599"/>
      <c r="F357" s="599"/>
      <c r="G357" s="599"/>
      <c r="H357" s="1595">
        <f>SUM(H354:H356)</f>
        <v>0</v>
      </c>
      <c r="I357" s="681"/>
      <c r="J357" s="599"/>
      <c r="K357" s="1595">
        <f>SUM(K354:K356)</f>
        <v>0</v>
      </c>
      <c r="L357" s="1595">
        <f>SUM(L354:L356)</f>
        <v>0</v>
      </c>
    </row>
    <row r="358" spans="1:14" s="343" customFormat="1" ht="15.75" customHeight="1" thickTop="1">
      <c r="A358" s="1521" t="s">
        <v>947</v>
      </c>
      <c r="B358" s="1518" t="s">
        <v>491</v>
      </c>
      <c r="C358" s="599"/>
      <c r="D358" s="599"/>
      <c r="E358" s="599"/>
      <c r="F358" s="599"/>
      <c r="G358" s="599"/>
      <c r="H358" s="599"/>
      <c r="I358" s="599"/>
      <c r="J358" s="599"/>
      <c r="K358" s="599"/>
      <c r="L358" s="599"/>
      <c r="M358" s="592"/>
      <c r="N358" s="592"/>
    </row>
    <row r="359" spans="1:14" s="343" customFormat="1" ht="15.75" customHeight="1">
      <c r="A359" s="634" t="s">
        <v>626</v>
      </c>
      <c r="B359" s="605"/>
      <c r="C359" s="599"/>
      <c r="D359" s="599"/>
      <c r="E359" s="599"/>
      <c r="F359" s="599"/>
      <c r="G359" s="599"/>
      <c r="H359" s="599"/>
      <c r="I359" s="599"/>
      <c r="J359" s="599"/>
      <c r="K359" s="606"/>
      <c r="L359" s="606"/>
      <c r="M359" s="592"/>
      <c r="N359" s="592"/>
    </row>
    <row r="360" spans="1:14">
      <c r="A360" s="1413" t="s">
        <v>87</v>
      </c>
      <c r="B360" s="597">
        <v>5110</v>
      </c>
      <c r="C360" s="599"/>
      <c r="D360" s="599"/>
      <c r="E360" s="599"/>
      <c r="F360" s="599"/>
      <c r="G360" s="599"/>
      <c r="H360" s="1843">
        <v>0</v>
      </c>
      <c r="I360" s="599"/>
      <c r="J360" s="599"/>
      <c r="K360" s="1578">
        <f>SUM(C360:J360)</f>
        <v>0</v>
      </c>
      <c r="L360" s="1843">
        <v>0</v>
      </c>
    </row>
    <row r="361" spans="1:14" ht="12.75" customHeight="1">
      <c r="A361" s="1414" t="s">
        <v>618</v>
      </c>
      <c r="B361" s="585" t="s">
        <v>617</v>
      </c>
      <c r="C361" s="599"/>
      <c r="D361" s="599"/>
      <c r="E361" s="599"/>
      <c r="F361" s="599"/>
      <c r="G361" s="599"/>
      <c r="H361" s="1843">
        <v>0</v>
      </c>
      <c r="I361" s="599"/>
      <c r="J361" s="599"/>
      <c r="K361" s="1578">
        <f>SUM(C361:J361)</f>
        <v>0</v>
      </c>
      <c r="L361" s="1843">
        <v>0</v>
      </c>
    </row>
    <row r="362" spans="1:14" ht="12.75" customHeight="1" thickBot="1">
      <c r="A362" s="1575" t="s">
        <v>625</v>
      </c>
      <c r="B362" s="1576" t="s">
        <v>717</v>
      </c>
      <c r="C362" s="599"/>
      <c r="D362" s="599"/>
      <c r="E362" s="599"/>
      <c r="F362" s="599"/>
      <c r="G362" s="599"/>
      <c r="H362" s="1610">
        <f>SUM(H360:H361)</f>
        <v>0</v>
      </c>
      <c r="I362" s="599"/>
      <c r="J362" s="599"/>
      <c r="K362" s="1610">
        <f>SUM(K360:K361)</f>
        <v>0</v>
      </c>
      <c r="L362" s="1610">
        <f>SUM(L360:L361)</f>
        <v>0</v>
      </c>
    </row>
    <row r="363" spans="1:14" s="654" customFormat="1" ht="15.75" customHeight="1" thickTop="1">
      <c r="A363" s="640" t="s">
        <v>83</v>
      </c>
      <c r="B363" s="641" t="s">
        <v>38</v>
      </c>
      <c r="C363" s="620"/>
      <c r="D363" s="620"/>
      <c r="E363" s="620"/>
      <c r="F363" s="620"/>
      <c r="G363" s="620"/>
      <c r="H363" s="1843">
        <v>0</v>
      </c>
      <c r="I363" s="620"/>
      <c r="J363" s="620"/>
      <c r="K363" s="1606">
        <f>SUM(C363:J363)</f>
        <v>0</v>
      </c>
      <c r="L363" s="1865">
        <v>0</v>
      </c>
      <c r="M363" s="645"/>
      <c r="N363" s="645"/>
    </row>
    <row r="364" spans="1:14" s="686" customFormat="1" ht="29.25" customHeight="1">
      <c r="A364" s="682" t="s">
        <v>1665</v>
      </c>
      <c r="B364" s="683">
        <v>5300</v>
      </c>
      <c r="C364" s="684"/>
      <c r="D364" s="685"/>
      <c r="E364" s="685"/>
      <c r="F364" s="684"/>
      <c r="G364" s="685"/>
      <c r="H364" s="1843">
        <v>0</v>
      </c>
      <c r="I364" s="685"/>
      <c r="J364" s="685"/>
      <c r="K364" s="1578">
        <f>SUM(C364:J364)</f>
        <v>0</v>
      </c>
      <c r="L364" s="1867">
        <v>0</v>
      </c>
    </row>
    <row r="365" spans="1:14" s="654" customFormat="1" ht="12.75" customHeight="1" thickBot="1">
      <c r="A365" s="1430" t="s">
        <v>589</v>
      </c>
      <c r="B365" s="639" t="s">
        <v>491</v>
      </c>
      <c r="C365" s="620"/>
      <c r="D365" s="620"/>
      <c r="E365" s="620"/>
      <c r="F365" s="620"/>
      <c r="G365" s="620"/>
      <c r="H365" s="1610">
        <f>SUM(H362,H363,H364)</f>
        <v>0</v>
      </c>
      <c r="I365" s="620"/>
      <c r="J365" s="620"/>
      <c r="K365" s="1610">
        <f>SUM(K362,K363,K364)</f>
        <v>0</v>
      </c>
      <c r="L365" s="1610">
        <f>SUM(L362,L363,L364)</f>
        <v>0</v>
      </c>
      <c r="M365" s="645"/>
      <c r="N365" s="645"/>
    </row>
    <row r="366" spans="1:14" s="343" customFormat="1" ht="15.75" customHeight="1" thickTop="1" thickBot="1">
      <c r="A366" s="1515" t="s">
        <v>948</v>
      </c>
      <c r="B366" s="1522" t="s">
        <v>860</v>
      </c>
      <c r="C366" s="606"/>
      <c r="D366" s="606"/>
      <c r="E366" s="606"/>
      <c r="F366" s="606"/>
      <c r="G366" s="606"/>
      <c r="H366" s="606"/>
      <c r="I366" s="606"/>
      <c r="J366" s="599"/>
      <c r="K366" s="606"/>
      <c r="L366" s="1864">
        <v>0</v>
      </c>
      <c r="M366" s="592"/>
      <c r="N366" s="592"/>
    </row>
    <row r="367" spans="1:14" ht="12.75" customHeight="1" thickTop="1" thickBot="1">
      <c r="A367" s="1599" t="s">
        <v>504</v>
      </c>
      <c r="B367" s="1611"/>
      <c r="C367" s="1577">
        <f t="shared" ref="C367:L367" si="28">SUM(C352,C357,C365,C366)</f>
        <v>0</v>
      </c>
      <c r="D367" s="1577">
        <f t="shared" si="28"/>
        <v>0</v>
      </c>
      <c r="E367" s="1577">
        <f t="shared" si="28"/>
        <v>0</v>
      </c>
      <c r="F367" s="1577">
        <f t="shared" si="28"/>
        <v>0</v>
      </c>
      <c r="G367" s="1577">
        <f t="shared" si="28"/>
        <v>0</v>
      </c>
      <c r="H367" s="1577">
        <f t="shared" si="28"/>
        <v>0</v>
      </c>
      <c r="I367" s="1577">
        <f t="shared" si="28"/>
        <v>0</v>
      </c>
      <c r="J367" s="1577">
        <f t="shared" si="28"/>
        <v>0</v>
      </c>
      <c r="K367" s="1577">
        <f t="shared" si="28"/>
        <v>0</v>
      </c>
      <c r="L367" s="1577">
        <f t="shared" si="28"/>
        <v>0</v>
      </c>
    </row>
    <row r="368" spans="1:14" ht="13.5" thickTop="1">
      <c r="A368" s="2184" t="s">
        <v>995</v>
      </c>
      <c r="B368" s="2185"/>
      <c r="C368" s="635"/>
      <c r="D368" s="635"/>
      <c r="E368" s="609"/>
      <c r="F368" s="609"/>
      <c r="G368" s="609"/>
      <c r="H368" s="609"/>
      <c r="I368" s="609"/>
      <c r="J368" s="606"/>
      <c r="K368" s="1578">
        <f>'Revenues 9-14'!K268-'Expenditures 15-22'!K367</f>
        <v>0</v>
      </c>
      <c r="L368" s="635"/>
    </row>
  </sheetData>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dataValidations count="1">
    <dataValidation type="whole" operator="greaterThanOrEqual" allowBlank="1" showInputMessage="1" showErrorMessage="1" error="Please enter a whole number.  Decimals not allowed." sqref="C5:J32 C36:J41 C44:J46 C49:J51 C55:J56 C59:J64 C67:J71 C73:J73 C75:J75 E78:E83 E99 E101 H78:H83 H85:H91 H93:H99 H101 H105:H109 H111 C128:J128 C130:J130 C122:J125 G126 I126 E133:E136 E138 H133:H136 H138 H148 H142:H146 E171 H157:H159 H163:H167 H169:H171 C182:J183 C185:J185 E188:E193 E195 H195 H188:H193 H199:H203 H205:H207 D215:D228 D232:D237 D240:D242 D245:D256 D259:D260 D263:D269 D272:D276 D278 D280 D282:D284 H288:H292 E306:E309 H306:H309 C301:J302 C319:J329 H332:H333 H337:H339 H354:H356 H360:H361 H363:H364 C351:J351 C348:J349 C180:J180 C120:J120">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purl.org/dc/dcmitype/"/>
    <ds:schemaRef ds:uri="http://schemas.microsoft.com/sharepoint/v3"/>
    <ds:schemaRef ds:uri="4d435f69-8686-490b-bd6d-b153bf22ab50"/>
    <ds:schemaRef ds:uri="d21dc803-237d-4c68-8692-8d731fd29118"/>
    <ds:schemaRef ds:uri="http://schemas.microsoft.com/office/infopath/2007/PartnerControls"/>
    <ds:schemaRef ds:uri="http://schemas.openxmlformats.org/package/2006/metadata/core-properties"/>
    <ds:schemaRef ds:uri="6ce3111e-7420-4802-b50a-75d4e9a0b980"/>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20</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SEFA-2019</vt:lpstr>
      <vt:lpstr>SEFA NOTES</vt:lpstr>
      <vt:lpstr>SF&amp;QC Sec-1</vt:lpstr>
      <vt:lpstr>SF&amp;QC Sec-2</vt:lpstr>
      <vt:lpstr>SF&amp;QC Sec-3</vt:lpstr>
      <vt:lpstr>SSPAF</vt:lpstr>
      <vt:lpstr>' SEFA-2019'!Print_Area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 SEFA-2019'!Print_Titles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2019-11-19T17:48:02Z</cp:lastPrinted>
  <dcterms:created xsi:type="dcterms:W3CDTF">2003-10-29T19:06:34Z</dcterms:created>
  <dcterms:modified xsi:type="dcterms:W3CDTF">2019-12-31T15:12:47Z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eeec22ef-a728-4118-812e-8f0a6fabf988</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tabName">
    <vt:lpwstr>Illiniois AFR</vt:lpwstr>
  </property>
  <property fmtid="{D5CDD505-2E9C-101B-9397-08002B2CF9AE}" pid="8" name="tabIndex">
    <vt:lpwstr>101</vt:lpwstr>
  </property>
  <property fmtid="{D5CDD505-2E9C-101B-9397-08002B2CF9AE}" pid="9" name="workpaperIndex">
    <vt:lpwstr>101.00</vt:lpwstr>
  </property>
</Properties>
</file>